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agencia\ana\COSER\2_REGULAÇÃO DE SERVIÇOS\1_PISF\CONTABILIDADE\"/>
    </mc:Choice>
  </mc:AlternateContent>
  <xr:revisionPtr revIDLastSave="0" documentId="8_{66C05073-552C-4369-B2E9-2595CE98C86C}" xr6:coauthVersionLast="45" xr6:coauthVersionMax="45" xr10:uidLastSave="{00000000-0000-0000-0000-000000000000}"/>
  <bookViews>
    <workbookView xWindow="-120" yWindow="-120" windowWidth="20730" windowHeight="11160" tabRatio="924" activeTab="1" xr2:uid="{00000000-000D-0000-FFFF-FFFF00000000}"/>
  </bookViews>
  <sheets>
    <sheet name="custos unitários para atualizar" sheetId="60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Anexo 3_Custos Ambientais" sheetId="44" r:id="rId6"/>
    <sheet name="Anexo 4_CF_FRA" sheetId="48" r:id="rId7"/>
    <sheet name="Anexo 5_Desp Adm" sheetId="54" r:id="rId8"/>
    <sheet name="Anexo 6_Tx Adm" sheetId="8" r:id="rId9"/>
    <sheet name="mão de obra" sheetId="30" state="hidden" r:id="rId10"/>
    <sheet name="Veículos" sheetId="27" state="hidden" r:id="rId11"/>
    <sheet name="Equipamentos" sheetId="31" state="hidden" r:id="rId12"/>
    <sheet name="amoxarifado" sheetId="28" state="hidden" r:id="rId13"/>
    <sheet name="Ferramentas" sheetId="29" state="hidden" r:id="rId14"/>
    <sheet name="Materiais de consumo" sheetId="32" state="hidden" r:id="rId15"/>
    <sheet name="incendio" sheetId="34" state="hidden" r:id="rId16"/>
    <sheet name="automação" sheetId="35" state="hidden" r:id="rId17"/>
    <sheet name="helicoptero" sheetId="36" state="hidden" r:id="rId18"/>
    <sheet name="drone" sheetId="37" state="hidden" r:id="rId19"/>
    <sheet name="geomembranas" sheetId="38" state="hidden" r:id="rId20"/>
    <sheet name="linhas transmissão" sheetId="39" state="hidden" r:id="rId21"/>
    <sheet name="subestações" sheetId="42" state="hidden" r:id="rId22"/>
    <sheet name="baixa tensão" sheetId="43" state="hidden" r:id="rId23"/>
    <sheet name="materiais sobressalentes" sheetId="41" state="hidden" r:id="rId24"/>
    <sheet name="aferição medidores de vazão" sheetId="40" state="hidden" r:id="rId25"/>
    <sheet name="apoio rio Piranhas" sheetId="25" state="hidden" r:id="rId26"/>
    <sheet name="Depreciação" sheetId="56" state="hidden" r:id="rId27"/>
    <sheet name="Detalhe Custos Ambientais" sheetId="45" state="hidden" r:id="rId28"/>
    <sheet name="auditoria contabilidade" sheetId="33" state="hidden" r:id="rId29"/>
    <sheet name="salarios e encargos ajustada" sheetId="49" state="hidden" r:id="rId30"/>
    <sheet name="Tabela salarial FC Codevasf" sheetId="50" state="hidden" r:id="rId31"/>
    <sheet name="Custos Administrativos - Materi" sheetId="51" state="hidden" r:id="rId32"/>
    <sheet name="Benefícios " sheetId="59" state="hidden" r:id="rId33"/>
    <sheet name="Impostos" sheetId="64" state="hidden" r:id="rId34"/>
    <sheet name="Execução Orçamentária Materiais" sheetId="61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8" l="1"/>
  <c r="M17" i="18" l="1"/>
  <c r="N17" i="18" l="1"/>
  <c r="L19" i="18"/>
  <c r="N19" i="18" s="1"/>
  <c r="M18" i="18"/>
  <c r="M20" i="18" s="1"/>
  <c r="L18" i="18"/>
  <c r="N16" i="18"/>
  <c r="L20" i="18" l="1"/>
  <c r="N18" i="18"/>
  <c r="N20" i="18" l="1"/>
  <c r="N6" i="18" l="1"/>
  <c r="O16" i="18" s="1"/>
  <c r="N7" i="18"/>
  <c r="O17" i="18" s="1"/>
  <c r="N8" i="18"/>
  <c r="O18" i="18" s="1"/>
  <c r="N9" i="18"/>
  <c r="O19" i="18" s="1"/>
  <c r="L10" i="18"/>
  <c r="N10" i="18" s="1"/>
  <c r="M10" i="18"/>
  <c r="O20" i="18" l="1"/>
  <c r="AA47" i="61"/>
  <c r="Y47" i="61"/>
  <c r="W47" i="61"/>
  <c r="U47" i="61"/>
  <c r="S47" i="61"/>
  <c r="Q47" i="61"/>
  <c r="O47" i="61"/>
  <c r="M47" i="61"/>
  <c r="M48" i="61"/>
  <c r="O48" i="61" s="1"/>
  <c r="Q48" i="61" s="1"/>
  <c r="S48" i="61" s="1"/>
  <c r="U48" i="61" s="1"/>
  <c r="W48" i="61" s="1"/>
  <c r="Y48" i="61" s="1"/>
  <c r="AA48" i="61" s="1"/>
  <c r="K47" i="61"/>
  <c r="K48" i="61"/>
  <c r="I47" i="61"/>
  <c r="I48" i="61"/>
  <c r="G47" i="61"/>
  <c r="G48" i="61"/>
  <c r="E47" i="61"/>
  <c r="E48" i="61"/>
  <c r="I46" i="61"/>
  <c r="K46" i="61" s="1"/>
  <c r="M46" i="61" s="1"/>
  <c r="O46" i="61" s="1"/>
  <c r="Q46" i="61" s="1"/>
  <c r="S46" i="61" s="1"/>
  <c r="U46" i="61" s="1"/>
  <c r="W46" i="61" s="1"/>
  <c r="Y46" i="61" s="1"/>
  <c r="AA46" i="61" s="1"/>
  <c r="G46" i="61"/>
  <c r="E46" i="61"/>
  <c r="K39" i="61"/>
  <c r="M39" i="61" s="1"/>
  <c r="O39" i="61" s="1"/>
  <c r="Q39" i="61" s="1"/>
  <c r="S39" i="61" s="1"/>
  <c r="U39" i="61" s="1"/>
  <c r="W39" i="61" s="1"/>
  <c r="Y39" i="61" s="1"/>
  <c r="AA39" i="61" s="1"/>
  <c r="I39" i="61"/>
  <c r="G38" i="61"/>
  <c r="I38" i="61" s="1"/>
  <c r="K38" i="61" s="1"/>
  <c r="M38" i="61" s="1"/>
  <c r="O38" i="61" s="1"/>
  <c r="Q38" i="61" s="1"/>
  <c r="S38" i="61" s="1"/>
  <c r="U38" i="61" s="1"/>
  <c r="W38" i="61" s="1"/>
  <c r="Y38" i="61" s="1"/>
  <c r="AA38" i="61" s="1"/>
  <c r="G39" i="61"/>
  <c r="G40" i="61"/>
  <c r="I40" i="61" s="1"/>
  <c r="K40" i="61" s="1"/>
  <c r="M40" i="61" s="1"/>
  <c r="O40" i="61" s="1"/>
  <c r="Q40" i="61" s="1"/>
  <c r="S40" i="61" s="1"/>
  <c r="U40" i="61" s="1"/>
  <c r="W40" i="61" s="1"/>
  <c r="Y40" i="61" s="1"/>
  <c r="AA40" i="61" s="1"/>
  <c r="K37" i="61"/>
  <c r="M37" i="61" s="1"/>
  <c r="O37" i="61" s="1"/>
  <c r="Q37" i="61" s="1"/>
  <c r="S37" i="61" s="1"/>
  <c r="U37" i="61" s="1"/>
  <c r="W37" i="61" s="1"/>
  <c r="Y37" i="61" s="1"/>
  <c r="AA37" i="61" s="1"/>
  <c r="I37" i="61"/>
  <c r="E38" i="61"/>
  <c r="E39" i="61"/>
  <c r="E40" i="61"/>
  <c r="G37" i="61"/>
  <c r="E37" i="61"/>
  <c r="G24" i="61"/>
  <c r="I24" i="61" s="1"/>
  <c r="K24" i="61" s="1"/>
  <c r="M24" i="61" s="1"/>
  <c r="O24" i="61" s="1"/>
  <c r="Q24" i="61" s="1"/>
  <c r="S24" i="61" s="1"/>
  <c r="U24" i="61" s="1"/>
  <c r="W24" i="61" s="1"/>
  <c r="Y24" i="61" s="1"/>
  <c r="AA24" i="61" s="1"/>
  <c r="E24" i="61"/>
  <c r="O23" i="61"/>
  <c r="Q23" i="61" s="1"/>
  <c r="S23" i="61" s="1"/>
  <c r="U23" i="61" s="1"/>
  <c r="W23" i="61" s="1"/>
  <c r="Y23" i="61" s="1"/>
  <c r="AA23" i="61" s="1"/>
  <c r="M23" i="61"/>
  <c r="K23" i="61"/>
  <c r="I23" i="61"/>
  <c r="G23" i="61"/>
  <c r="E23" i="61"/>
  <c r="G31" i="61"/>
  <c r="I31" i="61" s="1"/>
  <c r="M31" i="61"/>
  <c r="O31" i="61" s="1"/>
  <c r="Q31" i="61" s="1"/>
  <c r="S31" i="61" s="1"/>
  <c r="U31" i="61" s="1"/>
  <c r="W31" i="61" s="1"/>
  <c r="Y31" i="61" s="1"/>
  <c r="AA31" i="61" s="1"/>
  <c r="M30" i="61"/>
  <c r="O30" i="61" s="1"/>
  <c r="Q30" i="61" s="1"/>
  <c r="S30" i="61" s="1"/>
  <c r="U30" i="61" s="1"/>
  <c r="W30" i="61" s="1"/>
  <c r="Y30" i="61" s="1"/>
  <c r="AA30" i="61" s="1"/>
  <c r="I30" i="61"/>
  <c r="G30" i="61"/>
  <c r="E30" i="61"/>
  <c r="G16" i="61"/>
  <c r="K9" i="61"/>
  <c r="M9" i="61" s="1"/>
  <c r="O9" i="61" s="1"/>
  <c r="Q9" i="61" s="1"/>
  <c r="S9" i="61" s="1"/>
  <c r="U9" i="61" s="1"/>
  <c r="W9" i="61" s="1"/>
  <c r="Y9" i="61" s="1"/>
  <c r="AA9" i="61" s="1"/>
  <c r="K11" i="61"/>
  <c r="M11" i="61" s="1"/>
  <c r="O11" i="61" s="1"/>
  <c r="Q11" i="61" s="1"/>
  <c r="S11" i="61" s="1"/>
  <c r="U11" i="61" s="1"/>
  <c r="W11" i="61" s="1"/>
  <c r="Y11" i="61" s="1"/>
  <c r="AA11" i="61" s="1"/>
  <c r="I9" i="61"/>
  <c r="I10" i="61"/>
  <c r="K10" i="61" s="1"/>
  <c r="M10" i="61" s="1"/>
  <c r="O10" i="61" s="1"/>
  <c r="Q10" i="61" s="1"/>
  <c r="S10" i="61" s="1"/>
  <c r="U10" i="61" s="1"/>
  <c r="W10" i="61" s="1"/>
  <c r="Y10" i="61" s="1"/>
  <c r="AA10" i="61" s="1"/>
  <c r="I11" i="61"/>
  <c r="M8" i="61"/>
  <c r="O8" i="61" s="1"/>
  <c r="Q8" i="61" s="1"/>
  <c r="S8" i="61" s="1"/>
  <c r="U8" i="61" s="1"/>
  <c r="W8" i="61" s="1"/>
  <c r="Y8" i="61" s="1"/>
  <c r="AA8" i="61" s="1"/>
  <c r="K8" i="61"/>
  <c r="I8" i="61"/>
  <c r="J21" i="59" l="1"/>
  <c r="L21" i="59" s="1"/>
  <c r="N21" i="59" s="1"/>
  <c r="P21" i="59" s="1"/>
  <c r="R21" i="59" s="1"/>
  <c r="T21" i="59" s="1"/>
  <c r="V21" i="59" s="1"/>
  <c r="X21" i="59" s="1"/>
  <c r="Z21" i="59" s="1"/>
  <c r="H21" i="59"/>
  <c r="F21" i="59"/>
  <c r="F25" i="59"/>
  <c r="H25" i="59" s="1"/>
  <c r="J25" i="59" s="1"/>
  <c r="L25" i="59" s="1"/>
  <c r="N25" i="59" s="1"/>
  <c r="P25" i="59" s="1"/>
  <c r="R25" i="59" s="1"/>
  <c r="T25" i="59" s="1"/>
  <c r="V25" i="59" s="1"/>
  <c r="X25" i="59" s="1"/>
  <c r="Z25" i="59" s="1"/>
  <c r="D21" i="59"/>
  <c r="D22" i="59"/>
  <c r="F22" i="59" s="1"/>
  <c r="H22" i="59" s="1"/>
  <c r="J22" i="59" s="1"/>
  <c r="L22" i="59" s="1"/>
  <c r="N22" i="59" s="1"/>
  <c r="P22" i="59" s="1"/>
  <c r="R22" i="59" s="1"/>
  <c r="T22" i="59" s="1"/>
  <c r="V22" i="59" s="1"/>
  <c r="X22" i="59" s="1"/>
  <c r="Z22" i="59" s="1"/>
  <c r="D23" i="59"/>
  <c r="F23" i="59" s="1"/>
  <c r="H23" i="59" s="1"/>
  <c r="L23" i="59" s="1"/>
  <c r="N23" i="59" s="1"/>
  <c r="P23" i="59" s="1"/>
  <c r="R23" i="59" s="1"/>
  <c r="T23" i="59" s="1"/>
  <c r="V23" i="59" s="1"/>
  <c r="X23" i="59" s="1"/>
  <c r="Z23" i="59" s="1"/>
  <c r="D24" i="59"/>
  <c r="F24" i="59" s="1"/>
  <c r="H24" i="59" s="1"/>
  <c r="J24" i="59" s="1"/>
  <c r="L24" i="59" s="1"/>
  <c r="N24" i="59" s="1"/>
  <c r="P24" i="59" s="1"/>
  <c r="R24" i="59" s="1"/>
  <c r="T24" i="59" s="1"/>
  <c r="V24" i="59" s="1"/>
  <c r="X24" i="59" s="1"/>
  <c r="Z24" i="59" s="1"/>
  <c r="D25" i="59"/>
  <c r="D20" i="59"/>
  <c r="F20" i="59" s="1"/>
  <c r="H20" i="59" s="1"/>
  <c r="J20" i="59" s="1"/>
  <c r="L20" i="59" s="1"/>
  <c r="N20" i="59" s="1"/>
  <c r="P20" i="59" s="1"/>
  <c r="R20" i="59" s="1"/>
  <c r="T20" i="59" s="1"/>
  <c r="V20" i="59" s="1"/>
  <c r="X20" i="59" s="1"/>
  <c r="Z20" i="59" s="1"/>
  <c r="D7" i="63" l="1"/>
  <c r="B11" i="63" l="1"/>
  <c r="A11" i="63"/>
  <c r="L21" i="63"/>
  <c r="L22" i="63"/>
  <c r="L23" i="63"/>
  <c r="L24" i="63"/>
  <c r="L25" i="63"/>
  <c r="L20" i="63"/>
  <c r="D15" i="63" l="1"/>
  <c r="J15" i="63" s="1"/>
  <c r="I15" i="63"/>
  <c r="L15" i="63"/>
  <c r="M15" i="63" s="1"/>
  <c r="I16" i="63"/>
  <c r="J16" i="63"/>
  <c r="F16" i="63" s="1"/>
  <c r="L16" i="63"/>
  <c r="M16" i="63" s="1"/>
  <c r="N16" i="63" s="1"/>
  <c r="I17" i="63"/>
  <c r="J17" i="63"/>
  <c r="F17" i="63" s="1"/>
  <c r="L17" i="63"/>
  <c r="M17" i="63" s="1"/>
  <c r="N17" i="63" s="1"/>
  <c r="C18" i="63"/>
  <c r="E18" i="63"/>
  <c r="F18" i="63" s="1"/>
  <c r="D20" i="63"/>
  <c r="J20" i="63" s="1"/>
  <c r="I20" i="63"/>
  <c r="M20" i="63"/>
  <c r="D21" i="63"/>
  <c r="J21" i="63" s="1"/>
  <c r="I21" i="63"/>
  <c r="M21" i="63"/>
  <c r="I22" i="63"/>
  <c r="J22" i="63"/>
  <c r="F22" i="63" s="1"/>
  <c r="M22" i="63"/>
  <c r="N22" i="63" s="1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C26" i="63"/>
  <c r="E26" i="63"/>
  <c r="F26" i="63" s="1"/>
  <c r="E7" i="58"/>
  <c r="D7" i="58"/>
  <c r="C7" i="58"/>
  <c r="B7" i="58"/>
  <c r="C11" i="63"/>
  <c r="F4" i="8"/>
  <c r="O16" i="63" l="1"/>
  <c r="K16" i="63" s="1"/>
  <c r="O23" i="63"/>
  <c r="K23" i="63" s="1"/>
  <c r="O25" i="63"/>
  <c r="K25" i="63" s="1"/>
  <c r="N20" i="63"/>
  <c r="O20" i="63" s="1"/>
  <c r="K20" i="63" s="1"/>
  <c r="O22" i="63"/>
  <c r="K22" i="63" s="1"/>
  <c r="O17" i="63"/>
  <c r="K17" i="63" s="1"/>
  <c r="O24" i="63"/>
  <c r="K24" i="63" s="1"/>
  <c r="E19" i="63"/>
  <c r="O18" i="63"/>
  <c r="N21" i="63"/>
  <c r="O21" i="63" s="1"/>
  <c r="K21" i="63" s="1"/>
  <c r="E27" i="63"/>
  <c r="O26" i="63"/>
  <c r="N15" i="63"/>
  <c r="O15" i="63" s="1"/>
  <c r="K15" i="63" s="1"/>
  <c r="F15" i="63"/>
  <c r="F19" i="63" s="1"/>
  <c r="F21" i="63"/>
  <c r="F20" i="63"/>
  <c r="F27" i="63" l="1"/>
  <c r="O27" i="63"/>
  <c r="O28" i="63" s="1"/>
  <c r="A7" i="63" s="1"/>
  <c r="I7" i="63" s="1"/>
  <c r="C7" i="63" l="1"/>
  <c r="E4" i="8" s="1"/>
  <c r="G7" i="63" l="1"/>
  <c r="E7" i="63"/>
  <c r="H7" i="63"/>
  <c r="F7" i="63" l="1"/>
  <c r="J7" i="63" s="1"/>
  <c r="G16" i="18" s="1"/>
  <c r="D12" i="18" l="1"/>
  <c r="D11" i="18"/>
  <c r="D10" i="18"/>
  <c r="D9" i="18"/>
  <c r="C13" i="18"/>
  <c r="B16" i="54" l="1"/>
  <c r="V9" i="51"/>
  <c r="B15" i="54"/>
  <c r="B14" i="54"/>
  <c r="B13" i="54"/>
  <c r="B12" i="54"/>
  <c r="B11" i="54"/>
  <c r="B10" i="54"/>
  <c r="B9" i="54"/>
  <c r="B8" i="54"/>
  <c r="B18" i="54" l="1"/>
  <c r="AB46" i="61" l="1"/>
  <c r="AB37" i="61"/>
  <c r="AB30" i="61"/>
  <c r="AB23" i="61"/>
  <c r="L13" i="59" l="1"/>
  <c r="L9" i="59"/>
  <c r="F14" i="51"/>
  <c r="L15" i="59" l="1"/>
  <c r="B6" i="54" s="1"/>
  <c r="E6" i="49"/>
  <c r="F6" i="49" s="1"/>
  <c r="G6" i="49" s="1"/>
  <c r="F7" i="49"/>
  <c r="G7" i="49" s="1"/>
  <c r="H7" i="49" s="1"/>
  <c r="F8" i="49"/>
  <c r="G8" i="49" s="1"/>
  <c r="H8" i="49" s="1"/>
  <c r="F9" i="49"/>
  <c r="G9" i="49" s="1"/>
  <c r="H9" i="49" s="1"/>
  <c r="F10" i="49"/>
  <c r="G10" i="49" s="1"/>
  <c r="H10" i="49" s="1"/>
  <c r="F11" i="49"/>
  <c r="G11" i="49" s="1"/>
  <c r="H11" i="49" s="1"/>
  <c r="F13" i="49"/>
  <c r="G13" i="49" s="1"/>
  <c r="H13" i="49" s="1"/>
  <c r="F14" i="49"/>
  <c r="G14" i="49" s="1"/>
  <c r="H14" i="49" s="1"/>
  <c r="F15" i="49"/>
  <c r="G15" i="49" s="1"/>
  <c r="H15" i="49" s="1"/>
  <c r="F16" i="49"/>
  <c r="G16" i="49" s="1"/>
  <c r="H16" i="49" s="1"/>
  <c r="F17" i="49"/>
  <c r="G17" i="49" s="1"/>
  <c r="H17" i="49" s="1"/>
  <c r="F18" i="49"/>
  <c r="G18" i="49" s="1"/>
  <c r="H18" i="49" s="1"/>
  <c r="F19" i="49"/>
  <c r="G19" i="49" s="1"/>
  <c r="H19" i="49" s="1"/>
  <c r="F20" i="49"/>
  <c r="G20" i="49" s="1"/>
  <c r="H20" i="49" s="1"/>
  <c r="F21" i="49"/>
  <c r="G21" i="49" s="1"/>
  <c r="H21" i="49" s="1"/>
  <c r="F22" i="49"/>
  <c r="G22" i="49" s="1"/>
  <c r="H22" i="49" s="1"/>
  <c r="F23" i="49"/>
  <c r="G23" i="49" s="1"/>
  <c r="H23" i="49" s="1"/>
  <c r="F24" i="49"/>
  <c r="G24" i="49" s="1"/>
  <c r="H24" i="49" s="1"/>
  <c r="F25" i="49"/>
  <c r="G25" i="49" s="1"/>
  <c r="H25" i="49" s="1"/>
  <c r="F26" i="49"/>
  <c r="G26" i="49" s="1"/>
  <c r="H26" i="49" s="1"/>
  <c r="F27" i="49"/>
  <c r="G27" i="49" s="1"/>
  <c r="H27" i="49" s="1"/>
  <c r="F28" i="49"/>
  <c r="G28" i="49" s="1"/>
  <c r="H28" i="49" s="1"/>
  <c r="F29" i="49"/>
  <c r="G29" i="49" s="1"/>
  <c r="H29" i="49" s="1"/>
  <c r="F30" i="49"/>
  <c r="G30" i="49" s="1"/>
  <c r="H30" i="49" s="1"/>
  <c r="F31" i="49"/>
  <c r="G31" i="49" s="1"/>
  <c r="H31" i="49" s="1"/>
  <c r="F32" i="49"/>
  <c r="G32" i="49" s="1"/>
  <c r="H32" i="49" s="1"/>
  <c r="F33" i="49"/>
  <c r="G33" i="49" s="1"/>
  <c r="H33" i="49" s="1"/>
  <c r="F34" i="49"/>
  <c r="G34" i="49" s="1"/>
  <c r="H34" i="49" s="1"/>
  <c r="F35" i="49"/>
  <c r="G35" i="49" s="1"/>
  <c r="H35" i="49" s="1"/>
  <c r="F36" i="49"/>
  <c r="G36" i="49" s="1"/>
  <c r="H36" i="49" s="1"/>
  <c r="F37" i="49"/>
  <c r="G37" i="49" s="1"/>
  <c r="H37" i="49" s="1"/>
  <c r="F38" i="49"/>
  <c r="G38" i="49" s="1"/>
  <c r="H38" i="49" s="1"/>
  <c r="F39" i="49"/>
  <c r="G39" i="49" s="1"/>
  <c r="H39" i="49" s="1"/>
  <c r="F40" i="49"/>
  <c r="G40" i="49" s="1"/>
  <c r="H40" i="49" s="1"/>
  <c r="F41" i="49"/>
  <c r="G41" i="49" s="1"/>
  <c r="H41" i="49" s="1"/>
  <c r="F42" i="49"/>
  <c r="G42" i="49" s="1"/>
  <c r="H42" i="49" s="1"/>
  <c r="F43" i="49"/>
  <c r="G43" i="49" s="1"/>
  <c r="H43" i="49" s="1"/>
  <c r="F44" i="49"/>
  <c r="G44" i="49" s="1"/>
  <c r="H44" i="49" s="1"/>
  <c r="F46" i="49"/>
  <c r="G46" i="49" s="1"/>
  <c r="H46" i="49" s="1"/>
  <c r="F47" i="49"/>
  <c r="G47" i="49" s="1"/>
  <c r="H47" i="49" s="1"/>
  <c r="F48" i="49"/>
  <c r="G48" i="49" s="1"/>
  <c r="H48" i="49" s="1"/>
  <c r="F49" i="49"/>
  <c r="G49" i="49" s="1"/>
  <c r="H49" i="49" s="1"/>
  <c r="F50" i="49"/>
  <c r="G50" i="49" s="1"/>
  <c r="H50" i="49" s="1"/>
  <c r="F51" i="49"/>
  <c r="G51" i="49" s="1"/>
  <c r="H51" i="49" s="1"/>
  <c r="F53" i="49"/>
  <c r="G53" i="49" s="1"/>
  <c r="H53" i="49" s="1"/>
  <c r="F54" i="49"/>
  <c r="G54" i="49" s="1"/>
  <c r="H54" i="49" s="1"/>
  <c r="F55" i="49"/>
  <c r="G55" i="49" s="1"/>
  <c r="H55" i="49" s="1"/>
  <c r="F56" i="49"/>
  <c r="G56" i="49" s="1"/>
  <c r="H56" i="49" s="1"/>
  <c r="F57" i="49"/>
  <c r="G57" i="49" s="1"/>
  <c r="H57" i="49" s="1"/>
  <c r="F58" i="49"/>
  <c r="G58" i="49" s="1"/>
  <c r="H58" i="49" s="1"/>
  <c r="F59" i="49"/>
  <c r="G59" i="49" s="1"/>
  <c r="H59" i="49" s="1"/>
  <c r="F61" i="49"/>
  <c r="G61" i="49" s="1"/>
  <c r="H61" i="49" s="1"/>
  <c r="F62" i="49"/>
  <c r="G62" i="49" s="1"/>
  <c r="H62" i="49" s="1"/>
  <c r="F64" i="49"/>
  <c r="G64" i="49" s="1"/>
  <c r="H64" i="49" s="1"/>
  <c r="F65" i="49"/>
  <c r="G65" i="49" s="1"/>
  <c r="H65" i="49" s="1"/>
  <c r="F66" i="49"/>
  <c r="G66" i="49" s="1"/>
  <c r="H66" i="49" s="1"/>
  <c r="F67" i="49"/>
  <c r="G67" i="49" s="1"/>
  <c r="H67" i="49" s="1"/>
  <c r="F68" i="49"/>
  <c r="G68" i="49" s="1"/>
  <c r="H68" i="49" s="1"/>
  <c r="F69" i="49"/>
  <c r="G69" i="49" s="1"/>
  <c r="H69" i="49" s="1"/>
  <c r="F70" i="49"/>
  <c r="G70" i="49" s="1"/>
  <c r="H70" i="49" s="1"/>
  <c r="F71" i="49"/>
  <c r="G71" i="49" s="1"/>
  <c r="H71" i="49" s="1"/>
  <c r="F72" i="49"/>
  <c r="G72" i="49" s="1"/>
  <c r="H72" i="49" s="1"/>
  <c r="F73" i="49"/>
  <c r="G73" i="49" s="1"/>
  <c r="H73" i="49" s="1"/>
  <c r="F74" i="49"/>
  <c r="G74" i="49" s="1"/>
  <c r="H74" i="49" s="1"/>
  <c r="F75" i="49"/>
  <c r="G75" i="49" s="1"/>
  <c r="H75" i="49" s="1"/>
  <c r="F76" i="49"/>
  <c r="G76" i="49" s="1"/>
  <c r="H76" i="49" s="1"/>
  <c r="F77" i="49"/>
  <c r="G77" i="49" s="1"/>
  <c r="H77" i="49" s="1"/>
  <c r="F78" i="49"/>
  <c r="G78" i="49" s="1"/>
  <c r="H78" i="49" s="1"/>
  <c r="F79" i="49"/>
  <c r="G79" i="49" s="1"/>
  <c r="H79" i="49" s="1"/>
  <c r="F80" i="49"/>
  <c r="G80" i="49" s="1"/>
  <c r="H80" i="49" s="1"/>
  <c r="F81" i="49"/>
  <c r="G81" i="49" s="1"/>
  <c r="H81" i="49" s="1"/>
  <c r="G82" i="49" l="1"/>
  <c r="H6" i="49"/>
  <c r="H82" i="49" s="1"/>
  <c r="E17" i="58" l="1"/>
  <c r="D17" i="58"/>
  <c r="C17" i="58"/>
  <c r="B17" i="58"/>
  <c r="B19" i="58" s="1"/>
  <c r="F5" i="8"/>
  <c r="H30" i="44"/>
  <c r="H28" i="44"/>
  <c r="H26" i="44"/>
  <c r="H39" i="44"/>
  <c r="H38" i="44"/>
  <c r="H48" i="44"/>
  <c r="H44" i="44"/>
  <c r="H43" i="44"/>
  <c r="H37" i="44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P12" i="29" l="1"/>
  <c r="F106" i="29" l="1"/>
  <c r="F86" i="29"/>
  <c r="G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G4" i="8"/>
  <c r="H4" i="8" s="1"/>
  <c r="I4" i="8" s="1"/>
  <c r="C11" i="8" s="1"/>
  <c r="B13" i="18"/>
  <c r="D13" i="18" s="1"/>
  <c r="C22" i="18" l="1"/>
  <c r="I117" i="44"/>
  <c r="D14" i="18"/>
  <c r="I32" i="44"/>
  <c r="I34" i="44" s="1"/>
  <c r="E5" i="8"/>
  <c r="G5" i="8" s="1"/>
  <c r="H5" i="8" s="1"/>
  <c r="I5" i="8" s="1"/>
  <c r="C10" i="8" s="1"/>
  <c r="E19" i="58"/>
  <c r="D19" i="58"/>
  <c r="C19" i="58"/>
  <c r="F19" i="58" l="1"/>
  <c r="B12" i="58" s="1"/>
  <c r="C12" i="58" l="1"/>
  <c r="C9" i="8" l="1"/>
  <c r="C8" i="8" s="1"/>
  <c r="D12" i="58"/>
  <c r="A7" i="58" s="1"/>
  <c r="F7" i="58" s="1"/>
  <c r="G8" i="18" s="1"/>
  <c r="G17" i="18" l="1"/>
  <c r="G18" i="18" l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G8" i="64" l="1"/>
  <c r="G11" i="64" s="1"/>
  <c r="G19" i="18" s="1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G24" i="18" l="1"/>
  <c r="H18" i="18"/>
  <c r="I74" i="56"/>
  <c r="C21" i="18" l="1"/>
  <c r="C20" i="18"/>
  <c r="C19" i="18"/>
  <c r="B4" i="18"/>
  <c r="C24" i="18" l="1"/>
  <c r="B7" i="54"/>
  <c r="G7" i="54" s="1"/>
  <c r="B5" i="54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B19" i="54" l="1"/>
  <c r="G6" i="18" s="1"/>
  <c r="G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H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C17" i="36"/>
  <c r="C19" i="36" s="1"/>
  <c r="G4" i="36" s="1"/>
  <c r="J4" i="30"/>
  <c r="D9" i="29"/>
  <c r="J103" i="29" s="1"/>
  <c r="I52" i="29"/>
  <c r="D4" i="29" s="1"/>
  <c r="C29" i="26"/>
  <c r="C30" i="26" s="1"/>
  <c r="I116" i="29"/>
  <c r="D5" i="29" s="1"/>
  <c r="J19" i="30"/>
  <c r="J10" i="30"/>
  <c r="C15" i="37"/>
  <c r="C17" i="37" s="1"/>
  <c r="G2" i="37" s="1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G8" i="54"/>
  <c r="F160" i="28"/>
  <c r="D7" i="28" s="1"/>
  <c r="C28" i="26" s="1"/>
  <c r="C34" i="41"/>
  <c r="F117" i="29"/>
  <c r="F11" i="25"/>
  <c r="G11" i="25" s="1"/>
  <c r="G12" i="25" s="1"/>
  <c r="G14" i="25" s="1"/>
  <c r="C10" i="38"/>
  <c r="C12" i="38" s="1"/>
  <c r="C15" i="38" s="1"/>
  <c r="F3" i="38" s="1"/>
  <c r="F7" i="37"/>
  <c r="C14" i="37"/>
  <c r="C16" i="37" s="1"/>
  <c r="F2" i="37" s="1"/>
  <c r="C16" i="36"/>
  <c r="C18" i="36" s="1"/>
  <c r="F4" i="36" s="1"/>
  <c r="H4" i="36" s="1"/>
  <c r="H22" i="36" s="1"/>
  <c r="C16" i="26" s="1"/>
  <c r="F9" i="36"/>
  <c r="G9" i="36" s="1"/>
  <c r="C13" i="35"/>
  <c r="C16" i="35"/>
  <c r="C8" i="35"/>
  <c r="G57" i="31"/>
  <c r="P17" i="30"/>
  <c r="P18" i="30" s="1"/>
  <c r="E5" i="25"/>
  <c r="J106" i="29"/>
  <c r="J86" i="29"/>
  <c r="C27" i="26"/>
  <c r="D3" i="29"/>
  <c r="D6" i="29" s="1"/>
  <c r="D8" i="29" s="1"/>
  <c r="C11" i="26" s="1"/>
  <c r="I133" i="28"/>
  <c r="I160" i="28"/>
  <c r="C3" i="27"/>
  <c r="C5" i="27" s="1"/>
  <c r="G5" i="25"/>
  <c r="J42" i="29" l="1"/>
  <c r="G3" i="41"/>
  <c r="H3" i="41" s="1"/>
  <c r="H2" i="37"/>
  <c r="H19" i="37" s="1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4" i="8" s="1"/>
  <c r="C3" i="8" s="1"/>
  <c r="C33" i="26"/>
  <c r="G9" i="18" l="1"/>
  <c r="G11" i="18" l="1"/>
  <c r="G7" i="64" s="1"/>
  <c r="G10" i="64" s="1"/>
  <c r="G13" i="64" s="1"/>
  <c r="G4" i="54" l="1"/>
  <c r="B21" i="54"/>
  <c r="G12" i="18"/>
  <c r="G20" i="18" s="1"/>
  <c r="H4" i="18"/>
  <c r="H9" i="18"/>
  <c r="H10" i="18"/>
  <c r="H11" i="18"/>
  <c r="H7" i="18"/>
  <c r="H5" i="18"/>
  <c r="H8" i="18"/>
  <c r="H6" i="18"/>
  <c r="H3" i="18"/>
  <c r="G23" i="18" l="1"/>
  <c r="H20" i="18"/>
  <c r="B22" i="18" l="1"/>
  <c r="D22" i="18" s="1"/>
  <c r="B3" i="18"/>
  <c r="B19" i="18"/>
  <c r="B21" i="18"/>
  <c r="D21" i="18" s="1"/>
  <c r="B23" i="18"/>
  <c r="D23" i="18" s="1"/>
  <c r="B20" i="18"/>
  <c r="D20" i="18" s="1"/>
  <c r="G25" i="18"/>
  <c r="D19" i="18" l="1"/>
  <c r="D24" i="18" s="1"/>
  <c r="B24" i="18"/>
  <c r="B30" i="18"/>
  <c r="B28" i="18" l="1"/>
  <c r="B27" i="18"/>
  <c r="B31" i="18"/>
  <c r="B29" i="18"/>
  <c r="AB8" i="61" l="1"/>
  <c r="I16" i="61"/>
  <c r="K16" i="61" s="1"/>
  <c r="M16" i="61" s="1"/>
  <c r="O16" i="61" s="1"/>
  <c r="Q16" i="61" s="1"/>
  <c r="S16" i="61" s="1"/>
  <c r="U16" i="61" s="1"/>
  <c r="W16" i="61" s="1"/>
  <c r="Y16" i="61" s="1"/>
  <c r="AA16" i="61" s="1"/>
  <c r="AB16" i="61" s="1"/>
  <c r="E11" i="61"/>
  <c r="G11" i="61"/>
  <c r="G9" i="61"/>
  <c r="E9" i="61"/>
  <c r="G8" i="61"/>
  <c r="E8" i="61"/>
  <c r="G10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<sst xmlns="http://schemas.openxmlformats.org/spreadsheetml/2006/main" count="2846" uniqueCount="1464">
  <si>
    <t>Custos Ambientais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</si>
  <si>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</si>
  <si>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</si>
  <si>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</si>
  <si>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</si>
  <si>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</si>
  <si>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</si>
  <si>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</si>
  <si>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</si>
  <si>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</si>
  <si>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</si>
  <si>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</si>
  <si>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</si>
  <si>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</si>
  <si>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</si>
  <si>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</si>
  <si>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</si>
  <si>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</si>
  <si>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</si>
  <si>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</si>
  <si>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</si>
  <si>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</si>
  <si>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</si>
  <si>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</si>
  <si>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</si>
  <si>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</si>
  <si>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</si>
  <si>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</si>
  <si>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</si>
  <si>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</si>
  <si>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</si>
  <si>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</si>
  <si>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</si>
  <si>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</si>
  <si>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</si>
  <si>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</si>
  <si>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</si>
  <si>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</si>
  <si>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</si>
  <si>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</si>
  <si>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</si>
  <si>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</si>
  <si>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</si>
  <si>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</si>
  <si>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</si>
  <si>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</si>
  <si>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</si>
  <si>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</si>
  <si>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</si>
  <si>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</si>
  <si>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</si>
  <si>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</si>
  <si>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</si>
  <si>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</si>
  <si>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</si>
  <si>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</si>
  <si>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</si>
  <si>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</si>
  <si>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</si>
  <si>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</si>
  <si>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</si>
  <si>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</si>
  <si>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</si>
  <si>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</si>
  <si>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</si>
  <si>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</si>
  <si>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</si>
  <si>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</si>
  <si>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</si>
  <si>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</si>
  <si>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</si>
  <si>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</si>
  <si>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</si>
  <si>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</si>
  <si>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</si>
  <si>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</si>
  <si>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</si>
  <si>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</si>
  <si>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</si>
  <si>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</si>
  <si>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</si>
  <si>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</si>
  <si>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</si>
  <si>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</si>
  <si>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</si>
  <si>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</si>
  <si>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</si>
  <si>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</si>
  <si>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</si>
  <si>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</si>
  <si>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</si>
  <si>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</si>
  <si>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</si>
  <si>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</si>
  <si>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</si>
  <si>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</si>
  <si>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</si>
  <si>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</si>
  <si>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</si>
  <si>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</si>
  <si>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</si>
  <si>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</si>
  <si>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</si>
  <si>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</si>
  <si>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</si>
  <si>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</si>
  <si>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</si>
  <si>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</si>
  <si>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</si>
  <si>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</si>
  <si>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</si>
  <si>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</si>
  <si>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</si>
  <si>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</si>
  <si>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</si>
  <si>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</si>
  <si>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</si>
  <si>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</si>
  <si>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</si>
  <si>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</si>
  <si>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</si>
  <si>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</si>
  <si>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</si>
  <si>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</si>
  <si>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</si>
  <si>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</si>
  <si>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</si>
  <si>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</si>
  <si>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</si>
  <si>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</si>
  <si>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</si>
  <si>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</si>
  <si>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</si>
  <si>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</si>
  <si>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</si>
  <si>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</si>
  <si>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</si>
  <si>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</si>
  <si>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</si>
  <si>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</si>
  <si>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</si>
  <si>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</si>
  <si>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</si>
  <si>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</si>
  <si>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</si>
  <si>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</si>
  <si>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</si>
  <si>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</si>
  <si>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</si>
  <si>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</si>
  <si>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</si>
  <si>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</si>
  <si>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</si>
  <si>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</si>
  <si>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</si>
  <si>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</si>
  <si>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</si>
  <si>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</si>
  <si>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</si>
  <si>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</si>
  <si>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</si>
  <si>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</si>
  <si>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</si>
  <si>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</si>
  <si>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</si>
  <si>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</si>
  <si>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</si>
  <si>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</si>
  <si>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</si>
  <si>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</si>
  <si>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</si>
  <si>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</si>
  <si>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</si>
  <si>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</si>
  <si>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</si>
  <si>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</si>
  <si>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</si>
  <si>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</si>
  <si>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</si>
  <si>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</si>
  <si>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</si>
  <si>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</si>
  <si>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</si>
  <si>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</si>
  <si>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</si>
  <si>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</si>
  <si>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</si>
  <si>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</si>
  <si>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</si>
  <si>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</si>
  <si>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</si>
  <si>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</si>
  <si>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</si>
  <si>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</si>
  <si>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</si>
  <si>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</si>
  <si>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</si>
  <si>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</si>
  <si>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</si>
  <si>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</si>
  <si>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</si>
  <si>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</si>
  <si>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</si>
  <si>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</si>
  <si>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</si>
  <si>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</si>
  <si>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</si>
  <si>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</si>
  <si>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</si>
  <si>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</si>
  <si>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</si>
  <si>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</si>
  <si>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</si>
  <si>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</si>
  <si>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</si>
  <si>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</si>
  <si>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</si>
  <si>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</si>
  <si>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</si>
  <si>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</si>
  <si>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</si>
  <si>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</si>
  <si>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</si>
  <si>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</si>
  <si>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</si>
  <si>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</si>
  <si>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</si>
  <si>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</si>
  <si>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</si>
  <si>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</si>
  <si>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</si>
  <si>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</si>
  <si>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</si>
  <si>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</si>
  <si>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</si>
  <si>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</si>
  <si>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</si>
  <si>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</si>
  <si>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</si>
  <si>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</si>
  <si>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</si>
  <si>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</si>
  <si>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</si>
  <si>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</si>
  <si>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</si>
  <si>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</si>
  <si>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</si>
  <si>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</si>
  <si>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</si>
  <si>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</si>
  <si>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</si>
  <si>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</si>
  <si>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</si>
  <si>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</si>
  <si>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</si>
  <si>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</si>
  <si>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</si>
  <si>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</si>
  <si>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</si>
  <si>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</si>
  <si>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</si>
  <si>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</si>
  <si>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</si>
  <si>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</si>
  <si>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</si>
  <si>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</si>
  <si>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</si>
  <si>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</si>
  <si>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</si>
  <si>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</si>
  <si>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</si>
  <si>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</si>
  <si>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</si>
  <si>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</si>
  <si>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</si>
  <si>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</si>
  <si>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</si>
  <si>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</si>
  <si>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</si>
  <si>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</si>
  <si>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</si>
  <si>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</si>
  <si>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</si>
  <si>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</si>
  <si>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</si>
  <si>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</si>
  <si>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</si>
  <si>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</si>
  <si>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</si>
  <si>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</si>
  <si>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</si>
  <si>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</si>
  <si>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</si>
  <si>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</si>
  <si>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</si>
  <si>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</si>
  <si>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</si>
  <si>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</si>
  <si>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</si>
  <si>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</si>
  <si>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</si>
  <si>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</si>
  <si>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</si>
  <si>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</si>
  <si>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</si>
  <si>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</si>
  <si>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</si>
  <si>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</si>
  <si>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</si>
  <si>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</si>
  <si>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</si>
  <si>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</si>
  <si>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</si>
  <si>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</si>
  <si>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</si>
  <si>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</si>
  <si>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</si>
  <si>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</si>
  <si>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</si>
  <si>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</si>
  <si>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</si>
  <si>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</si>
  <si>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</si>
  <si>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</si>
  <si>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</si>
  <si>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</si>
  <si>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</si>
  <si>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</si>
  <si>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</si>
  <si>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</si>
  <si>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</si>
  <si>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</si>
  <si>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</si>
  <si>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</si>
  <si>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</si>
  <si>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</si>
  <si>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</si>
  <si>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</si>
  <si>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</si>
  <si>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</si>
  <si>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</si>
  <si>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</si>
  <si>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</si>
  <si>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</si>
  <si>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</si>
  <si>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</si>
  <si>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</si>
  <si>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</si>
  <si>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</si>
  <si>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</si>
  <si>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</si>
  <si>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</si>
  <si>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</si>
  <si>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</si>
  <si>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</si>
  <si>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</si>
  <si>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</si>
  <si>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</si>
  <si>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</si>
  <si>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</si>
  <si>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</si>
  <si>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</si>
  <si>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</si>
  <si>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</si>
  <si>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</si>
  <si>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</si>
  <si>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</si>
  <si>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</si>
  <si>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</si>
  <si>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</si>
  <si>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</si>
  <si>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</si>
  <si>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</si>
  <si>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</si>
  <si>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</si>
  <si>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</si>
  <si>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</si>
  <si>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</si>
  <si>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</si>
  <si>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</si>
  <si>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</si>
  <si>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</si>
  <si>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</si>
  <si>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</si>
  <si>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</si>
  <si>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</si>
  <si>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</si>
  <si>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</si>
  <si>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</si>
  <si>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</si>
  <si>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</si>
  <si>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</si>
  <si>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</si>
  <si>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</si>
  <si>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</si>
  <si>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</si>
  <si>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</si>
  <si>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</si>
  <si>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</si>
  <si>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</si>
  <si>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</si>
  <si>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</si>
  <si>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</si>
  <si>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</si>
  <si>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</si>
  <si>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</si>
  <si>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</si>
  <si>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</si>
  <si>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</si>
  <si>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</si>
  <si>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</si>
  <si>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</si>
  <si>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</si>
  <si>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</si>
  <si>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</si>
  <si>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</si>
  <si>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</si>
  <si>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</si>
  <si>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</si>
  <si>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</si>
  <si>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</si>
  <si>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</si>
  <si>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</si>
  <si>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</si>
  <si>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</si>
  <si>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</si>
  <si>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</si>
  <si>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</si>
  <si>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</si>
  <si>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</si>
  <si>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</si>
  <si>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</si>
  <si>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</si>
  <si>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</si>
  <si>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</si>
  <si>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</si>
  <si>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</si>
  <si>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</si>
  <si>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</si>
  <si>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</si>
  <si>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</si>
  <si>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</si>
  <si>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</si>
  <si>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</si>
  <si>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</si>
  <si>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</si>
  <si>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</si>
  <si>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</si>
  <si>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</si>
  <si>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</si>
  <si>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</si>
  <si>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</si>
  <si>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</si>
  <si>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</si>
  <si>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</si>
  <si>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</si>
  <si>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SINAPI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</si>
  <si>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</si>
  <si>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</si>
  <si>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</si>
  <si>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</si>
  <si>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</si>
  <si>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R$/ ano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</si>
  <si>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</si>
  <si>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</si>
  <si>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</si>
  <si>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</si>
  <si>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</si>
  <si>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</si>
  <si>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</si>
  <si>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</si>
  <si>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</si>
  <si>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</si>
  <si>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</si>
  <si>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</si>
  <si>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</si>
  <si>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</si>
  <si>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</si>
  <si>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</si>
  <si>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</si>
  <si>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</si>
  <si>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</si>
  <si>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</si>
  <si>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</si>
  <si>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</si>
  <si>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</si>
  <si>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</si>
  <si>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</si>
  <si>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</si>
  <si>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</si>
  <si>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</si>
  <si>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</si>
  <si>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</si>
  <si>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</si>
  <si>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</si>
  <si>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</si>
  <si>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</si>
  <si>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</si>
  <si>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</si>
  <si>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</si>
  <si>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</si>
  <si>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</si>
  <si>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</si>
  <si>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</si>
  <si>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</si>
  <si>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</si>
  <si>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</si>
  <si>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</si>
  <si>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</si>
  <si>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</si>
  <si>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</si>
  <si>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</si>
  <si>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</si>
  <si>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</si>
  <si>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</si>
  <si>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</si>
  <si>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</si>
  <si>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</si>
  <si>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</si>
  <si>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</si>
  <si>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</si>
  <si>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</si>
  <si>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</si>
  <si>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</si>
  <si>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</si>
  <si>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</si>
  <si>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</si>
  <si>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</si>
  <si>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</si>
  <si>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</si>
  <si>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</si>
  <si>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</si>
  <si>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</si>
  <si>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</si>
  <si>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</si>
  <si>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</si>
  <si>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</si>
  <si>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</si>
  <si>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</si>
  <si>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</si>
  <si>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</si>
  <si>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</si>
  <si>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</si>
  <si>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</si>
  <si>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</si>
  <si>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</si>
  <si>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</si>
  <si>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</si>
  <si>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</si>
  <si>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</si>
  <si>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</si>
  <si>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</si>
  <si>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</si>
  <si>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</si>
  <si>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</si>
  <si>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</si>
  <si>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</si>
  <si>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</si>
  <si>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</si>
  <si>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</si>
  <si>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</si>
  <si>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</si>
  <si>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</si>
  <si>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</si>
  <si>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</si>
  <si>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</si>
  <si>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</si>
  <si>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</si>
  <si>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</si>
  <si>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</si>
  <si>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</si>
  <si>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</si>
  <si>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</si>
  <si>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</si>
  <si>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</si>
  <si>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</si>
  <si>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</si>
  <si>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</si>
  <si>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</si>
  <si>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</si>
  <si>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</si>
  <si>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</si>
  <si>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</si>
  <si>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</si>
  <si>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</si>
  <si>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</si>
  <si>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</si>
  <si>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</si>
  <si>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</si>
  <si>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</si>
  <si>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</si>
  <si>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</si>
  <si>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</si>
  <si>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</si>
  <si>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</si>
  <si>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</si>
  <si>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</si>
  <si>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</si>
  <si>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</si>
  <si>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</si>
  <si>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</si>
  <si>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</si>
  <si>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</si>
  <si>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</si>
  <si>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</si>
  <si>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</si>
  <si>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</si>
  <si>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</si>
  <si>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</si>
  <si>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</si>
  <si>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</si>
  <si>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</si>
  <si>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</si>
  <si>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</si>
  <si>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</si>
  <si>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</si>
  <si>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</si>
  <si>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</si>
  <si>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</si>
  <si>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</si>
  <si>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</si>
  <si>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</si>
  <si>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</si>
  <si>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</si>
  <si>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</si>
  <si>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</si>
  <si>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</si>
  <si>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</si>
  <si>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</si>
  <si>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</si>
  <si>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</si>
  <si>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</si>
  <si>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</si>
  <si>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</si>
  <si>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</si>
  <si>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</si>
  <si>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</si>
  <si>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</si>
  <si>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</si>
  <si>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</si>
  <si>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</si>
  <si>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</si>
  <si>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</si>
  <si>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</si>
  <si>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</si>
  <si>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</si>
  <si>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</si>
  <si>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</si>
  <si>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</si>
  <si>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</si>
  <si>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</si>
  <si>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</si>
  <si>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</si>
  <si>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</si>
  <si>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</si>
  <si>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</si>
  <si>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</si>
  <si>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</si>
  <si>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</si>
  <si>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</si>
  <si>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</si>
  <si>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</si>
  <si>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</si>
  <si>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</si>
  <si>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</si>
  <si>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</si>
  <si>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</si>
  <si>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</si>
  <si>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</si>
  <si>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</si>
  <si>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</si>
  <si>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</si>
  <si>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</si>
  <si>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</si>
  <si>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</si>
  <si>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</si>
  <si>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</si>
  <si>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</si>
  <si>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</si>
  <si>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</si>
  <si>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</si>
  <si>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</si>
  <si>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</si>
  <si>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</si>
  <si>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</si>
  <si>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</si>
  <si>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</si>
  <si>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</si>
  <si>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</si>
  <si>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</si>
  <si>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</si>
  <si>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</si>
  <si>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</si>
  <si>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</si>
  <si>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</si>
  <si>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</si>
  <si>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</si>
  <si>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</si>
  <si>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</si>
  <si>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</si>
  <si>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</si>
  <si>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</si>
  <si>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</si>
  <si>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</si>
  <si>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</si>
  <si>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</si>
  <si>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</si>
  <si>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</si>
  <si>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</si>
  <si>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</si>
  <si>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</si>
  <si>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</si>
  <si>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</si>
  <si>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</si>
  <si>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</si>
  <si>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</si>
  <si>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</si>
  <si>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</si>
  <si>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</si>
  <si>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</si>
  <si>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</si>
  <si>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</si>
  <si>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</si>
  <si>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</si>
  <si>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</si>
  <si>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</si>
  <si>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</si>
  <si>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</si>
  <si>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</si>
  <si>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</si>
  <si>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</si>
  <si>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</si>
  <si>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</si>
  <si>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</si>
  <si>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</si>
  <si>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</si>
  <si>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</si>
  <si>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</si>
  <si>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</si>
  <si>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</si>
  <si>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</si>
  <si>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</si>
  <si>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</si>
  <si>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</si>
  <si>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</si>
  <si>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</si>
  <si>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</si>
  <si>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</si>
  <si>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</si>
  <si>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</si>
  <si>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</si>
  <si>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</si>
  <si>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</si>
  <si>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</si>
  <si>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</si>
  <si>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</si>
  <si>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</si>
  <si>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</si>
  <si>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</si>
  <si>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</si>
  <si>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</si>
  <si>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</si>
  <si>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</si>
  <si>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</si>
  <si>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</si>
  <si>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</si>
  <si>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</si>
  <si>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</si>
  <si>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</si>
  <si>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</si>
  <si>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</si>
  <si>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</si>
  <si>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</si>
  <si>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</si>
  <si>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</si>
  <si>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</si>
  <si>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</si>
  <si>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</si>
  <si>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</si>
  <si>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</si>
  <si>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</si>
  <si>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</si>
  <si>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</si>
  <si>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</si>
  <si>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</si>
  <si>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</si>
  <si>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</si>
  <si>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</si>
  <si>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</si>
  <si>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</si>
  <si>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</si>
  <si>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</si>
  <si>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</si>
  <si>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</si>
  <si>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</si>
  <si>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</si>
  <si>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</si>
  <si>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</si>
  <si>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</si>
  <si>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</si>
  <si>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</si>
  <si>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</si>
  <si>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</si>
  <si>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</si>
  <si>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</si>
  <si>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</si>
  <si>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</si>
  <si>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</si>
  <si>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</si>
  <si>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</si>
  <si>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</si>
  <si>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</si>
  <si>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</si>
  <si>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</si>
  <si>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</si>
  <si>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</si>
  <si>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</si>
  <si>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</si>
  <si>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</si>
  <si>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</si>
  <si>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</si>
  <si>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</si>
  <si>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</si>
  <si>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</si>
  <si>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</si>
  <si>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</si>
  <si>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</si>
  <si>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</si>
  <si>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</si>
  <si>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</si>
  <si>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</si>
  <si>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</si>
  <si>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</si>
  <si>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</si>
  <si>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</si>
  <si>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</si>
  <si>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</si>
  <si>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</si>
  <si>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</si>
  <si>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</si>
  <si>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</si>
  <si>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</si>
  <si>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</si>
  <si>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</si>
  <si>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</si>
  <si>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</si>
  <si>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</si>
  <si>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</si>
  <si>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</si>
  <si>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</si>
  <si>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</si>
  <si>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</si>
  <si>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</si>
  <si>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</si>
  <si>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</si>
  <si>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</si>
  <si>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</si>
  <si>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</si>
  <si>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</si>
  <si>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</si>
  <si>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</si>
  <si>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</si>
  <si>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</si>
  <si>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</si>
  <si>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</si>
  <si>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</si>
  <si>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</si>
  <si>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</si>
  <si>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</si>
  <si>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</si>
  <si>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</si>
  <si>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</si>
  <si>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</si>
  <si>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</si>
  <si>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</si>
  <si>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</si>
  <si>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</si>
  <si>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</si>
  <si>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</si>
  <si>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</si>
  <si>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</si>
  <si>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</si>
  <si>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</si>
  <si>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</si>
  <si>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</si>
  <si>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</si>
  <si>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</si>
  <si>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</si>
  <si>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</si>
  <si>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</si>
  <si>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</si>
  <si>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</si>
  <si>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</si>
  <si>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</si>
  <si>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</si>
  <si>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</si>
  <si>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</si>
  <si>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</si>
  <si>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</si>
  <si>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</si>
  <si>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</si>
  <si>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</si>
  <si>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</si>
  <si>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</si>
  <si>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</si>
  <si>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</si>
  <si>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</si>
  <si>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</si>
  <si>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</si>
  <si>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</si>
  <si>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</si>
  <si>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</si>
  <si>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</si>
  <si>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</si>
  <si>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</si>
  <si>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</si>
  <si>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</si>
  <si>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</si>
  <si>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</si>
  <si>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</si>
  <si>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</si>
  <si>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</si>
  <si>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</si>
  <si>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</si>
  <si>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</si>
  <si>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</si>
  <si>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</si>
  <si>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</si>
  <si>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</si>
  <si>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</si>
  <si>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</si>
  <si>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Secretária de Superintendente Regional </t>
  </si>
  <si>
    <t xml:space="preserve">FC-7 </t>
  </si>
  <si>
    <t xml:space="preserve">Chefe de Setor </t>
  </si>
  <si>
    <t>FC-6</t>
  </si>
  <si>
    <t xml:space="preserve">Chefe de Unidade de Produção e Pesquisa </t>
  </si>
  <si>
    <t>Chefe de Escritório de Apoio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</si>
  <si>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</si>
  <si>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</si>
  <si>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</si>
  <si>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</si>
  <si>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</si>
  <si>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</si>
  <si>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</si>
  <si>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</si>
  <si>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</si>
  <si>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</si>
  <si>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Gerente</t>
  </si>
  <si>
    <t>Assistência Médica e Odontológica</t>
  </si>
  <si>
    <t>Exames Períodicos</t>
  </si>
  <si>
    <t>FC-3</t>
  </si>
  <si>
    <t>Auxílio Transporte</t>
  </si>
  <si>
    <t xml:space="preserve">Secretário Executivo </t>
  </si>
  <si>
    <t xml:space="preserve">FC-2 </t>
  </si>
  <si>
    <t>Assistência Pré-Escolar</t>
  </si>
  <si>
    <t>Auxílio -Alimentação</t>
  </si>
  <si>
    <t>Titulares</t>
  </si>
  <si>
    <t xml:space="preserve">FC-1 </t>
  </si>
  <si>
    <t>Legislação</t>
  </si>
  <si>
    <t>Valor Per Capita (R$ 1,00)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</si>
  <si>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</si>
  <si>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</si>
  <si>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</si>
  <si>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</si>
  <si>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</si>
  <si>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</si>
  <si>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</si>
  <si>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</si>
  <si>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</si>
  <si>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</si>
  <si>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</si>
  <si>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</si>
  <si>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</si>
  <si>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</si>
  <si>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</si>
  <si>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</si>
  <si>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</si>
  <si>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</si>
  <si>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</si>
  <si>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</si>
  <si>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</si>
  <si>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</si>
  <si>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</si>
  <si>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</si>
  <si>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</si>
  <si>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</si>
  <si>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</si>
  <si>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</si>
  <si>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</si>
  <si>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</si>
  <si>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</si>
  <si>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</si>
  <si>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</si>
  <si>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</si>
  <si>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</si>
  <si>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</si>
  <si>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</si>
  <si>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</si>
  <si>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</si>
  <si>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</si>
  <si>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</si>
  <si>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</si>
  <si>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</si>
  <si>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</si>
  <si>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</si>
  <si>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</si>
  <si>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</si>
  <si>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</si>
  <si>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</si>
  <si>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</si>
  <si>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</si>
  <si>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</si>
  <si>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</si>
  <si>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</si>
  <si>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</si>
  <si>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</si>
  <si>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</si>
  <si>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</si>
  <si>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</si>
  <si>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</si>
  <si>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</si>
  <si>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</si>
  <si>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</si>
  <si>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</si>
  <si>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</si>
  <si>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</si>
  <si>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</si>
  <si>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</si>
  <si>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</si>
  <si>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</si>
  <si>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</si>
  <si>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</si>
  <si>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</si>
  <si>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</si>
  <si>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</si>
  <si>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</si>
  <si>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</si>
  <si>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</si>
  <si>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</si>
  <si>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</si>
  <si>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</si>
  <si>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</si>
  <si>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</si>
  <si>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Veículos e combustível</t>
  </si>
  <si>
    <t>Exames periódicos</t>
  </si>
  <si>
    <t>Tecnologia da Informação</t>
  </si>
  <si>
    <t>Seguro Predial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</si>
  <si>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</si>
  <si>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</si>
  <si>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</si>
  <si>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</si>
  <si>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</si>
  <si>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</si>
  <si>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Despesas Adm. Mão de Obra Própria</t>
  </si>
  <si>
    <t>Adotado ANA</t>
  </si>
  <si>
    <t>Valor R$</t>
  </si>
  <si>
    <t xml:space="preserve">Despesas </t>
  </si>
  <si>
    <t>Material e Serviços</t>
  </si>
  <si>
    <t>Demanda</t>
  </si>
  <si>
    <t>Soma</t>
  </si>
  <si>
    <t>ESS (R$/MWh)</t>
  </si>
  <si>
    <t>PROINFA (R$/MWh)</t>
  </si>
  <si>
    <t>CDE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</si>
  <si>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</si>
  <si>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</si>
  <si>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</si>
  <si>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</si>
  <si>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</si>
  <si>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</si>
  <si>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</si>
  <si>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</si>
  <si>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</si>
  <si>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</si>
  <si>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</si>
  <si>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</si>
  <si>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</si>
  <si>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</si>
  <si>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</si>
  <si>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</si>
  <si>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</si>
  <si>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</si>
  <si>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</si>
  <si>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</si>
  <si>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</si>
  <si>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</si>
  <si>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</si>
  <si>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</si>
  <si>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MUST (KW)</t>
  </si>
  <si>
    <t>EUST anual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</si>
  <si>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</si>
  <si>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</si>
  <si>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</si>
  <si>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</si>
  <si>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</si>
  <si>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</si>
  <si>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</si>
  <si>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</si>
  <si>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</si>
  <si>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</si>
  <si>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</si>
  <si>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</si>
  <si>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</si>
  <si>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</si>
  <si>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</si>
  <si>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</si>
  <si>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</si>
  <si>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</si>
  <si>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</si>
  <si>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</si>
  <si>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</si>
  <si>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</si>
  <si>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Total Receita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</si>
  <si>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</si>
  <si>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</si>
  <si>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</si>
  <si>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</si>
  <si>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</si>
  <si>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</si>
  <si>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</si>
  <si>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</si>
  <si>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</si>
  <si>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</si>
  <si>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</si>
  <si>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Receita Requerida Total</t>
  </si>
  <si>
    <t>Disponibilidade</t>
  </si>
  <si>
    <t>efic total cat</t>
  </si>
  <si>
    <t>CEN</t>
  </si>
  <si>
    <t>Pot kW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</si>
  <si>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</si>
  <si>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</si>
  <si>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</si>
  <si>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</si>
  <si>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</si>
  <si>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</si>
  <si>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</si>
  <si>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</si>
  <si>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</si>
  <si>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</si>
  <si>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</si>
  <si>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</si>
  <si>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</si>
  <si>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</si>
  <si>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</si>
  <si>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</si>
  <si>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</si>
  <si>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</si>
  <si>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</si>
  <si>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</si>
  <si>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</si>
  <si>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</si>
  <si>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</si>
  <si>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</si>
  <si>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</si>
  <si>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do valor considerado razoável pela Ana para o 1º ano de operação</t>
  </si>
  <si>
    <t>Cálculo Tav</t>
  </si>
  <si>
    <t>alterados após audiência</t>
  </si>
  <si>
    <t>Contendo 13º + 1/3 férias (exceto para Presidente e Diretores)</t>
  </si>
  <si>
    <t>Salários +Encargos+Gratificação natalina + 1/3 férias</t>
  </si>
  <si>
    <t>Sistema de proteção e combate à incêndio</t>
  </si>
  <si>
    <t>Adotado pela ANA</t>
  </si>
  <si>
    <t>diferença</t>
  </si>
  <si>
    <t>Valor a ser pago</t>
  </si>
  <si>
    <t>União</t>
  </si>
  <si>
    <t>Chefe de Gabinete de Superintendência Regional</t>
  </si>
  <si>
    <t>Chefe de Secretaria da Presidência</t>
  </si>
  <si>
    <t xml:space="preserve">Gestão </t>
  </si>
  <si>
    <t>1015,5 - participação dos empregados 2%  do valor recebido</t>
  </si>
  <si>
    <t>Valor corrigido para janeiro de 2018</t>
  </si>
  <si>
    <t>Fator de correção IGPM para dezembro de 2017</t>
  </si>
  <si>
    <t>fórmula corrigida para multiplicar por 8 ao invés de 12</t>
  </si>
  <si>
    <t>Escritórios</t>
  </si>
  <si>
    <t>m²/pessoa</t>
  </si>
  <si>
    <t>473 pessoas Sede</t>
  </si>
  <si>
    <t>10 ER Aneel 2007  4730 m²</t>
  </si>
  <si>
    <t xml:space="preserve">e </t>
  </si>
  <si>
    <t xml:space="preserve">pessoas </t>
  </si>
  <si>
    <t>Estacionamento</t>
  </si>
  <si>
    <t>m²/administrativo</t>
  </si>
  <si>
    <t>R$/m².ano</t>
  </si>
  <si>
    <t>Despesas de Viagens (Diárias e Passagens )</t>
  </si>
  <si>
    <t xml:space="preserve">R$ salários - ano </t>
  </si>
  <si>
    <t>R$ viagens- ano</t>
  </si>
  <si>
    <t xml:space="preserve">Mobiliários </t>
  </si>
  <si>
    <t xml:space="preserve">(-) 10% depreciação anual </t>
  </si>
  <si>
    <t xml:space="preserve">Seguro predial </t>
  </si>
  <si>
    <t xml:space="preserve">Comunicação </t>
  </si>
  <si>
    <t xml:space="preserve">R$ /pessoa.mês </t>
  </si>
  <si>
    <t xml:space="preserve"> - Sede Codevasf</t>
  </si>
  <si>
    <t xml:space="preserve">pessoa </t>
  </si>
  <si>
    <t xml:space="preserve">R$ /ano </t>
  </si>
  <si>
    <t>Papelaria e outros</t>
  </si>
  <si>
    <t>R$ /pessoa.mês</t>
  </si>
  <si>
    <t>pessoa</t>
  </si>
  <si>
    <t>R$ /ano</t>
  </si>
  <si>
    <t xml:space="preserve">Tecnologia da Informação </t>
  </si>
  <si>
    <t>R$ /pessoa.ano</t>
  </si>
  <si>
    <t>Computadores Pessoais  Hardware</t>
  </si>
  <si>
    <t>Software</t>
  </si>
  <si>
    <t>Sistemas Gestão Administrativa</t>
  </si>
  <si>
    <t>Estimativa das Despesas relativa aos Benefícios Trabalhistas concedidos a mão de obra própria da Codevasf</t>
  </si>
  <si>
    <t>valor</t>
  </si>
  <si>
    <t>unidade</t>
  </si>
  <si>
    <t>pessoas</t>
  </si>
  <si>
    <t>dias</t>
  </si>
  <si>
    <t>trecho</t>
  </si>
  <si>
    <t>R$ /mês.beneficiário</t>
  </si>
  <si>
    <t>R$ /pessoas.dias</t>
  </si>
  <si>
    <t>R$/mês.filho-pré-escol</t>
  </si>
  <si>
    <t>Fundação São Francisco (Previdência Privada)</t>
  </si>
  <si>
    <t>R$/mês.optante</t>
  </si>
  <si>
    <t>R$/trecho.pessoa</t>
  </si>
  <si>
    <t>Seguro de vida</t>
  </si>
  <si>
    <t>R$/pessoa.optante.mês</t>
  </si>
  <si>
    <t>TUST (R$/KW)*</t>
  </si>
  <si>
    <t xml:space="preserve">Total </t>
  </si>
  <si>
    <t>SubTotal</t>
  </si>
  <si>
    <t>Variação IGP-M dez/2017 a out/2018</t>
  </si>
  <si>
    <t>Valor atualizado para out 2018</t>
  </si>
  <si>
    <t>RESUMO CUSTOS DE OPERAÇÃO E MANUTENÇÃO</t>
  </si>
  <si>
    <t>Engenheiro Profissional pleno - P2</t>
  </si>
  <si>
    <t>tabela de consultoria do DNIT - SICRO</t>
  </si>
  <si>
    <t>Técnico Pleno - T2</t>
  </si>
  <si>
    <t>Serventes / contínuos</t>
  </si>
  <si>
    <t>Técnico Mecânico Mergulhador</t>
  </si>
  <si>
    <t>Técnico Auxiliar - T4</t>
  </si>
  <si>
    <t>Vigias</t>
  </si>
  <si>
    <t>Consultor especial</t>
  </si>
  <si>
    <t>código 88316 da tabela SINAPI Composições sintético não desonerado para Pernambuco</t>
  </si>
  <si>
    <t>código 88317 da tabela SINAPI Composições sintético não desonerado para Pernambuco</t>
  </si>
  <si>
    <t>código 90780 da tabela SINAPI Composições sintético não desonerado para Pernambuco</t>
  </si>
  <si>
    <t>código 88309 da tabela SINAPI Composições sintético não desonerado para Pernambuco</t>
  </si>
  <si>
    <t>código 88310 da tabela SINAPI Composições sintético não desonerado para Pernambuco</t>
  </si>
  <si>
    <t>código 88242 da tabela SINAPI Composições sintético não desonerado para Pernambuco</t>
  </si>
  <si>
    <t>estimado</t>
  </si>
  <si>
    <t>Cotação de 1 US$</t>
  </si>
  <si>
    <t>código74033/001 da tabela SINAPI Composições sintético não desonerado para Pernambuco</t>
  </si>
  <si>
    <t>Geogrelha nos taludes</t>
  </si>
  <si>
    <t>Aluguel veículo 4 x 4 sem motorista - diária</t>
  </si>
  <si>
    <t>Aluguel veículo 4 x 4 sem motorista 140 a 165 CV - mês</t>
  </si>
  <si>
    <t>Passagens aéreas SP - PISF - SP</t>
  </si>
  <si>
    <t>Engenheiro Profissional sênior - P1</t>
  </si>
  <si>
    <t>Engenheiro Profissional júnior - P3</t>
  </si>
  <si>
    <t>Auxiliar de Escritório</t>
  </si>
  <si>
    <t>ITENS QUE DEVEM SER ATUALIZADOS POR TABELAS OFICIAIS OU ESTIMADOS</t>
  </si>
  <si>
    <t>Preço da Energia elétrica utilizado para fins de tarifa (R$/MWh)</t>
  </si>
  <si>
    <t>banco central</t>
  </si>
  <si>
    <t>OBS</t>
  </si>
  <si>
    <t>item atualizado pelos custos unitários</t>
  </si>
  <si>
    <t>item atualizado pela variação do IGP-M</t>
  </si>
  <si>
    <t>Contratos Codevasf</t>
  </si>
  <si>
    <t>Preço da Energia elétrica no mercado regulado (R$/MWh)</t>
  </si>
  <si>
    <t>TUST Eixo Norte Bom Nome - Ponta (R$/KW)</t>
  </si>
  <si>
    <t>TUST Eixo Norte Bom Nome - Fora Ponta (R$/KW)</t>
  </si>
  <si>
    <t>TUST Eixo Leste - Floresta - Ponta (R$/KW)</t>
  </si>
  <si>
    <t>TUST Eixo Leste - Floresta - Fora Ponta (R$/KW)</t>
  </si>
  <si>
    <t>Vazão média de bombeamento (m³/s)</t>
  </si>
  <si>
    <t>EBV-1</t>
  </si>
  <si>
    <t>EBI-1</t>
  </si>
  <si>
    <t>EBV-2</t>
  </si>
  <si>
    <t>EBI-2</t>
  </si>
  <si>
    <t>EBV-3</t>
  </si>
  <si>
    <t>EBI-3</t>
  </si>
  <si>
    <t>EBV-4</t>
  </si>
  <si>
    <t>EBV-5</t>
  </si>
  <si>
    <t>EBV-6</t>
  </si>
  <si>
    <t>VAZÕES BOMBEADAS</t>
  </si>
  <si>
    <t>ANA 2018</t>
  </si>
  <si>
    <t>ANA 2019</t>
  </si>
  <si>
    <t>Escritórios, estacionamento e manutenção, e segurança predial  limpeza predial</t>
  </si>
  <si>
    <t>ANEXO 3 - TABELAS SALÁRIAIS</t>
  </si>
  <si>
    <t>Reajustada em 3,97% (retroativo a 1/05/2017) Dissídio Coletivo - Sentença TST</t>
  </si>
  <si>
    <t>ANEXO1 - TABELAS FUNÇÕES DE CONFIANÇA</t>
  </si>
  <si>
    <t>Chefe de Centro de Controle</t>
  </si>
  <si>
    <t>ANEXO 3 - TABELAS DE REMUNERAÇÃO DE CARGOS EM COMISSÃO</t>
  </si>
  <si>
    <t>CC-3</t>
  </si>
  <si>
    <t>Escritórios , estacionamento e manutenção e limpeza predial</t>
  </si>
  <si>
    <t>Despesa de viagens ( diárias e passagens)</t>
  </si>
  <si>
    <t>Mobiliários</t>
  </si>
  <si>
    <t>Água e eletricidade</t>
  </si>
  <si>
    <t>Veículos e combustíveis</t>
  </si>
  <si>
    <t>Codevasf</t>
  </si>
  <si>
    <t>Limpeza e conservação, munutenção,  vigilância ostensiva, serviços de cópias e reprodução de documentos</t>
  </si>
  <si>
    <t>Manutenção e Limpeza Predial</t>
  </si>
  <si>
    <t xml:space="preserve">2,5 %  dos salários ajustados  </t>
  </si>
  <si>
    <t>Não houve atualização , a tendência é depreciar    R$  43.802,15</t>
  </si>
  <si>
    <t>Custos</t>
  </si>
  <si>
    <t xml:space="preserve">1% do valor do aluguel escritórios e estacionamento  </t>
  </si>
  <si>
    <t>Custos comunicação</t>
  </si>
  <si>
    <t>473 - sede Codevasf</t>
  </si>
  <si>
    <t>Custos água e eletricidade</t>
  </si>
  <si>
    <t xml:space="preserve">Custos papelaria e outros </t>
  </si>
  <si>
    <t>Custos Tecnologia da Informação</t>
  </si>
  <si>
    <t>Total de veículos do PISF área administrativa   Sede  1</t>
  </si>
  <si>
    <t xml:space="preserve">              </t>
  </si>
  <si>
    <t>Total de veículos Salgueiro  área administrativa PISF -4</t>
  </si>
  <si>
    <t>Nacional</t>
  </si>
  <si>
    <t xml:space="preserve">R$/pessoa.optante. ano </t>
  </si>
  <si>
    <t>Mês Lançamento</t>
  </si>
  <si>
    <t>JAN/2018</t>
  </si>
  <si>
    <t>FEV/2018</t>
  </si>
  <si>
    <t>MAR/2018</t>
  </si>
  <si>
    <t>ABR/2018</t>
  </si>
  <si>
    <t>MAI/2018</t>
  </si>
  <si>
    <t>JUN/2018</t>
  </si>
  <si>
    <t>JUL/2018</t>
  </si>
  <si>
    <t>AGO/2018</t>
  </si>
  <si>
    <t>SET/2018</t>
  </si>
  <si>
    <t>OUT/2018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</si>
  <si>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</si>
  <si>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</si>
  <si>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</si>
  <si>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</si>
  <si>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</si>
  <si>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</si>
  <si>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</si>
  <si>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</si>
  <si>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</si>
  <si>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</si>
  <si>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</si>
  <si>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</si>
  <si>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</si>
  <si>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</si>
  <si>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</si>
  <si>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</si>
  <si>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</si>
  <si>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</si>
  <si>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</si>
  <si>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</si>
  <si>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</si>
  <si>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</si>
  <si>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NOV/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</si>
  <si>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</si>
  <si>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</si>
  <si>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</si>
  <si>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</si>
  <si>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</si>
  <si>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</si>
  <si>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</si>
  <si>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</si>
  <si>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</si>
  <si>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</si>
  <si>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</si>
  <si>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</si>
  <si>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</si>
  <si>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</si>
  <si>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</si>
  <si>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</si>
  <si>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</si>
  <si>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</si>
  <si>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</si>
  <si>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</si>
  <si>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</si>
  <si>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</si>
  <si>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</si>
  <si>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</si>
  <si>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</si>
  <si>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</si>
  <si>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</si>
  <si>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>Execução Orçamentária Sede</t>
  </si>
  <si>
    <t>Contrato 0.110.00/2018 Codevasf</t>
  </si>
  <si>
    <t>Exames Periodicos</t>
  </si>
  <si>
    <t>Serviços de auditoria independente para exame das Demonstrações Financeiras e Patrimônio do PISF</t>
  </si>
  <si>
    <t>-</t>
  </si>
  <si>
    <t>CDE *(R$/MWh)</t>
  </si>
  <si>
    <t>PROINFA** (R$/MWh)</t>
  </si>
  <si>
    <t>LEGENDA</t>
  </si>
  <si>
    <t>COMPONENTE 1 DO CUSTO FIXO - DEMANDA</t>
  </si>
  <si>
    <t>valores corrigidos monetariamente (9,2618%)</t>
  </si>
  <si>
    <t>CUSTO FIXO DA ENERGIA ELÉTRICA - TABELA RESUMO</t>
  </si>
  <si>
    <t>CUSTO VARIÁVEL DA ENERGIA ELÉTRICA - TABELA RESUMO</t>
  </si>
  <si>
    <t>valores atualizados</t>
  </si>
  <si>
    <t>VALORES DOS ENCARGOS</t>
  </si>
  <si>
    <t>Cálculo do Consumo Anual</t>
  </si>
  <si>
    <t>* Fonte: REH 2409/2018 ANEEL</t>
  </si>
  <si>
    <t>Os itens abaixo têm seus preços como referência nos cálculos dos custos de O&amp;M. Atualizando-os nesta planilha, automaticamente atualizará nas demais.</t>
  </si>
  <si>
    <t>Fonte da informação</t>
  </si>
  <si>
    <t>Mês de referência</t>
  </si>
  <si>
    <t>Preço Unitário Energia Elétrica  (R$/MWh)</t>
  </si>
  <si>
    <t>CÁLCULO DOS IMPOSTOS PIS/COFINS</t>
  </si>
  <si>
    <t>Parcela  Fixa da Receita Requerida sem PDD</t>
  </si>
  <si>
    <t>Parcela  Variável  da Receita Requerida sem PDD</t>
  </si>
  <si>
    <t>PIS/COFINS 3,65 Parcela Fixa</t>
  </si>
  <si>
    <t xml:space="preserve">PIS/COFINS 3,65 Parcela Variável </t>
  </si>
  <si>
    <t xml:space="preserve">Total PIS/COFINS </t>
  </si>
  <si>
    <t xml:space="preserve">Subtotal </t>
  </si>
  <si>
    <t>Total com Impostos</t>
  </si>
  <si>
    <t>Benefícios - Execução Orçamentária 2019 - Sede</t>
  </si>
  <si>
    <t>ACT 2019/2020</t>
  </si>
  <si>
    <t>Posição: Outubro/2019</t>
  </si>
  <si>
    <t>Resolução CGPAR nº 23 de 18/01/2018</t>
  </si>
  <si>
    <t>ACT 2019/2020 -Manutenção  do vale cultura e  seguro de vida.</t>
  </si>
  <si>
    <t>ANA 2020</t>
  </si>
  <si>
    <t xml:space="preserve">valor anual PISF Out/ 2019 a Out/2020 R$ </t>
  </si>
  <si>
    <t>Encargos:</t>
  </si>
  <si>
    <t>ENCARGOS</t>
  </si>
  <si>
    <t>FGTS</t>
  </si>
  <si>
    <t>FUNDAÇÃO</t>
  </si>
  <si>
    <t>INSS</t>
  </si>
  <si>
    <t>RAT/SAT</t>
  </si>
  <si>
    <t>SALÁRIO EDUCAÇÃO</t>
  </si>
  <si>
    <t>TERCEIROS</t>
  </si>
  <si>
    <t>FAT</t>
  </si>
  <si>
    <t>Ano 2019</t>
  </si>
  <si>
    <t>Reajuste linear de 1,69% (ACT data base 1/05/2018, com efeitos a partir de janeiro de 2019)</t>
  </si>
  <si>
    <t>Reajustada em 3,55%  referente ao ACT data base de 1/05/2019</t>
  </si>
  <si>
    <t>Reajustada em 3,55%  referente ao ACT da data base de 1/05/2019</t>
  </si>
  <si>
    <t xml:space="preserve">ACT 2018/2020 </t>
  </si>
  <si>
    <t>Custos diárias e passagens  R$ 354.544,62</t>
  </si>
  <si>
    <t>Custos depreciação R$ 35.479,74</t>
  </si>
  <si>
    <t>Atualização outubro /2019</t>
  </si>
  <si>
    <t>NOV/2018</t>
  </si>
  <si>
    <t>DEZ/2018</t>
  </si>
  <si>
    <t>Assistência  Médica e Odontológica  R$ 11.501.396,15</t>
  </si>
  <si>
    <t>Auxilio Alimentação R$ 21.208.296,83</t>
  </si>
  <si>
    <t>Assintência Pré escola R$ 2.267.450,37</t>
  </si>
  <si>
    <t>Vale transporte R$ 6.611,02</t>
  </si>
  <si>
    <t>Vale Cultura   R$  162.845,00</t>
  </si>
  <si>
    <t>até outubro de 2019</t>
  </si>
  <si>
    <t>Variação IGP-M desde dez/2017</t>
  </si>
  <si>
    <t>site cálculo extao, variação de um índice financeiro desde dezembro 2017 (esta data inicial deve ser fixa)</t>
  </si>
  <si>
    <t>Dez/2018</t>
  </si>
  <si>
    <t xml:space="preserve">Relatório Seguro e IPVA - Codevasf - Sede 2019             R$ 25.453,17 </t>
  </si>
  <si>
    <t xml:space="preserve">                                                                                                                                                                                      Relatório Seguro e IPVA - Codevasf - Salgueiro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R$ 8.270,94 </t>
  </si>
  <si>
    <t>Serviços de Apoio Adm. Técnico e Operacional -  R$   1.728.464,24  - Execução da Despesa Orçamentária 2019 e 2018</t>
  </si>
  <si>
    <t>Custos Escritórios , estacionamento , vigilância  ostensiva,  manutenção e limpeza predial R$ 335.205,13</t>
  </si>
  <si>
    <t>Custos seguro predial R$ 3.352,05</t>
  </si>
  <si>
    <t>Total   Sede  R$ 39.102,72 - Serviços de Comunicação em Geral e Serviços de Telecomunicações , dados Codevasf - Execução da Despesa Orçamentária 2019 e 2018</t>
  </si>
  <si>
    <t>Serviços de Energia Elétrica e Água , dados Codevasf - Execução da Despesa Orçamentária 2019 e 2018</t>
  </si>
  <si>
    <t>Total  Sede  275.235,49</t>
  </si>
  <si>
    <t>Total  Sede 47.403,87 -  Material de Expediente  Dados Codevaf - Execução da Despesa Orçamentária - 2019 e 2018</t>
  </si>
  <si>
    <t>Total - Sede 2.112.928,72  -  Tecnologia da Informação dados Codevasf - Execução da Despesa Orçamentária 2019 e 2018</t>
  </si>
  <si>
    <t>da Despesa  Codevasf 2019 e 2018.</t>
  </si>
  <si>
    <t>Total  Sede R$  47.130,72  -  Combustíveis e lubrificantes,material para manutenção, manutenção e conservação -Execução Orçamentária  2018</t>
  </si>
  <si>
    <t xml:space="preserve">Cargos em Comisão : Reajuste de 3,55% referente ao ACT da data base de 01/05/2019. </t>
  </si>
  <si>
    <t>Valores</t>
  </si>
  <si>
    <t xml:space="preserve">Custos Administrativos - Materiais e Serviços </t>
  </si>
  <si>
    <t xml:space="preserve">Total Custos Administrativos Materiais e Serviços    R$ </t>
  </si>
  <si>
    <t>técnico sênior de empresa média - www.trabalhabrasil.com.br</t>
  </si>
  <si>
    <t xml:space="preserve">Total  de veículos Sede - 7                                          </t>
  </si>
  <si>
    <t>Total IPVA e seguro Sede R$  801,97  - 2019</t>
  </si>
  <si>
    <t>Total IPVA e seguros, licenciamento, DPVAT Sede R$  5.613,81 - O IPVA é imune</t>
  </si>
  <si>
    <t>Total de veículos Salgueiro  área administrativa PISF -5 - O  IPVA é imune</t>
  </si>
  <si>
    <t xml:space="preserve">Total Sede e Salgueiro R$ 19.637,80 - Combustíveis  e lubrificantes , Material para manutenção , manutenção e conservação - EXECUÇÃO Orçamentária 2018 e 2017 </t>
  </si>
  <si>
    <t>Total IPVA e seguros , licenciamento , DPVAT  Salgueiro R$ 4.009,86</t>
  </si>
  <si>
    <t>Total IPVA e seguro Salgueiro R$  3.207,89</t>
  </si>
  <si>
    <t xml:space="preserve">* As despesas com veículos da Sede foram consideradas para os veículos de Salgueiro. </t>
  </si>
  <si>
    <t>Total Geral custos com veículos e combustíveis 2019 R$ 23.647,66.</t>
  </si>
  <si>
    <t>tarifa CELPE modalidade Azul, fora de ponta, subgrupo A1, de 29/4/19 a 28/4/2020, Resolução Homologatória Aneel  nº 2.535/2019</t>
  </si>
  <si>
    <t>Cenário de vazões PGA 2020</t>
  </si>
  <si>
    <t>(R$/m³)</t>
  </si>
  <si>
    <t xml:space="preserve">Tarifa PGA 2020 </t>
  </si>
  <si>
    <t>REH ANEEL 2.664/19 - Anexo III (regime não cumulativo)</t>
  </si>
  <si>
    <t>REH ANEEL 2.653/19 - art. 1º parágrafo único</t>
  </si>
  <si>
    <t>REH 2562/2019 01/07/2019 a 30/06/2020</t>
  </si>
  <si>
    <t>Vazão Demandada (m³/s)</t>
  </si>
  <si>
    <t xml:space="preserve">Receita Requerida Anual </t>
  </si>
  <si>
    <t>Fixa</t>
  </si>
  <si>
    <t>Variável</t>
  </si>
  <si>
    <t>Valores a serem pagos em 2020</t>
  </si>
  <si>
    <t>Vazão Disponibilizada em 2020</t>
  </si>
  <si>
    <t>Cenário de referência (Art. 18 da Resolução ANA n. 2333/2017)</t>
  </si>
  <si>
    <t>Cobrança pelo uso da água na Bacia do rio São Francisco</t>
  </si>
  <si>
    <t>Despesas Administrativas</t>
  </si>
  <si>
    <t>Resolução ANA n. 101/2019 (Documento nº 02500.082720/2019-98); Documento ANA nº 02500.001595/2020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</si>
</sst>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%"/>
    <numFmt numFmtId="166" formatCode="_-* #,##0_-;\-* #,##0_-;_-* &quot;-&quot;??_-;_-@_-"/>
    <numFmt numFmtId="167" formatCode="0_ ;\-0\ "/>
    <numFmt numFmtId="168" formatCode="0.000"/>
    <numFmt numFmtId="169" formatCode="0_)"/>
    <numFmt numFmtId="170" formatCode="#,##0.00_ ;[Red]\-#,##0.00\ "/>
    <numFmt numFmtId="171" formatCode="_-* #,##0.000_-;\-* #,##0.000_-;_-* &quot;-&quot;??_-;_-@_-"/>
    <numFmt numFmtId="172" formatCode="0.0000"/>
    <numFmt numFmtId="173" formatCode="0.0000%"/>
    <numFmt numFmtId="174" formatCode="#,##0.00;\(#,##0.00\)"/>
    <numFmt numFmtId="175" formatCode="_-* #,##0.0000_-;\-* #,##0.0000_-;_-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color rgb="FF000000"/>
      <name val="Arial"/>
    </font>
    <font>
      <sz val="12"/>
      <color rgb="FFFF0000"/>
      <name val="Calibri"/>
      <family val="2"/>
      <scheme val="minor"/>
    </font>
    <font>
      <b/>
      <sz val="10.5"/>
      <color rgb="FF000000"/>
      <name val="Segoe UI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1112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2" fillId="0" borderId="0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Fill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0" fillId="0" borderId="0" xfId="0" applyBorder="1" applyAlignment="1">
      <alignment horizontal="center"/>
    </xf>
    <xf numFmtId="0" fontId="5" fillId="8" borderId="15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20" xfId="0" applyNumberFormat="1" applyBorder="1"/>
    <xf numFmtId="0" fontId="0" fillId="0" borderId="21" xfId="0" applyBorder="1"/>
    <xf numFmtId="0" fontId="0" fillId="0" borderId="22" xfId="0" applyBorder="1"/>
    <xf numFmtId="44" fontId="0" fillId="0" borderId="23" xfId="0" applyNumberFormat="1" applyBorder="1"/>
    <xf numFmtId="0" fontId="0" fillId="0" borderId="24" xfId="0" applyBorder="1"/>
    <xf numFmtId="44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3" xfId="0" applyBorder="1"/>
    <xf numFmtId="0" fontId="0" fillId="0" borderId="0" xfId="0" applyFill="1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10" fontId="0" fillId="0" borderId="0" xfId="0" applyNumberFormat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0" fillId="0" borderId="30" xfId="0" applyFill="1" applyBorder="1"/>
    <xf numFmtId="4" fontId="13" fillId="0" borderId="31" xfId="0" applyNumberFormat="1" applyFont="1" applyFill="1" applyBorder="1" applyAlignment="1">
      <alignment horizontal="right" vertical="center" wrapText="1"/>
    </xf>
    <xf numFmtId="4" fontId="16" fillId="13" borderId="30" xfId="0" applyNumberFormat="1" applyFont="1" applyFill="1" applyBorder="1"/>
    <xf numFmtId="4" fontId="17" fillId="12" borderId="31" xfId="0" applyNumberFormat="1" applyFont="1" applyFill="1" applyBorder="1" applyAlignment="1">
      <alignment horizontal="right" vertical="center" wrapText="1"/>
    </xf>
    <xf numFmtId="2" fontId="12" fillId="0" borderId="30" xfId="0" applyNumberFormat="1" applyFont="1" applyFill="1" applyBorder="1"/>
    <xf numFmtId="0" fontId="12" fillId="0" borderId="30" xfId="0" applyFont="1" applyFill="1" applyBorder="1"/>
    <xf numFmtId="4" fontId="17" fillId="0" borderId="31" xfId="0" applyNumberFormat="1" applyFont="1" applyFill="1" applyBorder="1" applyAlignment="1">
      <alignment horizontal="right" vertical="center" wrapText="1"/>
    </xf>
    <xf numFmtId="4" fontId="19" fillId="0" borderId="31" xfId="0" applyNumberFormat="1" applyFont="1" applyFill="1" applyBorder="1" applyAlignment="1">
      <alignment horizontal="right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/>
    </xf>
    <xf numFmtId="0" fontId="3" fillId="0" borderId="30" xfId="0" applyFont="1" applyFill="1" applyBorder="1"/>
    <xf numFmtId="4" fontId="17" fillId="13" borderId="31" xfId="0" applyNumberFormat="1" applyFont="1" applyFill="1" applyBorder="1" applyAlignment="1">
      <alignment horizontal="right" vertical="center" wrapText="1"/>
    </xf>
    <xf numFmtId="0" fontId="17" fillId="0" borderId="15" xfId="0" applyFont="1" applyFill="1" applyBorder="1" applyAlignment="1">
      <alignment horizontal="center" vertical="center" wrapText="1"/>
    </xf>
    <xf numFmtId="4" fontId="13" fillId="0" borderId="4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4" fontId="18" fillId="12" borderId="41" xfId="0" applyNumberFormat="1" applyFont="1" applyFill="1" applyBorder="1" applyAlignment="1">
      <alignment horizontal="right" vertical="center" wrapText="1"/>
    </xf>
    <xf numFmtId="4" fontId="19" fillId="0" borderId="41" xfId="0" applyNumberFormat="1" applyFont="1" applyFill="1" applyBorder="1" applyAlignment="1">
      <alignment horizontal="right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center" vertical="center" wrapText="1"/>
    </xf>
    <xf numFmtId="4" fontId="21" fillId="0" borderId="41" xfId="0" applyNumberFormat="1" applyFont="1" applyFill="1" applyBorder="1" applyAlignment="1">
      <alignment horizontal="right" vertical="center" wrapText="1"/>
    </xf>
    <xf numFmtId="0" fontId="16" fillId="0" borderId="30" xfId="0" applyFont="1" applyFill="1" applyBorder="1"/>
    <xf numFmtId="0" fontId="16" fillId="0" borderId="30" xfId="0" applyFont="1" applyFill="1" applyBorder="1" applyAlignment="1">
      <alignment horizontal="center"/>
    </xf>
    <xf numFmtId="4" fontId="18" fillId="13" borderId="41" xfId="0" applyNumberFormat="1" applyFont="1" applyFill="1" applyBorder="1" applyAlignment="1">
      <alignment horizontal="right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4" fontId="18" fillId="13" borderId="31" xfId="0" applyNumberFormat="1" applyFont="1" applyFill="1" applyBorder="1" applyAlignment="1">
      <alignment horizontal="right" vertical="center" wrapText="1"/>
    </xf>
    <xf numFmtId="2" fontId="18" fillId="0" borderId="3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2" fontId="19" fillId="0" borderId="31" xfId="0" applyNumberFormat="1" applyFont="1" applyFill="1" applyBorder="1" applyAlignment="1">
      <alignment horizontal="right" vertical="center" wrapText="1"/>
    </xf>
    <xf numFmtId="0" fontId="18" fillId="13" borderId="32" xfId="0" applyFont="1" applyFill="1" applyBorder="1" applyAlignment="1">
      <alignment horizontal="center" vertical="center" wrapText="1"/>
    </xf>
    <xf numFmtId="43" fontId="0" fillId="0" borderId="0" xfId="0" applyNumberFormat="1" applyFill="1"/>
    <xf numFmtId="4" fontId="0" fillId="0" borderId="0" xfId="0" applyNumberFormat="1" applyFill="1"/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4" fontId="0" fillId="13" borderId="9" xfId="0" applyNumberFormat="1" applyFill="1" applyBorder="1"/>
    <xf numFmtId="0" fontId="4" fillId="0" borderId="8" xfId="0" applyFont="1" applyFill="1" applyBorder="1"/>
    <xf numFmtId="0" fontId="0" fillId="0" borderId="0" xfId="0" applyFill="1" applyAlignment="1">
      <alignment horizont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2" fontId="17" fillId="0" borderId="30" xfId="0" applyNumberFormat="1" applyFont="1" applyFill="1" applyBorder="1"/>
    <xf numFmtId="166" fontId="19" fillId="0" borderId="31" xfId="1" applyNumberFormat="1" applyFont="1" applyFill="1" applyBorder="1" applyAlignment="1">
      <alignment horizontal="center" vertical="center" wrapText="1"/>
    </xf>
    <xf numFmtId="167" fontId="19" fillId="0" borderId="31" xfId="1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right" vertical="center" wrapText="1"/>
    </xf>
    <xf numFmtId="4" fontId="20" fillId="13" borderId="30" xfId="0" applyNumberFormat="1" applyFont="1" applyFill="1" applyBorder="1"/>
    <xf numFmtId="43" fontId="20" fillId="12" borderId="31" xfId="1" applyFont="1" applyFill="1" applyBorder="1" applyAlignment="1">
      <alignment horizontal="right" vertical="center" wrapText="1"/>
    </xf>
    <xf numFmtId="4" fontId="17" fillId="0" borderId="30" xfId="0" applyNumberFormat="1" applyFont="1" applyFill="1" applyBorder="1"/>
    <xf numFmtId="43" fontId="19" fillId="0" borderId="31" xfId="1" applyFont="1" applyFill="1" applyBorder="1" applyAlignment="1">
      <alignment horizontal="right" vertical="center" wrapText="1"/>
    </xf>
    <xf numFmtId="43" fontId="17" fillId="0" borderId="31" xfId="1" applyFont="1" applyFill="1" applyBorder="1" applyAlignment="1">
      <alignment horizontal="right" vertical="center" wrapText="1"/>
    </xf>
    <xf numFmtId="0" fontId="17" fillId="0" borderId="31" xfId="4" applyFont="1" applyFill="1" applyBorder="1" applyAlignment="1">
      <alignment horizontal="center" vertical="center" wrapText="1"/>
    </xf>
    <xf numFmtId="0" fontId="17" fillId="0" borderId="31" xfId="4" applyFont="1" applyFill="1" applyBorder="1" applyAlignment="1">
      <alignment horizontal="left" vertical="center" wrapText="1"/>
    </xf>
    <xf numFmtId="0" fontId="20" fillId="0" borderId="37" xfId="4" applyFont="1" applyFill="1" applyBorder="1" applyAlignment="1">
      <alignment horizontal="center" vertical="center" wrapText="1"/>
    </xf>
    <xf numFmtId="10" fontId="0" fillId="3" borderId="0" xfId="0" applyNumberFormat="1" applyFill="1"/>
    <xf numFmtId="0" fontId="19" fillId="0" borderId="31" xfId="4" applyFont="1" applyFill="1" applyBorder="1" applyAlignment="1">
      <alignment horizontal="center" vertical="center" wrapText="1"/>
    </xf>
    <xf numFmtId="0" fontId="19" fillId="0" borderId="31" xfId="4" applyFont="1" applyFill="1" applyBorder="1" applyAlignment="1">
      <alignment horizontal="left" vertical="center" wrapText="1"/>
    </xf>
    <xf numFmtId="43" fontId="20" fillId="13" borderId="31" xfId="1" applyFont="1" applyFill="1" applyBorder="1" applyAlignment="1">
      <alignment horizontal="right" vertical="center" wrapText="1"/>
    </xf>
    <xf numFmtId="4" fontId="17" fillId="3" borderId="31" xfId="0" applyNumberFormat="1" applyFont="1" applyFill="1" applyBorder="1" applyAlignment="1">
      <alignment horizontal="center" vertical="center" wrapText="1"/>
    </xf>
    <xf numFmtId="2" fontId="17" fillId="3" borderId="31" xfId="0" applyNumberFormat="1" applyFont="1" applyFill="1" applyBorder="1" applyAlignment="1">
      <alignment horizontal="center" vertical="center" wrapText="1"/>
    </xf>
    <xf numFmtId="4" fontId="17" fillId="3" borderId="15" xfId="0" applyNumberFormat="1" applyFont="1" applyFill="1" applyBorder="1" applyAlignment="1">
      <alignment horizontal="center" vertical="center" wrapText="1"/>
    </xf>
    <xf numFmtId="2" fontId="17" fillId="3" borderId="15" xfId="0" applyNumberFormat="1" applyFont="1" applyFill="1" applyBorder="1" applyAlignment="1">
      <alignment horizontal="center" vertical="center" wrapText="1"/>
    </xf>
    <xf numFmtId="43" fontId="20" fillId="12" borderId="41" xfId="1" applyFont="1" applyFill="1" applyBorder="1" applyAlignment="1">
      <alignment horizontal="right" vertical="center" wrapText="1"/>
    </xf>
    <xf numFmtId="166" fontId="19" fillId="0" borderId="15" xfId="1" applyNumberFormat="1" applyFont="1" applyFill="1" applyBorder="1" applyAlignment="1">
      <alignment vertical="center" wrapText="1"/>
    </xf>
    <xf numFmtId="167" fontId="19" fillId="0" borderId="15" xfId="1" applyNumberFormat="1" applyFont="1" applyFill="1" applyBorder="1" applyAlignment="1">
      <alignment horizontal="center" vertical="center" wrapText="1"/>
    </xf>
    <xf numFmtId="166" fontId="19" fillId="0" borderId="31" xfId="1" applyNumberFormat="1" applyFont="1" applyFill="1" applyBorder="1" applyAlignment="1">
      <alignment vertical="center" wrapText="1"/>
    </xf>
    <xf numFmtId="43" fontId="17" fillId="0" borderId="41" xfId="1" applyFont="1" applyFill="1" applyBorder="1" applyAlignment="1">
      <alignment horizontal="right" vertical="center" wrapText="1"/>
    </xf>
    <xf numFmtId="4" fontId="17" fillId="3" borderId="41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2" fontId="27" fillId="0" borderId="6" xfId="0" applyNumberFormat="1" applyFont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27" fillId="0" borderId="0" xfId="0" applyNumberFormat="1" applyFont="1" applyAlignment="1"/>
    <xf numFmtId="0" fontId="27" fillId="0" borderId="0" xfId="0" applyFont="1"/>
    <xf numFmtId="4" fontId="27" fillId="0" borderId="1" xfId="0" applyNumberFormat="1" applyFont="1" applyBorder="1" applyAlignme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31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4" fontId="21" fillId="0" borderId="31" xfId="0" applyNumberFormat="1" applyFont="1" applyFill="1" applyBorder="1" applyAlignment="1">
      <alignment horizontal="right" vertical="center" wrapText="1"/>
    </xf>
    <xf numFmtId="4" fontId="21" fillId="2" borderId="31" xfId="0" applyNumberFormat="1" applyFont="1" applyFill="1" applyBorder="1" applyAlignment="1">
      <alignment horizontal="right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29" fillId="0" borderId="0" xfId="0" applyFont="1"/>
    <xf numFmtId="4" fontId="0" fillId="8" borderId="14" xfId="0" applyNumberFormat="1" applyFill="1" applyBorder="1"/>
    <xf numFmtId="0" fontId="0" fillId="8" borderId="13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0" fontId="0" fillId="9" borderId="13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0" fillId="5" borderId="20" xfId="0" applyNumberFormat="1" applyFill="1" applyBorder="1"/>
    <xf numFmtId="4" fontId="0" fillId="5" borderId="21" xfId="0" applyNumberFormat="1" applyFill="1" applyBorder="1"/>
    <xf numFmtId="43" fontId="0" fillId="0" borderId="21" xfId="0" applyNumberFormat="1" applyBorder="1"/>
    <xf numFmtId="0" fontId="0" fillId="0" borderId="23" xfId="0" applyBorder="1" applyAlignment="1">
      <alignment horizontal="center"/>
    </xf>
    <xf numFmtId="166" fontId="0" fillId="0" borderId="0" xfId="0" applyNumberForma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8" borderId="27" xfId="0" applyFill="1" applyBorder="1"/>
    <xf numFmtId="0" fontId="0" fillId="0" borderId="20" xfId="0" applyBorder="1"/>
    <xf numFmtId="9" fontId="0" fillId="0" borderId="0" xfId="0" applyNumberFormat="1" applyBorder="1"/>
    <xf numFmtId="4" fontId="0" fillId="5" borderId="23" xfId="0" applyNumberFormat="1" applyFill="1" applyBorder="1"/>
    <xf numFmtId="4" fontId="0" fillId="5" borderId="0" xfId="0" applyNumberFormat="1" applyFill="1" applyBorder="1"/>
    <xf numFmtId="43" fontId="0" fillId="0" borderId="0" xfId="0" applyNumberFormat="1" applyFill="1" applyBorder="1"/>
    <xf numFmtId="0" fontId="0" fillId="0" borderId="24" xfId="0" applyFill="1" applyBorder="1"/>
    <xf numFmtId="43" fontId="0" fillId="0" borderId="0" xfId="0" applyNumberFormat="1" applyBorder="1"/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5" xfId="0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7" fontId="0" fillId="0" borderId="0" xfId="0" applyNumberForma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ill="1" applyBorder="1"/>
    <xf numFmtId="0" fontId="0" fillId="3" borderId="0" xfId="0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9" fontId="3" fillId="0" borderId="0" xfId="0" applyNumberFormat="1" applyFont="1" applyFill="1" applyBorder="1"/>
    <xf numFmtId="0" fontId="4" fillId="3" borderId="0" xfId="0" applyFont="1" applyFill="1" applyBorder="1"/>
    <xf numFmtId="0" fontId="1" fillId="0" borderId="0" xfId="5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/>
    <xf numFmtId="9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1" fontId="0" fillId="0" borderId="0" xfId="0" applyNumberFormat="1" applyFill="1" applyBorder="1"/>
    <xf numFmtId="4" fontId="0" fillId="0" borderId="7" xfId="0" applyNumberFormat="1" applyBorder="1"/>
    <xf numFmtId="0" fontId="0" fillId="9" borderId="14" xfId="0" applyFill="1" applyBorder="1"/>
    <xf numFmtId="4" fontId="0" fillId="5" borderId="0" xfId="0" applyNumberFormat="1" applyFill="1"/>
    <xf numFmtId="0" fontId="3" fillId="0" borderId="0" xfId="0" applyFont="1" applyAlignment="1">
      <alignment horizontal="center"/>
    </xf>
    <xf numFmtId="0" fontId="4" fillId="3" borderId="0" xfId="0" applyFont="1" applyFill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43" fontId="0" fillId="0" borderId="1" xfId="0" applyNumberFormat="1" applyFont="1" applyBorder="1"/>
    <xf numFmtId="14" fontId="0" fillId="0" borderId="1" xfId="0" applyNumberFormat="1" applyFont="1" applyBorder="1"/>
    <xf numFmtId="49" fontId="30" fillId="0" borderId="5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/>
    </xf>
    <xf numFmtId="4" fontId="20" fillId="0" borderId="50" xfId="6" applyNumberFormat="1" applyFont="1" applyBorder="1" applyAlignment="1">
      <alignment horizontal="right" vertical="center"/>
    </xf>
    <xf numFmtId="0" fontId="20" fillId="15" borderId="50" xfId="6" applyFont="1" applyFill="1" applyBorder="1" applyAlignment="1">
      <alignment horizontal="right" vertical="center"/>
    </xf>
    <xf numFmtId="4" fontId="17" fillId="0" borderId="12" xfId="6" applyNumberFormat="1" applyFont="1" applyBorder="1" applyAlignment="1">
      <alignment horizontal="right" vertical="center"/>
    </xf>
    <xf numFmtId="4" fontId="31" fillId="0" borderId="12" xfId="6" applyNumberFormat="1" applyFont="1" applyBorder="1" applyAlignment="1">
      <alignment horizontal="right" vertical="center"/>
    </xf>
    <xf numFmtId="1" fontId="31" fillId="0" borderId="12" xfId="6" applyNumberFormat="1" applyFont="1" applyBorder="1" applyAlignment="1">
      <alignment horizontal="center" vertical="center"/>
    </xf>
    <xf numFmtId="39" fontId="32" fillId="0" borderId="12" xfId="0" applyNumberFormat="1" applyFont="1" applyBorder="1" applyAlignment="1" applyProtection="1">
      <alignment horizontal="center" vertical="center"/>
      <protection locked="0"/>
    </xf>
    <xf numFmtId="49" fontId="31" fillId="0" borderId="12" xfId="6" applyNumberFormat="1" applyFont="1" applyBorder="1" applyAlignment="1">
      <alignment horizontal="left" vertical="center"/>
    </xf>
    <xf numFmtId="49" fontId="31" fillId="0" borderId="54" xfId="6" applyNumberFormat="1" applyFont="1" applyBorder="1" applyAlignment="1">
      <alignment horizontal="left" vertical="center"/>
    </xf>
    <xf numFmtId="4" fontId="17" fillId="0" borderId="55" xfId="6" applyNumberFormat="1" applyFont="1" applyBorder="1" applyAlignment="1">
      <alignment horizontal="right" vertical="center"/>
    </xf>
    <xf numFmtId="1" fontId="17" fillId="0" borderId="55" xfId="6" applyNumberFormat="1" applyFont="1" applyBorder="1" applyAlignment="1">
      <alignment horizontal="center" vertical="center"/>
    </xf>
    <xf numFmtId="39" fontId="17" fillId="0" borderId="55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58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 wrapText="1"/>
    </xf>
    <xf numFmtId="1" fontId="17" fillId="0" borderId="1" xfId="6" applyNumberFormat="1" applyFont="1" applyBorder="1" applyAlignment="1">
      <alignment horizontal="center" vertical="center"/>
    </xf>
    <xf numFmtId="39" fontId="17" fillId="0" borderId="60" xfId="0" applyNumberFormat="1" applyFont="1" applyBorder="1" applyAlignment="1" applyProtection="1">
      <alignment horizontal="center" vertical="center"/>
      <protection locked="0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66" xfId="6" applyNumberFormat="1" applyFont="1" applyFill="1" applyBorder="1" applyAlignment="1">
      <alignment horizontal="right" vertical="center"/>
    </xf>
    <xf numFmtId="4" fontId="31" fillId="16" borderId="66" xfId="6" applyNumberFormat="1" applyFont="1" applyFill="1" applyBorder="1" applyAlignment="1">
      <alignment horizontal="right" vertical="center"/>
    </xf>
    <xf numFmtId="1" fontId="17" fillId="16" borderId="66" xfId="6" applyNumberFormat="1" applyFont="1" applyFill="1" applyBorder="1" applyAlignment="1">
      <alignment horizontal="center" vertical="center"/>
    </xf>
    <xf numFmtId="39" fontId="17" fillId="16" borderId="66" xfId="0" applyNumberFormat="1" applyFont="1" applyFill="1" applyBorder="1" applyAlignment="1" applyProtection="1">
      <alignment horizontal="center" vertical="center"/>
      <protection locked="0"/>
    </xf>
    <xf numFmtId="49" fontId="17" fillId="16" borderId="66" xfId="6" applyNumberFormat="1" applyFont="1" applyFill="1" applyBorder="1" applyAlignment="1">
      <alignment horizontal="left" vertical="center"/>
    </xf>
    <xf numFmtId="49" fontId="17" fillId="16" borderId="67" xfId="6" applyNumberFormat="1" applyFont="1" applyFill="1" applyBorder="1" applyAlignment="1">
      <alignment horizontal="left" vertical="center"/>
    </xf>
    <xf numFmtId="4" fontId="20" fillId="0" borderId="68" xfId="6" applyNumberFormat="1" applyFont="1" applyBorder="1" applyAlignment="1">
      <alignment horizontal="right" vertical="center"/>
    </xf>
    <xf numFmtId="0" fontId="20" fillId="15" borderId="68" xfId="6" applyFont="1" applyFill="1" applyBorder="1" applyAlignment="1">
      <alignment horizontal="right" vertical="center"/>
    </xf>
    <xf numFmtId="4" fontId="17" fillId="0" borderId="71" xfId="6" applyNumberFormat="1" applyFont="1" applyBorder="1" applyAlignment="1">
      <alignment horizontal="right" vertical="center"/>
    </xf>
    <xf numFmtId="1" fontId="17" fillId="0" borderId="71" xfId="6" applyNumberFormat="1" applyFont="1" applyBorder="1" applyAlignment="1">
      <alignment horizontal="center" vertical="center"/>
    </xf>
    <xf numFmtId="39" fontId="32" fillId="0" borderId="71" xfId="0" applyNumberFormat="1" applyFont="1" applyBorder="1" applyAlignment="1" applyProtection="1">
      <alignment horizontal="center" vertical="center"/>
      <protection locked="0"/>
    </xf>
    <xf numFmtId="4" fontId="17" fillId="0" borderId="75" xfId="6" applyNumberFormat="1" applyFont="1" applyBorder="1" applyAlignment="1">
      <alignment horizontal="right" vertical="center"/>
    </xf>
    <xf numFmtId="1" fontId="17" fillId="0" borderId="75" xfId="6" applyNumberFormat="1" applyFont="1" applyBorder="1" applyAlignment="1">
      <alignment horizontal="center" vertical="center"/>
    </xf>
    <xf numFmtId="39" fontId="17" fillId="0" borderId="75" xfId="0" applyNumberFormat="1" applyFont="1" applyBorder="1" applyAlignment="1" applyProtection="1">
      <alignment horizontal="center" vertical="center"/>
      <protection locked="0"/>
    </xf>
    <xf numFmtId="4" fontId="17" fillId="0" borderId="60" xfId="6" applyNumberFormat="1" applyFont="1" applyBorder="1" applyAlignment="1">
      <alignment horizontal="right" vertical="center"/>
    </xf>
    <xf numFmtId="1" fontId="17" fillId="0" borderId="60" xfId="6" applyNumberFormat="1" applyFont="1" applyBorder="1" applyAlignment="1">
      <alignment horizontal="center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/>
    </xf>
    <xf numFmtId="39" fontId="32" fillId="0" borderId="60" xfId="0" applyNumberFormat="1" applyFont="1" applyBorder="1" applyAlignment="1" applyProtection="1">
      <alignment horizontal="center" vertical="center"/>
      <protection locked="0"/>
    </xf>
    <xf numFmtId="4" fontId="17" fillId="0" borderId="60" xfId="6" applyNumberFormat="1" applyFont="1" applyFill="1" applyBorder="1" applyAlignment="1">
      <alignment horizontal="right" vertical="center"/>
    </xf>
    <xf numFmtId="4" fontId="20" fillId="0" borderId="80" xfId="6" applyNumberFormat="1" applyFont="1" applyBorder="1" applyAlignment="1">
      <alignment horizontal="right" vertical="center"/>
    </xf>
    <xf numFmtId="0" fontId="20" fillId="15" borderId="80" xfId="6" applyFont="1" applyFill="1" applyBorder="1" applyAlignment="1">
      <alignment horizontal="right" vertical="center"/>
    </xf>
    <xf numFmtId="39" fontId="32" fillId="0" borderId="75" xfId="0" applyNumberFormat="1" applyFont="1" applyBorder="1" applyAlignment="1" applyProtection="1">
      <alignment horizontal="center" vertical="center"/>
      <protection locked="0"/>
    </xf>
    <xf numFmtId="1" fontId="17" fillId="0" borderId="56" xfId="0" applyNumberFormat="1" applyFont="1" applyBorder="1" applyAlignment="1">
      <alignment horizontal="center" vertical="center"/>
    </xf>
    <xf numFmtId="3" fontId="17" fillId="0" borderId="60" xfId="0" applyNumberFormat="1" applyFont="1" applyBorder="1" applyAlignment="1" applyProtection="1">
      <alignment horizontal="center" vertical="center"/>
      <protection locked="0"/>
    </xf>
    <xf numFmtId="1" fontId="17" fillId="0" borderId="83" xfId="0" applyNumberFormat="1" applyFont="1" applyBorder="1" applyAlignment="1">
      <alignment horizontal="center" vertical="center"/>
    </xf>
    <xf numFmtId="3" fontId="17" fillId="0" borderId="55" xfId="0" applyNumberFormat="1" applyFont="1" applyBorder="1" applyAlignment="1" applyProtection="1">
      <alignment horizontal="center" vertical="center"/>
      <protection locked="0"/>
    </xf>
    <xf numFmtId="49" fontId="17" fillId="0" borderId="76" xfId="6" applyNumberFormat="1" applyFont="1" applyBorder="1" applyAlignment="1">
      <alignment horizontal="left" vertical="center"/>
    </xf>
    <xf numFmtId="49" fontId="17" fillId="0" borderId="61" xfId="6" applyNumberFormat="1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4" fontId="17" fillId="17" borderId="60" xfId="6" applyNumberFormat="1" applyFont="1" applyFill="1" applyBorder="1" applyAlignment="1">
      <alignment horizontal="right" vertical="center"/>
    </xf>
    <xf numFmtId="49" fontId="31" fillId="0" borderId="57" xfId="6" applyNumberFormat="1" applyFont="1" applyBorder="1" applyAlignment="1">
      <alignment horizontal="left" vertical="center"/>
    </xf>
    <xf numFmtId="4" fontId="17" fillId="0" borderId="78" xfId="6" applyNumberFormat="1" applyFont="1" applyBorder="1" applyAlignment="1">
      <alignment horizontal="right" vertical="center"/>
    </xf>
    <xf numFmtId="0" fontId="17" fillId="16" borderId="55" xfId="6" applyFont="1" applyFill="1" applyBorder="1" applyAlignment="1">
      <alignment horizontal="center" vertical="center" wrapText="1"/>
    </xf>
    <xf numFmtId="0" fontId="17" fillId="0" borderId="55" xfId="6" applyFont="1" applyBorder="1" applyAlignment="1">
      <alignment horizontal="center" vertical="center" wrapText="1"/>
    </xf>
    <xf numFmtId="0" fontId="17" fillId="0" borderId="56" xfId="6" applyFont="1" applyBorder="1" applyAlignment="1">
      <alignment horizontal="center" vertical="center"/>
    </xf>
    <xf numFmtId="0" fontId="17" fillId="0" borderId="60" xfId="6" applyFont="1" applyBorder="1" applyAlignment="1">
      <alignment horizontal="center" vertical="center"/>
    </xf>
    <xf numFmtId="0" fontId="33" fillId="0" borderId="56" xfId="6" applyFont="1" applyBorder="1" applyAlignment="1">
      <alignment horizontal="center" vertical="center"/>
    </xf>
    <xf numFmtId="0" fontId="33" fillId="0" borderId="60" xfId="6" applyFont="1" applyBorder="1" applyAlignment="1">
      <alignment horizontal="center" vertical="center"/>
    </xf>
    <xf numFmtId="0" fontId="20" fillId="0" borderId="55" xfId="6" applyFont="1" applyBorder="1" applyAlignment="1">
      <alignment horizontal="center" vertical="center" wrapText="1"/>
    </xf>
    <xf numFmtId="4" fontId="20" fillId="17" borderId="60" xfId="6" applyNumberFormat="1" applyFont="1" applyFill="1" applyBorder="1" applyAlignment="1">
      <alignment horizontal="right" vertical="center"/>
    </xf>
    <xf numFmtId="4" fontId="17" fillId="0" borderId="60" xfId="7" applyNumberFormat="1" applyFont="1" applyBorder="1" applyAlignment="1">
      <alignment horizontal="right" vertical="center"/>
    </xf>
    <xf numFmtId="4" fontId="34" fillId="0" borderId="60" xfId="0" applyNumberFormat="1" applyFont="1" applyBorder="1" applyAlignment="1" applyProtection="1">
      <protection locked="0"/>
    </xf>
    <xf numFmtId="0" fontId="34" fillId="0" borderId="60" xfId="0" applyFont="1" applyBorder="1" applyAlignment="1">
      <alignment horizontal="center"/>
    </xf>
    <xf numFmtId="0" fontId="2" fillId="0" borderId="22" xfId="0" applyFont="1" applyBorder="1"/>
    <xf numFmtId="44" fontId="2" fillId="0" borderId="20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20" borderId="12" xfId="0" applyFont="1" applyFill="1" applyBorder="1" applyAlignment="1">
      <alignment horizontal="left" vertical="center"/>
    </xf>
    <xf numFmtId="0" fontId="38" fillId="20" borderId="12" xfId="0" applyFont="1" applyFill="1" applyBorder="1" applyAlignment="1">
      <alignment vertical="center"/>
    </xf>
    <xf numFmtId="43" fontId="38" fillId="20" borderId="6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/>
    </xf>
    <xf numFmtId="49" fontId="30" fillId="0" borderId="1" xfId="0" applyNumberFormat="1" applyFont="1" applyFill="1" applyBorder="1" applyAlignment="1">
      <alignment horizontal="left" wrapText="1"/>
    </xf>
    <xf numFmtId="49" fontId="30" fillId="0" borderId="84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85" xfId="0" applyFont="1" applyBorder="1" applyAlignment="1">
      <alignment horizontal="left" vertical="center" wrapText="1"/>
    </xf>
    <xf numFmtId="0" fontId="30" fillId="0" borderId="86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170" fontId="0" fillId="0" borderId="0" xfId="0" applyNumberFormat="1"/>
    <xf numFmtId="0" fontId="0" fillId="0" borderId="0" xfId="0" applyAlignment="1"/>
    <xf numFmtId="0" fontId="2" fillId="6" borderId="87" xfId="0" applyFont="1" applyFill="1" applyBorder="1"/>
    <xf numFmtId="44" fontId="2" fillId="6" borderId="29" xfId="0" applyNumberFormat="1" applyFont="1" applyFill="1" applyBorder="1"/>
    <xf numFmtId="0" fontId="2" fillId="6" borderId="29" xfId="0" applyFont="1" applyFill="1" applyBorder="1"/>
    <xf numFmtId="0" fontId="0" fillId="6" borderId="27" xfId="0" applyFill="1" applyBorder="1"/>
    <xf numFmtId="0" fontId="0" fillId="6" borderId="26" xfId="0" applyFill="1" applyBorder="1"/>
    <xf numFmtId="0" fontId="10" fillId="6" borderId="25" xfId="0" applyFont="1" applyFill="1" applyBorder="1" applyAlignment="1">
      <alignment horizontal="center"/>
    </xf>
    <xf numFmtId="0" fontId="0" fillId="6" borderId="22" xfId="0" applyFill="1" applyBorder="1"/>
    <xf numFmtId="0" fontId="0" fillId="6" borderId="21" xfId="0" applyFill="1" applyBorder="1"/>
    <xf numFmtId="44" fontId="9" fillId="6" borderId="20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3" fontId="24" fillId="0" borderId="1" xfId="0" applyNumberFormat="1" applyFont="1" applyBorder="1"/>
    <xf numFmtId="3" fontId="24" fillId="0" borderId="1" xfId="0" applyNumberFormat="1" applyFont="1" applyFill="1" applyBorder="1"/>
    <xf numFmtId="9" fontId="24" fillId="0" borderId="1" xfId="0" applyNumberFormat="1" applyFont="1" applyFill="1" applyBorder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/>
    <xf numFmtId="9" fontId="24" fillId="0" borderId="1" xfId="0" applyNumberFormat="1" applyFont="1" applyBorder="1"/>
    <xf numFmtId="0" fontId="24" fillId="0" borderId="1" xfId="0" applyFont="1" applyBorder="1" applyAlignment="1">
      <alignment horizontal="center"/>
    </xf>
    <xf numFmtId="9" fontId="24" fillId="5" borderId="1" xfId="0" applyNumberFormat="1" applyFont="1" applyFill="1" applyBorder="1"/>
    <xf numFmtId="0" fontId="24" fillId="5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10" fontId="42" fillId="21" borderId="1" xfId="2" applyNumberFormat="1" applyFont="1" applyFill="1" applyBorder="1" applyAlignment="1">
      <alignment horizontal="left"/>
    </xf>
    <xf numFmtId="0" fontId="40" fillId="0" borderId="1" xfId="0" applyFon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28" xfId="0" applyBorder="1"/>
    <xf numFmtId="0" fontId="0" fillId="0" borderId="109" xfId="0" applyBorder="1"/>
    <xf numFmtId="0" fontId="0" fillId="0" borderId="111" xfId="0" applyBorder="1"/>
    <xf numFmtId="4" fontId="0" fillId="0" borderId="110" xfId="0" applyNumberFormat="1" applyBorder="1"/>
    <xf numFmtId="0" fontId="2" fillId="0" borderId="112" xfId="0" applyFont="1" applyBorder="1"/>
    <xf numFmtId="0" fontId="2" fillId="0" borderId="113" xfId="0" applyFont="1" applyBorder="1"/>
    <xf numFmtId="0" fontId="2" fillId="0" borderId="113" xfId="0" applyFont="1" applyBorder="1" applyAlignment="1">
      <alignment horizontal="center"/>
    </xf>
    <xf numFmtId="0" fontId="2" fillId="0" borderId="0" xfId="0" applyFont="1" applyAlignment="1"/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115" xfId="0" applyFont="1" applyBorder="1" applyAlignment="1">
      <alignment horizontal="left" vertical="center"/>
    </xf>
    <xf numFmtId="0" fontId="30" fillId="0" borderId="6" xfId="0" applyFont="1" applyFill="1" applyBorder="1" applyAlignment="1">
      <alignment horizontal="left"/>
    </xf>
    <xf numFmtId="0" fontId="30" fillId="0" borderId="117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0" fillId="3" borderId="0" xfId="0" applyNumberFormat="1" applyFill="1" applyBorder="1"/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0" fontId="0" fillId="3" borderId="1" xfId="0" applyFont="1" applyFill="1" applyBorder="1"/>
    <xf numFmtId="9" fontId="3" fillId="6" borderId="1" xfId="0" applyNumberFormat="1" applyFont="1" applyFill="1" applyBorder="1"/>
    <xf numFmtId="4" fontId="0" fillId="3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0" fontId="0" fillId="0" borderId="0" xfId="2" applyNumberFormat="1" applyFont="1" applyBorder="1"/>
    <xf numFmtId="0" fontId="44" fillId="0" borderId="29" xfId="0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/>
    </xf>
    <xf numFmtId="4" fontId="44" fillId="0" borderId="20" xfId="0" applyNumberFormat="1" applyFont="1" applyBorder="1" applyAlignment="1">
      <alignment horizontal="center" vertical="center"/>
    </xf>
    <xf numFmtId="0" fontId="44" fillId="23" borderId="28" xfId="0" applyFont="1" applyFill="1" applyBorder="1" applyAlignment="1">
      <alignment horizontal="center" vertical="center"/>
    </xf>
    <xf numFmtId="4" fontId="44" fillId="23" borderId="20" xfId="0" applyNumberFormat="1" applyFont="1" applyFill="1" applyBorder="1" applyAlignment="1">
      <alignment horizontal="center" vertical="center"/>
    </xf>
    <xf numFmtId="10" fontId="45" fillId="0" borderId="2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0" applyNumberFormat="1" applyFill="1" applyBorder="1"/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2" borderId="118" xfId="0" applyFont="1" applyFill="1" applyBorder="1" applyAlignment="1">
      <alignment horizontal="center" vertical="center" wrapText="1"/>
    </xf>
    <xf numFmtId="0" fontId="2" fillId="22" borderId="1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Font="1" applyAlignment="1">
      <alignment horizontal="center"/>
    </xf>
    <xf numFmtId="9" fontId="0" fillId="0" borderId="1" xfId="2" applyFont="1" applyBorder="1"/>
    <xf numFmtId="0" fontId="0" fillId="0" borderId="91" xfId="0" applyBorder="1"/>
    <xf numFmtId="0" fontId="46" fillId="0" borderId="28" xfId="8" applyBorder="1" applyAlignment="1">
      <alignment horizontal="center" vertical="center"/>
    </xf>
    <xf numFmtId="9" fontId="0" fillId="0" borderId="89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29" xfId="0" applyFont="1" applyBorder="1" applyAlignment="1">
      <alignment horizontal="left" vertical="center"/>
    </xf>
    <xf numFmtId="4" fontId="44" fillId="0" borderId="105" xfId="0" applyNumberFormat="1" applyFont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29" xfId="0" applyFont="1" applyBorder="1" applyAlignment="1">
      <alignment horizontal="center" vertical="center"/>
    </xf>
    <xf numFmtId="172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29" xfId="0" applyNumberFormat="1" applyFont="1" applyBorder="1" applyAlignment="1">
      <alignment horizontal="center" vertical="center"/>
    </xf>
    <xf numFmtId="4" fontId="2" fillId="0" borderId="90" xfId="0" applyNumberFormat="1" applyFont="1" applyBorder="1" applyAlignment="1">
      <alignment horizontal="center"/>
    </xf>
    <xf numFmtId="0" fontId="0" fillId="0" borderId="4" xfId="0" applyFill="1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70" fontId="0" fillId="0" borderId="0" xfId="0" applyNumberFormat="1" applyAlignment="1">
      <alignment horizontal="center" vertical="center" wrapText="1"/>
    </xf>
    <xf numFmtId="3" fontId="24" fillId="24" borderId="1" xfId="0" applyNumberFormat="1" applyFont="1" applyFill="1" applyBorder="1" applyAlignment="1">
      <alignment horizontal="right"/>
    </xf>
    <xf numFmtId="3" fontId="24" fillId="24" borderId="1" xfId="0" applyNumberFormat="1" applyFont="1" applyFill="1" applyBorder="1"/>
    <xf numFmtId="3" fontId="40" fillId="24" borderId="1" xfId="0" applyNumberFormat="1" applyFont="1" applyFill="1" applyBorder="1"/>
    <xf numFmtId="3" fontId="27" fillId="0" borderId="1" xfId="0" applyNumberFormat="1" applyFont="1" applyBorder="1"/>
    <xf numFmtId="0" fontId="2" fillId="0" borderId="120" xfId="0" applyFont="1" applyBorder="1" applyAlignment="1">
      <alignment horizontal="center"/>
    </xf>
    <xf numFmtId="4" fontId="0" fillId="0" borderId="23" xfId="0" applyNumberFormat="1" applyBorder="1"/>
    <xf numFmtId="4" fontId="0" fillId="0" borderId="20" xfId="0" applyNumberFormat="1" applyBorder="1"/>
    <xf numFmtId="4" fontId="0" fillId="0" borderId="121" xfId="0" applyNumberFormat="1" applyBorder="1"/>
    <xf numFmtId="4" fontId="0" fillId="0" borderId="108" xfId="0" applyNumberFormat="1" applyBorder="1"/>
    <xf numFmtId="172" fontId="0" fillId="0" borderId="1" xfId="0" applyNumberFormat="1" applyFont="1" applyBorder="1"/>
    <xf numFmtId="172" fontId="24" fillId="0" borderId="1" xfId="0" applyNumberFormat="1" applyFont="1" applyBorder="1"/>
    <xf numFmtId="173" fontId="0" fillId="0" borderId="0" xfId="0" applyNumberFormat="1"/>
    <xf numFmtId="0" fontId="2" fillId="22" borderId="88" xfId="0" applyFont="1" applyFill="1" applyBorder="1" applyAlignment="1">
      <alignment horizontal="center" vertical="center" wrapText="1"/>
    </xf>
    <xf numFmtId="0" fontId="2" fillId="22" borderId="85" xfId="0" applyFont="1" applyFill="1" applyBorder="1" applyAlignment="1">
      <alignment horizontal="center" vertical="center" wrapText="1"/>
    </xf>
    <xf numFmtId="43" fontId="0" fillId="0" borderId="1" xfId="1" applyNumberFormat="1" applyFont="1" applyFill="1" applyBorder="1"/>
    <xf numFmtId="0" fontId="2" fillId="22" borderId="1" xfId="0" applyFont="1" applyFill="1" applyBorder="1" applyAlignment="1">
      <alignment horizontal="center" vertical="justify" wrapText="1"/>
    </xf>
    <xf numFmtId="0" fontId="2" fillId="3" borderId="0" xfId="0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2" fillId="19" borderId="85" xfId="0" applyFont="1" applyFill="1" applyBorder="1" applyAlignment="1">
      <alignment horizontal="center"/>
    </xf>
    <xf numFmtId="0" fontId="2" fillId="19" borderId="101" xfId="0" applyFont="1" applyFill="1" applyBorder="1" applyAlignment="1">
      <alignment horizontal="center"/>
    </xf>
    <xf numFmtId="0" fontId="2" fillId="3" borderId="111" xfId="0" applyFont="1" applyFill="1" applyBorder="1" applyAlignment="1">
      <alignment horizontal="center"/>
    </xf>
    <xf numFmtId="0" fontId="2" fillId="6" borderId="10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173" fontId="0" fillId="13" borderId="9" xfId="0" applyNumberFormat="1" applyFill="1" applyBorder="1"/>
    <xf numFmtId="173" fontId="49" fillId="0" borderId="0" xfId="0" applyNumberFormat="1" applyFont="1"/>
    <xf numFmtId="43" fontId="3" fillId="13" borderId="122" xfId="0" applyNumberFormat="1" applyFont="1" applyFill="1" applyBorder="1" applyAlignment="1"/>
    <xf numFmtId="43" fontId="3" fillId="13" borderId="123" xfId="0" applyNumberFormat="1" applyFont="1" applyFill="1" applyBorder="1" applyAlignment="1"/>
    <xf numFmtId="173" fontId="0" fillId="13" borderId="123" xfId="0" applyNumberFormat="1" applyFill="1" applyBorder="1" applyAlignment="1"/>
    <xf numFmtId="43" fontId="3" fillId="8" borderId="122" xfId="0" applyNumberFormat="1" applyFont="1" applyFill="1" applyBorder="1" applyAlignment="1"/>
    <xf numFmtId="43" fontId="3" fillId="8" borderId="123" xfId="0" applyNumberFormat="1" applyFont="1" applyFill="1" applyBorder="1" applyAlignment="1"/>
    <xf numFmtId="4" fontId="0" fillId="8" borderId="1" xfId="0" applyNumberFormat="1" applyFill="1" applyBorder="1" applyAlignment="1"/>
    <xf numFmtId="0" fontId="0" fillId="8" borderId="1" xfId="0" applyFill="1" applyBorder="1" applyAlignment="1"/>
    <xf numFmtId="173" fontId="0" fillId="8" borderId="123" xfId="0" applyNumberFormat="1" applyFill="1" applyBorder="1" applyAlignment="1"/>
    <xf numFmtId="0" fontId="18" fillId="12" borderId="0" xfId="0" applyFont="1" applyFill="1" applyBorder="1" applyAlignment="1">
      <alignment horizontal="right" vertical="center" wrapText="1"/>
    </xf>
    <xf numFmtId="4" fontId="17" fillId="12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4" fontId="16" fillId="13" borderId="0" xfId="0" applyNumberFormat="1" applyFont="1" applyFill="1" applyBorder="1"/>
    <xf numFmtId="0" fontId="20" fillId="0" borderId="0" xfId="4" applyFont="1" applyFill="1" applyBorder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 applyBorder="1"/>
    <xf numFmtId="2" fontId="17" fillId="0" borderId="55" xfId="6" applyNumberFormat="1" applyFont="1" applyBorder="1" applyAlignment="1">
      <alignment horizontal="center" vertical="center" wrapText="1"/>
    </xf>
    <xf numFmtId="164" fontId="0" fillId="27" borderId="1" xfId="0" applyNumberFormat="1" applyFill="1" applyBorder="1" applyAlignment="1">
      <alignment horizontal="center"/>
    </xf>
    <xf numFmtId="164" fontId="0" fillId="27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horizontal="center"/>
    </xf>
    <xf numFmtId="164" fontId="27" fillId="0" borderId="1" xfId="0" applyNumberFormat="1" applyFont="1" applyBorder="1"/>
    <xf numFmtId="2" fontId="0" fillId="0" borderId="0" xfId="0" applyNumberFormat="1"/>
    <xf numFmtId="173" fontId="0" fillId="27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164" fontId="0" fillId="27" borderId="85" xfId="0" applyNumberFormat="1" applyFill="1" applyBorder="1" applyAlignment="1">
      <alignment horizontal="left"/>
    </xf>
    <xf numFmtId="0" fontId="0" fillId="0" borderId="113" xfId="0" applyBorder="1" applyAlignment="1">
      <alignment horizontal="left"/>
    </xf>
    <xf numFmtId="0" fontId="0" fillId="0" borderId="112" xfId="0" applyBorder="1" applyAlignment="1">
      <alignment horizontal="left"/>
    </xf>
    <xf numFmtId="0" fontId="0" fillId="0" borderId="111" xfId="0" applyBorder="1" applyAlignment="1">
      <alignment horizontal="left"/>
    </xf>
    <xf numFmtId="0" fontId="0" fillId="0" borderId="110" xfId="0" applyBorder="1" applyAlignment="1">
      <alignment horizontal="left"/>
    </xf>
    <xf numFmtId="0" fontId="42" fillId="28" borderId="29" xfId="0" applyFont="1" applyFill="1" applyBorder="1" applyAlignment="1">
      <alignment horizontal="center" vertical="center"/>
    </xf>
    <xf numFmtId="0" fontId="42" fillId="28" borderId="105" xfId="0" applyFont="1" applyFill="1" applyBorder="1" applyAlignment="1">
      <alignment horizontal="center" vertical="center" wrapText="1"/>
    </xf>
    <xf numFmtId="0" fontId="50" fillId="28" borderId="28" xfId="0" applyFont="1" applyFill="1" applyBorder="1" applyAlignment="1">
      <alignment horizontal="center" vertical="center" wrapText="1"/>
    </xf>
    <xf numFmtId="0" fontId="50" fillId="28" borderId="20" xfId="0" applyFont="1" applyFill="1" applyBorder="1" applyAlignment="1">
      <alignment horizontal="center" vertical="center" wrapText="1"/>
    </xf>
    <xf numFmtId="0" fontId="50" fillId="28" borderId="28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8" borderId="0" xfId="0" applyFont="1" applyFill="1" applyBorder="1" applyAlignment="1">
      <alignment horizontal="center" vertical="center" wrapText="1"/>
    </xf>
    <xf numFmtId="0" fontId="41" fillId="0" borderId="88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24" fillId="3" borderId="1" xfId="0" applyFont="1" applyFill="1" applyBorder="1"/>
    <xf numFmtId="4" fontId="39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/>
    <xf numFmtId="3" fontId="27" fillId="0" borderId="1" xfId="0" applyNumberFormat="1" applyFont="1" applyFill="1" applyBorder="1"/>
    <xf numFmtId="0" fontId="0" fillId="0" borderId="100" xfId="0" applyFill="1" applyBorder="1"/>
    <xf numFmtId="0" fontId="49" fillId="0" borderId="0" xfId="0" applyFont="1"/>
    <xf numFmtId="0" fontId="52" fillId="0" borderId="0" xfId="0" applyFont="1"/>
    <xf numFmtId="0" fontId="52" fillId="0" borderId="94" xfId="0" applyFont="1" applyBorder="1" applyAlignment="1">
      <alignment horizontal="center"/>
    </xf>
    <xf numFmtId="0" fontId="52" fillId="0" borderId="93" xfId="0" applyFont="1" applyBorder="1" applyAlignment="1">
      <alignment horizontal="center"/>
    </xf>
    <xf numFmtId="0" fontId="52" fillId="0" borderId="92" xfId="0" applyFont="1" applyBorder="1" applyAlignment="1">
      <alignment horizontal="center"/>
    </xf>
    <xf numFmtId="0" fontId="49" fillId="0" borderId="98" xfId="0" applyFont="1" applyBorder="1"/>
    <xf numFmtId="0" fontId="49" fillId="0" borderId="98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106" xfId="0" applyFont="1" applyBorder="1"/>
    <xf numFmtId="3" fontId="49" fillId="0" borderId="24" xfId="0" applyNumberFormat="1" applyFont="1" applyBorder="1"/>
    <xf numFmtId="0" fontId="49" fillId="0" borderId="23" xfId="0" applyFont="1" applyBorder="1"/>
    <xf numFmtId="4" fontId="49" fillId="0" borderId="23" xfId="0" applyNumberFormat="1" applyFont="1" applyBorder="1"/>
    <xf numFmtId="0" fontId="49" fillId="0" borderId="96" xfId="0" applyFont="1" applyBorder="1"/>
    <xf numFmtId="0" fontId="49" fillId="0" borderId="96" xfId="0" applyFont="1" applyBorder="1" applyAlignment="1">
      <alignment horizontal="center"/>
    </xf>
    <xf numFmtId="0" fontId="49" fillId="0" borderId="0" xfId="0" applyFont="1" applyBorder="1"/>
    <xf numFmtId="0" fontId="49" fillId="0" borderId="24" xfId="0" applyFont="1" applyBorder="1"/>
    <xf numFmtId="4" fontId="49" fillId="0" borderId="91" xfId="0" applyNumberFormat="1" applyFont="1" applyBorder="1" applyAlignment="1">
      <alignment horizontal="center"/>
    </xf>
    <xf numFmtId="0" fontId="49" fillId="0" borderId="90" xfId="0" applyFont="1" applyBorder="1"/>
    <xf numFmtId="0" fontId="49" fillId="0" borderId="90" xfId="0" applyFont="1" applyBorder="1" applyAlignment="1">
      <alignment horizontal="center"/>
    </xf>
    <xf numFmtId="4" fontId="49" fillId="0" borderId="89" xfId="0" applyNumberFormat="1" applyFont="1" applyBorder="1"/>
    <xf numFmtId="3" fontId="49" fillId="0" borderId="23" xfId="0" applyNumberFormat="1" applyFont="1" applyBorder="1"/>
    <xf numFmtId="0" fontId="52" fillId="0" borderId="29" xfId="0" applyFont="1" applyBorder="1" applyAlignment="1">
      <alignment horizontal="center"/>
    </xf>
    <xf numFmtId="0" fontId="49" fillId="0" borderId="20" xfId="0" applyFont="1" applyBorder="1"/>
    <xf numFmtId="14" fontId="49" fillId="0" borderId="28" xfId="0" applyNumberFormat="1" applyFont="1" applyBorder="1"/>
    <xf numFmtId="0" fontId="52" fillId="0" borderId="0" xfId="0" applyFont="1" applyBorder="1" applyAlignment="1">
      <alignment horizontal="center"/>
    </xf>
    <xf numFmtId="3" fontId="49" fillId="0" borderId="0" xfId="0" applyNumberFormat="1" applyFont="1" applyBorder="1"/>
    <xf numFmtId="0" fontId="49" fillId="0" borderId="0" xfId="0" applyFont="1" applyFill="1" applyBorder="1"/>
    <xf numFmtId="4" fontId="49" fillId="0" borderId="0" xfId="0" applyNumberFormat="1" applyFont="1" applyBorder="1"/>
    <xf numFmtId="0" fontId="52" fillId="0" borderId="0" xfId="0" applyFont="1" applyBorder="1"/>
    <xf numFmtId="0" fontId="52" fillId="0" borderId="104" xfId="0" applyFont="1" applyBorder="1" applyAlignment="1">
      <alignment horizontal="center"/>
    </xf>
    <xf numFmtId="0" fontId="52" fillId="0" borderId="103" xfId="0" applyFont="1" applyBorder="1" applyAlignment="1">
      <alignment horizontal="center"/>
    </xf>
    <xf numFmtId="0" fontId="49" fillId="0" borderId="100" xfId="0" applyFont="1" applyBorder="1" applyAlignment="1">
      <alignment vertical="center"/>
    </xf>
    <xf numFmtId="0" fontId="49" fillId="0" borderId="102" xfId="0" applyFont="1" applyBorder="1" applyAlignment="1">
      <alignment vertical="center"/>
    </xf>
    <xf numFmtId="0" fontId="49" fillId="0" borderId="97" xfId="0" applyFont="1" applyBorder="1" applyAlignment="1">
      <alignment vertical="center"/>
    </xf>
    <xf numFmtId="4" fontId="49" fillId="0" borderId="95" xfId="0" applyNumberFormat="1" applyFont="1" applyBorder="1" applyAlignment="1">
      <alignment vertical="center"/>
    </xf>
    <xf numFmtId="4" fontId="49" fillId="0" borderId="91" xfId="0" applyNumberFormat="1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9" fillId="0" borderId="29" xfId="0" applyFont="1" applyBorder="1"/>
    <xf numFmtId="0" fontId="49" fillId="0" borderId="29" xfId="0" applyFont="1" applyBorder="1" applyAlignment="1">
      <alignment horizontal="center"/>
    </xf>
    <xf numFmtId="4" fontId="49" fillId="0" borderId="29" xfId="0" applyNumberFormat="1" applyFont="1" applyBorder="1" applyAlignment="1">
      <alignment vertical="center"/>
    </xf>
    <xf numFmtId="0" fontId="49" fillId="0" borderId="91" xfId="0" applyFont="1" applyBorder="1" applyAlignment="1">
      <alignment vertical="center"/>
    </xf>
    <xf numFmtId="4" fontId="49" fillId="0" borderId="89" xfId="0" applyNumberFormat="1" applyFont="1" applyBorder="1" applyAlignment="1">
      <alignment vertical="center"/>
    </xf>
    <xf numFmtId="0" fontId="49" fillId="0" borderId="122" xfId="0" applyFont="1" applyBorder="1" applyAlignment="1">
      <alignment horizontal="center"/>
    </xf>
    <xf numFmtId="0" fontId="49" fillId="0" borderId="124" xfId="0" applyFont="1" applyBorder="1" applyAlignment="1">
      <alignment horizontal="center"/>
    </xf>
    <xf numFmtId="0" fontId="49" fillId="0" borderId="67" xfId="0" applyFont="1" applyBorder="1"/>
    <xf numFmtId="0" fontId="49" fillId="0" borderId="66" xfId="0" applyFont="1" applyBorder="1"/>
    <xf numFmtId="0" fontId="49" fillId="0" borderId="120" xfId="0" applyFont="1" applyBorder="1"/>
    <xf numFmtId="0" fontId="49" fillId="0" borderId="54" xfId="0" applyFont="1" applyBorder="1"/>
    <xf numFmtId="0" fontId="49" fillId="0" borderId="12" xfId="0" applyFont="1" applyBorder="1"/>
    <xf numFmtId="0" fontId="49" fillId="0" borderId="121" xfId="0" applyFont="1" applyBorder="1"/>
    <xf numFmtId="0" fontId="49" fillId="0" borderId="127" xfId="0" applyFont="1" applyBorder="1"/>
    <xf numFmtId="0" fontId="49" fillId="0" borderId="128" xfId="0" applyFont="1" applyBorder="1"/>
    <xf numFmtId="0" fontId="49" fillId="0" borderId="129" xfId="0" applyFont="1" applyBorder="1"/>
    <xf numFmtId="0" fontId="52" fillId="0" borderId="27" xfId="0" applyFont="1" applyBorder="1"/>
    <xf numFmtId="0" fontId="52" fillId="0" borderId="26" xfId="0" applyFont="1" applyBorder="1"/>
    <xf numFmtId="0" fontId="49" fillId="0" borderId="26" xfId="0" applyFont="1" applyBorder="1"/>
    <xf numFmtId="0" fontId="49" fillId="0" borderId="25" xfId="0" applyFont="1" applyBorder="1"/>
    <xf numFmtId="0" fontId="52" fillId="0" borderId="24" xfId="0" applyFont="1" applyBorder="1"/>
    <xf numFmtId="8" fontId="52" fillId="0" borderId="0" xfId="0" applyNumberFormat="1" applyFont="1" applyBorder="1"/>
    <xf numFmtId="0" fontId="49" fillId="0" borderId="22" xfId="0" applyFont="1" applyBorder="1"/>
    <xf numFmtId="0" fontId="49" fillId="0" borderId="21" xfId="0" applyFont="1" applyBorder="1"/>
    <xf numFmtId="0" fontId="49" fillId="0" borderId="27" xfId="0" applyFont="1" applyBorder="1"/>
    <xf numFmtId="9" fontId="53" fillId="0" borderId="0" xfId="0" applyNumberFormat="1" applyFont="1" applyBorder="1"/>
    <xf numFmtId="8" fontId="49" fillId="0" borderId="0" xfId="0" applyNumberFormat="1" applyFont="1" applyBorder="1"/>
    <xf numFmtId="0" fontId="52" fillId="0" borderId="27" xfId="0" applyFont="1" applyFill="1" applyBorder="1"/>
    <xf numFmtId="17" fontId="49" fillId="0" borderId="0" xfId="0" applyNumberFormat="1" applyFont="1"/>
    <xf numFmtId="4" fontId="0" fillId="0" borderId="28" xfId="0" applyNumberFormat="1" applyBorder="1"/>
    <xf numFmtId="0" fontId="28" fillId="0" borderId="0" xfId="0" applyFont="1"/>
    <xf numFmtId="0" fontId="51" fillId="29" borderId="29" xfId="0" applyFont="1" applyFill="1" applyBorder="1" applyAlignment="1">
      <alignment horizontal="left" vertical="center" wrapText="1"/>
    </xf>
    <xf numFmtId="174" fontId="51" fillId="29" borderId="29" xfId="0" applyNumberFormat="1" applyFont="1" applyFill="1" applyBorder="1" applyAlignment="1">
      <alignment horizontal="right" vertical="center"/>
    </xf>
    <xf numFmtId="174" fontId="51" fillId="29" borderId="28" xfId="0" applyNumberFormat="1" applyFont="1" applyFill="1" applyBorder="1" applyAlignment="1">
      <alignment horizontal="right" vertical="center"/>
    </xf>
    <xf numFmtId="0" fontId="51" fillId="29" borderId="107" xfId="0" applyFont="1" applyFill="1" applyBorder="1" applyAlignment="1">
      <alignment horizontal="left" vertical="center" wrapText="1"/>
    </xf>
    <xf numFmtId="0" fontId="51" fillId="29" borderId="27" xfId="0" applyFont="1" applyFill="1" applyBorder="1" applyAlignment="1">
      <alignment horizontal="left" vertical="center" wrapText="1"/>
    </xf>
    <xf numFmtId="174" fontId="51" fillId="29" borderId="107" xfId="0" applyNumberFormat="1" applyFont="1" applyFill="1" applyBorder="1" applyAlignment="1">
      <alignment horizontal="right" vertical="center"/>
    </xf>
    <xf numFmtId="174" fontId="51" fillId="29" borderId="25" xfId="0" applyNumberFormat="1" applyFont="1" applyFill="1" applyBorder="1" applyAlignment="1">
      <alignment horizontal="right" vertical="center"/>
    </xf>
    <xf numFmtId="174" fontId="51" fillId="29" borderId="106" xfId="0" applyNumberFormat="1" applyFont="1" applyFill="1" applyBorder="1" applyAlignment="1">
      <alignment horizontal="right" vertical="center"/>
    </xf>
    <xf numFmtId="0" fontId="51" fillId="29" borderId="87" xfId="0" applyFont="1" applyFill="1" applyBorder="1" applyAlignment="1">
      <alignment horizontal="left" vertical="center" wrapText="1"/>
    </xf>
    <xf numFmtId="0" fontId="51" fillId="29" borderId="28" xfId="0" applyFont="1" applyFill="1" applyBorder="1" applyAlignment="1">
      <alignment horizontal="left" vertical="center" wrapText="1"/>
    </xf>
    <xf numFmtId="174" fontId="51" fillId="29" borderId="114" xfId="0" applyNumberFormat="1" applyFont="1" applyFill="1" applyBorder="1" applyAlignment="1">
      <alignment horizontal="right" vertical="center"/>
    </xf>
    <xf numFmtId="0" fontId="49" fillId="0" borderId="135" xfId="0" applyFont="1" applyBorder="1"/>
    <xf numFmtId="0" fontId="0" fillId="0" borderId="107" xfId="0" applyBorder="1"/>
    <xf numFmtId="0" fontId="2" fillId="6" borderId="10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166" fontId="0" fillId="0" borderId="1" xfId="1" applyNumberFormat="1" applyFont="1" applyFill="1" applyBorder="1"/>
    <xf numFmtId="0" fontId="0" fillId="31" borderId="1" xfId="0" applyFill="1" applyBorder="1"/>
    <xf numFmtId="0" fontId="9" fillId="0" borderId="27" xfId="0" applyFont="1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111" xfId="0" applyBorder="1" applyAlignment="1">
      <alignment horizontal="center"/>
    </xf>
    <xf numFmtId="43" fontId="0" fillId="0" borderId="96" xfId="1" applyFont="1" applyBorder="1"/>
    <xf numFmtId="43" fontId="0" fillId="0" borderId="108" xfId="0" applyNumberFormat="1" applyFill="1" applyBorder="1"/>
    <xf numFmtId="0" fontId="0" fillId="0" borderId="111" xfId="0" applyFill="1" applyBorder="1" applyAlignment="1">
      <alignment horizontal="center" wrapText="1"/>
    </xf>
    <xf numFmtId="0" fontId="0" fillId="0" borderId="110" xfId="0" applyBorder="1" applyAlignment="1">
      <alignment horizontal="center" wrapText="1"/>
    </xf>
    <xf numFmtId="43" fontId="0" fillId="0" borderId="109" xfId="0" applyNumberFormat="1" applyFill="1" applyBorder="1" applyAlignment="1">
      <alignment horizontal="center"/>
    </xf>
    <xf numFmtId="43" fontId="2" fillId="0" borderId="108" xfId="0" applyNumberFormat="1" applyFont="1" applyBorder="1" applyAlignment="1">
      <alignment horizontal="center"/>
    </xf>
    <xf numFmtId="43" fontId="0" fillId="31" borderId="96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31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43" fontId="0" fillId="0" borderId="0" xfId="0" applyNumberFormat="1" applyBorder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1" applyNumberFormat="1" applyFont="1" applyFill="1" applyBorder="1" applyAlignment="1">
      <alignment wrapText="1"/>
    </xf>
    <xf numFmtId="43" fontId="0" fillId="0" borderId="0" xfId="0" applyNumberFormat="1" applyFill="1" applyAlignment="1">
      <alignment wrapText="1"/>
    </xf>
    <xf numFmtId="43" fontId="0" fillId="0" borderId="0" xfId="0" applyNumberForma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171" fontId="0" fillId="2" borderId="1" xfId="0" applyNumberForma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171" fontId="0" fillId="0" borderId="1" xfId="0" applyNumberFormat="1" applyBorder="1" applyAlignment="1">
      <alignment wrapText="1"/>
    </xf>
    <xf numFmtId="43" fontId="0" fillId="24" borderId="1" xfId="1" applyFont="1" applyFill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43" fontId="0" fillId="0" borderId="1" xfId="0" applyNumberFormat="1" applyFill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43" fontId="0" fillId="24" borderId="1" xfId="0" applyNumberFormat="1" applyFill="1" applyBorder="1" applyAlignment="1">
      <alignment wrapText="1"/>
    </xf>
    <xf numFmtId="43" fontId="48" fillId="0" borderId="1" xfId="0" applyNumberFormat="1" applyFont="1" applyFill="1" applyBorder="1" applyAlignment="1">
      <alignment horizontal="center" wrapText="1"/>
    </xf>
    <xf numFmtId="43" fontId="48" fillId="0" borderId="0" xfId="0" applyNumberFormat="1" applyFont="1" applyFill="1" applyBorder="1" applyAlignment="1">
      <alignment wrapText="1"/>
    </xf>
    <xf numFmtId="43" fontId="2" fillId="0" borderId="0" xfId="0" applyNumberFormat="1" applyFont="1" applyBorder="1" applyAlignment="1">
      <alignment horizontal="center" vertical="center" wrapText="1"/>
    </xf>
    <xf numFmtId="43" fontId="0" fillId="0" borderId="26" xfId="0" applyNumberFormat="1" applyFill="1" applyBorder="1" applyAlignment="1">
      <alignment wrapText="1"/>
    </xf>
    <xf numFmtId="43" fontId="0" fillId="0" borderId="26" xfId="0" applyNumberFormat="1" applyFill="1" applyBorder="1" applyAlignment="1">
      <alignment horizontal="center" wrapText="1"/>
    </xf>
    <xf numFmtId="0" fontId="0" fillId="0" borderId="26" xfId="0" applyFill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11" xfId="0" applyBorder="1" applyAlignment="1">
      <alignment horizontal="center" wrapText="1"/>
    </xf>
    <xf numFmtId="43" fontId="0" fillId="0" borderId="109" xfId="0" applyNumberFormat="1" applyBorder="1" applyAlignment="1">
      <alignment horizontal="center" wrapText="1"/>
    </xf>
    <xf numFmtId="10" fontId="0" fillId="0" borderId="96" xfId="2" applyNumberFormat="1" applyFont="1" applyFill="1" applyBorder="1" applyAlignment="1">
      <alignment horizontal="center" wrapText="1"/>
    </xf>
    <xf numFmtId="43" fontId="0" fillId="0" borderId="96" xfId="1" applyFont="1" applyBorder="1" applyAlignment="1">
      <alignment horizontal="center" wrapText="1"/>
    </xf>
    <xf numFmtId="2" fontId="0" fillId="2" borderId="96" xfId="0" applyNumberFormat="1" applyFill="1" applyBorder="1" applyAlignment="1">
      <alignment horizontal="center" wrapText="1"/>
    </xf>
    <xf numFmtId="43" fontId="0" fillId="0" borderId="96" xfId="0" applyNumberFormat="1" applyBorder="1" applyAlignment="1">
      <alignment horizontal="center" wrapText="1"/>
    </xf>
    <xf numFmtId="43" fontId="2" fillId="0" borderId="108" xfId="0" applyNumberFormat="1" applyFont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43" fontId="0" fillId="26" borderId="96" xfId="0" applyNumberFormat="1" applyFill="1" applyBorder="1" applyAlignment="1">
      <alignment horizontal="center" wrapText="1"/>
    </xf>
    <xf numFmtId="0" fontId="2" fillId="0" borderId="26" xfId="0" applyFont="1" applyBorder="1" applyAlignment="1">
      <alignment wrapText="1"/>
    </xf>
    <xf numFmtId="0" fontId="2" fillId="0" borderId="111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43" fontId="0" fillId="0" borderId="110" xfId="1" applyFont="1" applyBorder="1" applyAlignment="1">
      <alignment wrapText="1"/>
    </xf>
    <xf numFmtId="0" fontId="0" fillId="0" borderId="54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165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110" xfId="0" applyNumberFormat="1" applyFont="1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Fill="1" applyBorder="1" applyAlignment="1">
      <alignment horizontal="center" vertical="center" wrapText="1"/>
    </xf>
    <xf numFmtId="43" fontId="0" fillId="0" borderId="21" xfId="1" applyFont="1" applyBorder="1" applyAlignment="1">
      <alignment wrapText="1"/>
    </xf>
    <xf numFmtId="43" fontId="0" fillId="0" borderId="21" xfId="0" applyNumberFormat="1" applyFill="1" applyBorder="1" applyAlignment="1">
      <alignment wrapText="1"/>
    </xf>
    <xf numFmtId="165" fontId="0" fillId="0" borderId="21" xfId="2" applyNumberFormat="1" applyFont="1" applyBorder="1" applyAlignment="1">
      <alignment wrapText="1"/>
    </xf>
    <xf numFmtId="10" fontId="0" fillId="0" borderId="21" xfId="2" applyNumberFormat="1" applyFont="1" applyBorder="1" applyAlignment="1">
      <alignment wrapText="1"/>
    </xf>
    <xf numFmtId="43" fontId="0" fillId="0" borderId="21" xfId="0" applyNumberFormat="1" applyFill="1" applyBorder="1" applyAlignment="1">
      <alignment vertical="center" wrapText="1"/>
    </xf>
    <xf numFmtId="43" fontId="47" fillId="0" borderId="21" xfId="1" applyFont="1" applyFill="1" applyBorder="1" applyAlignment="1">
      <alignment wrapText="1"/>
    </xf>
    <xf numFmtId="43" fontId="48" fillId="0" borderId="96" xfId="1" applyFont="1" applyFill="1" applyBorder="1" applyAlignment="1">
      <alignment horizontal="center" wrapText="1"/>
    </xf>
    <xf numFmtId="43" fontId="48" fillId="0" borderId="108" xfId="0" applyNumberFormat="1" applyFont="1" applyFill="1" applyBorder="1" applyAlignment="1">
      <alignment wrapText="1"/>
    </xf>
    <xf numFmtId="168" fontId="0" fillId="3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2" borderId="1" xfId="0" applyFont="1" applyFill="1" applyBorder="1" applyAlignment="1">
      <alignment horizontal="center" vertical="center" wrapText="1"/>
    </xf>
    <xf numFmtId="164" fontId="0" fillId="27" borderId="93" xfId="0" applyNumberFormat="1" applyFill="1" applyBorder="1" applyAlignment="1">
      <alignment horizontal="left"/>
    </xf>
    <xf numFmtId="164" fontId="0" fillId="27" borderId="96" xfId="0" applyNumberFormat="1" applyFill="1" applyBorder="1" applyAlignment="1">
      <alignment horizontal="left"/>
    </xf>
    <xf numFmtId="168" fontId="0" fillId="27" borderId="29" xfId="0" applyNumberFormat="1" applyFill="1" applyBorder="1" applyAlignment="1">
      <alignment horizontal="center"/>
    </xf>
    <xf numFmtId="0" fontId="0" fillId="0" borderId="110" xfId="0" applyBorder="1" applyAlignment="1">
      <alignment horizontal="center"/>
    </xf>
    <xf numFmtId="0" fontId="6" fillId="0" borderId="111" xfId="0" applyFont="1" applyFill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43" fontId="0" fillId="0" borderId="0" xfId="0" applyNumberFormat="1" applyFill="1" applyBorder="1" applyAlignment="1">
      <alignment horizontal="center" wrapText="1"/>
    </xf>
    <xf numFmtId="175" fontId="0" fillId="0" borderId="0" xfId="0" applyNumberFormat="1" applyFill="1" applyBorder="1" applyAlignment="1">
      <alignment horizontal="center" wrapText="1"/>
    </xf>
    <xf numFmtId="43" fontId="2" fillId="0" borderId="0" xfId="0" applyNumberFormat="1" applyFont="1" applyFill="1" applyBorder="1" applyAlignment="1">
      <alignment horizontal="center" wrapText="1"/>
    </xf>
    <xf numFmtId="43" fontId="0" fillId="0" borderId="0" xfId="1" applyFont="1" applyFill="1" applyAlignment="1">
      <alignment wrapText="1"/>
    </xf>
    <xf numFmtId="43" fontId="0" fillId="0" borderId="0" xfId="0" applyNumberFormat="1" applyFill="1" applyBorder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55" fillId="32" borderId="0" xfId="0" applyFont="1" applyFill="1" applyAlignment="1">
      <alignment vertical="center" wrapText="1"/>
    </xf>
    <xf numFmtId="0" fontId="56" fillId="32" borderId="0" xfId="0" applyFont="1" applyFill="1" applyAlignment="1">
      <alignment vertical="center" wrapText="1"/>
    </xf>
    <xf numFmtId="9" fontId="56" fillId="32" borderId="0" xfId="0" applyNumberFormat="1" applyFont="1" applyFill="1" applyAlignment="1">
      <alignment horizontal="right" vertical="center" wrapText="1"/>
    </xf>
    <xf numFmtId="10" fontId="56" fillId="32" borderId="0" xfId="0" applyNumberFormat="1" applyFont="1" applyFill="1" applyAlignment="1">
      <alignment horizontal="right" vertical="center" wrapText="1"/>
    </xf>
    <xf numFmtId="0" fontId="57" fillId="32" borderId="0" xfId="0" applyFont="1" applyFill="1" applyAlignment="1">
      <alignment vertical="center" wrapText="1"/>
    </xf>
    <xf numFmtId="10" fontId="57" fillId="32" borderId="0" xfId="0" applyNumberFormat="1" applyFont="1" applyFill="1" applyAlignment="1">
      <alignment horizontal="right" vertical="center" wrapText="1"/>
    </xf>
    <xf numFmtId="0" fontId="40" fillId="0" borderId="0" xfId="0" applyFont="1"/>
    <xf numFmtId="0" fontId="58" fillId="0" borderId="0" xfId="0" applyFont="1" applyBorder="1"/>
    <xf numFmtId="0" fontId="0" fillId="33" borderId="27" xfId="0" applyFill="1" applyBorder="1"/>
    <xf numFmtId="0" fontId="0" fillId="33" borderId="26" xfId="0" applyFill="1" applyBorder="1"/>
    <xf numFmtId="0" fontId="0" fillId="33" borderId="25" xfId="0" applyFill="1" applyBorder="1"/>
    <xf numFmtId="0" fontId="0" fillId="33" borderId="106" xfId="0" applyFill="1" applyBorder="1"/>
    <xf numFmtId="0" fontId="0" fillId="33" borderId="24" xfId="0" applyFill="1" applyBorder="1"/>
    <xf numFmtId="0" fontId="0" fillId="33" borderId="23" xfId="0" applyFill="1" applyBorder="1"/>
    <xf numFmtId="4" fontId="0" fillId="33" borderId="106" xfId="0" applyNumberFormat="1" applyFill="1" applyBorder="1"/>
    <xf numFmtId="0" fontId="0" fillId="33" borderId="0" xfId="0" applyFill="1" applyBorder="1"/>
    <xf numFmtId="9" fontId="0" fillId="33" borderId="106" xfId="0" applyNumberFormat="1" applyFill="1" applyBorder="1"/>
    <xf numFmtId="0" fontId="47" fillId="33" borderId="0" xfId="0" applyFont="1" applyFill="1" applyBorder="1"/>
    <xf numFmtId="8" fontId="30" fillId="33" borderId="23" xfId="0" applyNumberFormat="1" applyFont="1" applyFill="1" applyBorder="1"/>
    <xf numFmtId="4" fontId="30" fillId="33" borderId="106" xfId="0" applyNumberFormat="1" applyFont="1" applyFill="1" applyBorder="1"/>
    <xf numFmtId="0" fontId="30" fillId="33" borderId="24" xfId="0" applyFont="1" applyFill="1" applyBorder="1"/>
    <xf numFmtId="0" fontId="30" fillId="33" borderId="23" xfId="0" applyFont="1" applyFill="1" applyBorder="1"/>
    <xf numFmtId="9" fontId="30" fillId="33" borderId="106" xfId="0" applyNumberFormat="1" applyFont="1" applyFill="1" applyBorder="1"/>
    <xf numFmtId="0" fontId="30" fillId="33" borderId="0" xfId="0" applyFont="1" applyFill="1" applyBorder="1"/>
    <xf numFmtId="0" fontId="30" fillId="33" borderId="106" xfId="0" applyFont="1" applyFill="1" applyBorder="1"/>
    <xf numFmtId="0" fontId="0" fillId="4" borderId="29" xfId="0" applyFill="1" applyBorder="1"/>
    <xf numFmtId="0" fontId="0" fillId="4" borderId="87" xfId="0" applyFill="1" applyBorder="1"/>
    <xf numFmtId="0" fontId="0" fillId="4" borderId="105" xfId="0" applyFill="1" applyBorder="1"/>
    <xf numFmtId="4" fontId="2" fillId="4" borderId="29" xfId="0" applyNumberFormat="1" applyFont="1" applyFill="1" applyBorder="1"/>
    <xf numFmtId="3" fontId="0" fillId="33" borderId="24" xfId="0" applyNumberFormat="1" applyFill="1" applyBorder="1"/>
    <xf numFmtId="4" fontId="0" fillId="33" borderId="23" xfId="0" applyNumberFormat="1" applyFill="1" applyBorder="1"/>
    <xf numFmtId="3" fontId="0" fillId="33" borderId="23" xfId="0" applyNumberFormat="1" applyFill="1" applyBorder="1"/>
    <xf numFmtId="174" fontId="12" fillId="11" borderId="29" xfId="0" applyNumberFormat="1" applyFont="1" applyFill="1" applyBorder="1" applyAlignment="1">
      <alignment horizontal="right" vertical="center"/>
    </xf>
    <xf numFmtId="0" fontId="59" fillId="34" borderId="29" xfId="0" applyFont="1" applyFill="1" applyBorder="1" applyAlignment="1">
      <alignment vertical="center" wrapText="1"/>
    </xf>
    <xf numFmtId="0" fontId="59" fillId="34" borderId="29" xfId="0" applyFont="1" applyFill="1" applyBorder="1" applyAlignment="1">
      <alignment horizontal="center" wrapText="1"/>
    </xf>
    <xf numFmtId="0" fontId="59" fillId="34" borderId="20" xfId="0" applyFont="1" applyFill="1" applyBorder="1" applyAlignment="1">
      <alignment horizontal="center" wrapText="1"/>
    </xf>
    <xf numFmtId="0" fontId="59" fillId="34" borderId="21" xfId="0" applyFont="1" applyFill="1" applyBorder="1" applyAlignment="1">
      <alignment horizontal="center" wrapText="1"/>
    </xf>
    <xf numFmtId="0" fontId="60" fillId="11" borderId="29" xfId="0" applyFont="1" applyFill="1" applyBorder="1" applyAlignment="1">
      <alignment horizontal="left" vertical="center" wrapText="1"/>
    </xf>
    <xf numFmtId="174" fontId="17" fillId="11" borderId="29" xfId="0" applyNumberFormat="1" applyFont="1" applyFill="1" applyBorder="1" applyAlignment="1">
      <alignment horizontal="right" vertical="center"/>
    </xf>
    <xf numFmtId="174" fontId="60" fillId="11" borderId="29" xfId="0" applyNumberFormat="1" applyFont="1" applyFill="1" applyBorder="1" applyAlignment="1">
      <alignment horizontal="right" vertical="center"/>
    </xf>
    <xf numFmtId="174" fontId="17" fillId="11" borderId="136" xfId="0" applyNumberFormat="1" applyFont="1" applyFill="1" applyBorder="1" applyAlignment="1">
      <alignment horizontal="right" vertical="center"/>
    </xf>
    <xf numFmtId="174" fontId="17" fillId="11" borderId="137" xfId="0" applyNumberFormat="1" applyFont="1" applyFill="1" applyBorder="1" applyAlignment="1">
      <alignment horizontal="right" vertical="center"/>
    </xf>
    <xf numFmtId="174" fontId="59" fillId="11" borderId="29" xfId="0" applyNumberFormat="1" applyFont="1" applyFill="1" applyBorder="1" applyAlignment="1">
      <alignment horizontal="right" vertical="center"/>
    </xf>
    <xf numFmtId="0" fontId="2" fillId="4" borderId="105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174" fontId="19" fillId="29" borderId="136" xfId="0" applyNumberFormat="1" applyFont="1" applyFill="1" applyBorder="1" applyAlignment="1">
      <alignment horizontal="right" vertical="center"/>
    </xf>
    <xf numFmtId="174" fontId="19" fillId="29" borderId="137" xfId="0" applyNumberFormat="1" applyFont="1" applyFill="1" applyBorder="1" applyAlignment="1">
      <alignment horizontal="right" vertical="center"/>
    </xf>
    <xf numFmtId="0" fontId="0" fillId="0" borderId="29" xfId="0" applyBorder="1"/>
    <xf numFmtId="174" fontId="19" fillId="29" borderId="29" xfId="0" applyNumberFormat="1" applyFont="1" applyFill="1" applyBorder="1" applyAlignment="1">
      <alignment horizontal="right" vertical="center"/>
    </xf>
    <xf numFmtId="174" fontId="19" fillId="29" borderId="140" xfId="0" applyNumberFormat="1" applyFont="1" applyFill="1" applyBorder="1" applyAlignment="1">
      <alignment horizontal="right" vertical="center"/>
    </xf>
    <xf numFmtId="174" fontId="61" fillId="29" borderId="29" xfId="0" applyNumberFormat="1" applyFont="1" applyFill="1" applyBorder="1" applyAlignment="1">
      <alignment horizontal="right" vertical="center"/>
    </xf>
    <xf numFmtId="0" fontId="62" fillId="0" borderId="0" xfId="0" applyFont="1" applyBorder="1"/>
    <xf numFmtId="0" fontId="58" fillId="0" borderId="21" xfId="0" applyFont="1" applyBorder="1"/>
    <xf numFmtId="8" fontId="58" fillId="0" borderId="21" xfId="0" applyNumberFormat="1" applyFont="1" applyBorder="1"/>
    <xf numFmtId="8" fontId="58" fillId="0" borderId="0" xfId="0" applyNumberFormat="1" applyFont="1" applyBorder="1"/>
    <xf numFmtId="0" fontId="58" fillId="0" borderId="0" xfId="0" applyFont="1" applyFill="1" applyBorder="1"/>
    <xf numFmtId="0" fontId="63" fillId="0" borderId="0" xfId="0" applyFont="1" applyAlignment="1">
      <alignment vertical="center"/>
    </xf>
    <xf numFmtId="0" fontId="2" fillId="0" borderId="87" xfId="0" applyFont="1" applyBorder="1"/>
    <xf numFmtId="0" fontId="2" fillId="0" borderId="114" xfId="0" applyFont="1" applyBorder="1"/>
    <xf numFmtId="0" fontId="2" fillId="4" borderId="87" xfId="0" applyFont="1" applyFill="1" applyBorder="1"/>
    <xf numFmtId="0" fontId="2" fillId="4" borderId="114" xfId="0" applyFont="1" applyFill="1" applyBorder="1"/>
    <xf numFmtId="0" fontId="52" fillId="4" borderId="87" xfId="0" applyFont="1" applyFill="1" applyBorder="1"/>
    <xf numFmtId="0" fontId="49" fillId="4" borderId="114" xfId="0" applyFont="1" applyFill="1" applyBorder="1"/>
    <xf numFmtId="0" fontId="49" fillId="4" borderId="105" xfId="0" applyFont="1" applyFill="1" applyBorder="1"/>
    <xf numFmtId="43" fontId="52" fillId="4" borderId="125" xfId="0" applyNumberFormat="1" applyFont="1" applyFill="1" applyBorder="1" applyAlignment="1">
      <alignment horizontal="left"/>
    </xf>
    <xf numFmtId="43" fontId="52" fillId="4" borderId="126" xfId="0" applyNumberFormat="1" applyFont="1" applyFill="1" applyBorder="1" applyAlignment="1">
      <alignment horizontal="left"/>
    </xf>
    <xf numFmtId="43" fontId="52" fillId="4" borderId="126" xfId="0" applyNumberFormat="1" applyFont="1" applyFill="1" applyBorder="1"/>
    <xf numFmtId="43" fontId="52" fillId="4" borderId="130" xfId="0" applyNumberFormat="1" applyFont="1" applyFill="1" applyBorder="1"/>
    <xf numFmtId="43" fontId="52" fillId="4" borderId="29" xfId="0" applyNumberFormat="1" applyFont="1" applyFill="1" applyBorder="1"/>
    <xf numFmtId="0" fontId="0" fillId="4" borderId="27" xfId="0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22" xfId="0" applyFill="1" applyBorder="1"/>
    <xf numFmtId="0" fontId="0" fillId="4" borderId="21" xfId="0" applyFill="1" applyBorder="1"/>
    <xf numFmtId="0" fontId="0" fillId="4" borderId="20" xfId="0" applyFill="1" applyBorder="1"/>
    <xf numFmtId="4" fontId="2" fillId="0" borderId="107" xfId="0" applyNumberFormat="1" applyFont="1" applyBorder="1"/>
    <xf numFmtId="14" fontId="0" fillId="4" borderId="29" xfId="0" applyNumberFormat="1" applyFill="1" applyBorder="1"/>
    <xf numFmtId="4" fontId="2" fillId="33" borderId="106" xfId="0" applyNumberFormat="1" applyFont="1" applyFill="1" applyBorder="1"/>
    <xf numFmtId="0" fontId="2" fillId="0" borderId="105" xfId="0" applyFont="1" applyBorder="1"/>
    <xf numFmtId="0" fontId="2" fillId="0" borderId="106" xfId="0" applyFont="1" applyBorder="1" applyAlignment="1">
      <alignment horizontal="center"/>
    </xf>
    <xf numFmtId="4" fontId="2" fillId="0" borderId="106" xfId="0" applyNumberFormat="1" applyFont="1" applyBorder="1"/>
    <xf numFmtId="44" fontId="2" fillId="0" borderId="106" xfId="0" applyNumberFormat="1" applyFont="1" applyBorder="1"/>
    <xf numFmtId="0" fontId="2" fillId="0" borderId="106" xfId="0" applyFont="1" applyBorder="1"/>
    <xf numFmtId="0" fontId="2" fillId="4" borderId="105" xfId="0" applyFont="1" applyFill="1" applyBorder="1"/>
    <xf numFmtId="44" fontId="2" fillId="4" borderId="29" xfId="0" applyNumberFormat="1" applyFont="1" applyFill="1" applyBorder="1"/>
    <xf numFmtId="174" fontId="40" fillId="12" borderId="29" xfId="0" applyNumberFormat="1" applyFont="1" applyFill="1" applyBorder="1" applyAlignment="1">
      <alignment vertical="center"/>
    </xf>
    <xf numFmtId="0" fontId="54" fillId="12" borderId="27" xfId="0" applyFont="1" applyFill="1" applyBorder="1" applyAlignment="1">
      <alignment horizontal="left"/>
    </xf>
    <xf numFmtId="0" fontId="54" fillId="12" borderId="26" xfId="0" applyFont="1" applyFill="1" applyBorder="1" applyAlignment="1">
      <alignment horizontal="left"/>
    </xf>
    <xf numFmtId="0" fontId="0" fillId="12" borderId="26" xfId="0" applyFill="1" applyBorder="1" applyAlignment="1">
      <alignment horizontal="left"/>
    </xf>
    <xf numFmtId="0" fontId="0" fillId="12" borderId="25" xfId="0" applyFill="1" applyBorder="1" applyAlignment="1">
      <alignment horizontal="left"/>
    </xf>
    <xf numFmtId="0" fontId="2" fillId="12" borderId="22" xfId="0" applyFont="1" applyFill="1" applyBorder="1" applyAlignment="1">
      <alignment horizontal="left"/>
    </xf>
    <xf numFmtId="0" fontId="2" fillId="12" borderId="21" xfId="0" applyFont="1" applyFill="1" applyBorder="1" applyAlignment="1">
      <alignment horizontal="left"/>
    </xf>
    <xf numFmtId="0" fontId="0" fillId="12" borderId="21" xfId="0" applyFill="1" applyBorder="1" applyAlignment="1">
      <alignment horizontal="left"/>
    </xf>
    <xf numFmtId="0" fontId="0" fillId="12" borderId="20" xfId="0" applyFill="1" applyBorder="1" applyAlignment="1">
      <alignment horizontal="left"/>
    </xf>
    <xf numFmtId="174" fontId="12" fillId="3" borderId="29" xfId="0" applyNumberFormat="1" applyFont="1" applyFill="1" applyBorder="1" applyAlignment="1">
      <alignment horizontal="right" vertical="center"/>
    </xf>
    <xf numFmtId="174" fontId="51" fillId="3" borderId="21" xfId="0" applyNumberFormat="1" applyFont="1" applyFill="1" applyBorder="1" applyAlignment="1">
      <alignment horizontal="right" vertical="center"/>
    </xf>
    <xf numFmtId="174" fontId="12" fillId="3" borderId="138" xfId="0" applyNumberFormat="1" applyFont="1" applyFill="1" applyBorder="1" applyAlignment="1">
      <alignment horizontal="right" vertical="center"/>
    </xf>
    <xf numFmtId="174" fontId="12" fillId="3" borderId="139" xfId="0" applyNumberFormat="1" applyFont="1" applyFill="1" applyBorder="1" applyAlignment="1">
      <alignment horizontal="right" vertical="center"/>
    </xf>
    <xf numFmtId="174" fontId="51" fillId="3" borderId="29" xfId="0" applyNumberFormat="1" applyFont="1" applyFill="1" applyBorder="1" applyAlignment="1">
      <alignment horizontal="right" vertical="center"/>
    </xf>
    <xf numFmtId="0" fontId="64" fillId="30" borderId="29" xfId="0" applyFont="1" applyFill="1" applyBorder="1" applyAlignment="1">
      <alignment vertical="center" wrapText="1"/>
    </xf>
    <xf numFmtId="0" fontId="64" fillId="30" borderId="105" xfId="0" applyFont="1" applyFill="1" applyBorder="1" applyAlignment="1">
      <alignment vertical="center" wrapText="1"/>
    </xf>
    <xf numFmtId="0" fontId="64" fillId="30" borderId="29" xfId="0" applyFont="1" applyFill="1" applyBorder="1" applyAlignment="1">
      <alignment horizontal="center" wrapText="1"/>
    </xf>
    <xf numFmtId="0" fontId="64" fillId="30" borderId="20" xfId="0" applyFont="1" applyFill="1" applyBorder="1" applyAlignment="1">
      <alignment horizontal="center" wrapText="1"/>
    </xf>
    <xf numFmtId="0" fontId="64" fillId="30" borderId="22" xfId="0" applyFont="1" applyFill="1" applyBorder="1" applyAlignment="1">
      <alignment horizontal="center" wrapText="1"/>
    </xf>
    <xf numFmtId="0" fontId="64" fillId="30" borderId="134" xfId="0" applyFont="1" applyFill="1" applyBorder="1" applyAlignment="1">
      <alignment horizontal="center" wrapText="1"/>
    </xf>
    <xf numFmtId="0" fontId="64" fillId="30" borderId="87" xfId="0" applyFont="1" applyFill="1" applyBorder="1" applyAlignment="1">
      <alignment horizontal="left" vertical="center" wrapText="1"/>
    </xf>
    <xf numFmtId="0" fontId="64" fillId="30" borderId="105" xfId="0" applyFont="1" applyFill="1" applyBorder="1" applyAlignment="1">
      <alignment horizontal="left" vertical="center" wrapText="1"/>
    </xf>
    <xf numFmtId="17" fontId="64" fillId="30" borderId="87" xfId="0" applyNumberFormat="1" applyFont="1" applyFill="1" applyBorder="1" applyAlignment="1">
      <alignment horizontal="center" wrapText="1"/>
    </xf>
    <xf numFmtId="0" fontId="64" fillId="30" borderId="105" xfId="0" applyFont="1" applyFill="1" applyBorder="1" applyAlignment="1">
      <alignment horizontal="center" wrapText="1"/>
    </xf>
    <xf numFmtId="0" fontId="40" fillId="11" borderId="107" xfId="0" applyFont="1" applyFill="1" applyBorder="1" applyAlignment="1">
      <alignment horizontal="center" vertical="center"/>
    </xf>
    <xf numFmtId="0" fontId="40" fillId="11" borderId="28" xfId="0" applyFont="1" applyFill="1" applyBorder="1" applyAlignment="1">
      <alignment horizontal="center" vertical="center"/>
    </xf>
    <xf numFmtId="0" fontId="64" fillId="30" borderId="87" xfId="0" applyFont="1" applyFill="1" applyBorder="1" applyAlignment="1">
      <alignment horizontal="center" wrapText="1"/>
    </xf>
    <xf numFmtId="0" fontId="64" fillId="30" borderId="107" xfId="0" applyFont="1" applyFill="1" applyBorder="1" applyAlignment="1">
      <alignment horizontal="center" wrapText="1"/>
    </xf>
    <xf numFmtId="0" fontId="64" fillId="30" borderId="23" xfId="0" applyFont="1" applyFill="1" applyBorder="1" applyAlignment="1">
      <alignment horizontal="center" wrapText="1"/>
    </xf>
    <xf numFmtId="0" fontId="64" fillId="30" borderId="107" xfId="0" applyFont="1" applyFill="1" applyBorder="1" applyAlignment="1">
      <alignment vertical="center" wrapText="1"/>
    </xf>
    <xf numFmtId="0" fontId="64" fillId="30" borderId="25" xfId="0" applyFont="1" applyFill="1" applyBorder="1" applyAlignment="1">
      <alignment vertical="center" wrapText="1"/>
    </xf>
    <xf numFmtId="0" fontId="64" fillId="30" borderId="25" xfId="0" applyFont="1" applyFill="1" applyBorder="1" applyAlignment="1">
      <alignment horizontal="center" wrapText="1"/>
    </xf>
    <xf numFmtId="0" fontId="2" fillId="4" borderId="67" xfId="0" applyFont="1" applyFill="1" applyBorder="1"/>
    <xf numFmtId="0" fontId="0" fillId="0" borderId="54" xfId="0" applyBorder="1"/>
    <xf numFmtId="0" fontId="0" fillId="0" borderId="142" xfId="0" applyBorder="1"/>
    <xf numFmtId="43" fontId="2" fillId="4" borderId="125" xfId="0" applyNumberFormat="1" applyFont="1" applyFill="1" applyBorder="1"/>
    <xf numFmtId="43" fontId="0" fillId="11" borderId="126" xfId="1" applyFont="1" applyFill="1" applyBorder="1"/>
    <xf numFmtId="43" fontId="0" fillId="11" borderId="141" xfId="1" applyFont="1" applyFill="1" applyBorder="1"/>
    <xf numFmtId="0" fontId="0" fillId="12" borderId="143" xfId="0" applyFill="1" applyBorder="1"/>
    <xf numFmtId="3" fontId="2" fillId="12" borderId="126" xfId="0" applyNumberFormat="1" applyFont="1" applyFill="1" applyBorder="1"/>
    <xf numFmtId="3" fontId="0" fillId="12" borderId="126" xfId="0" applyNumberFormat="1" applyFill="1" applyBorder="1"/>
    <xf numFmtId="4" fontId="2" fillId="12" borderId="126" xfId="0" applyNumberFormat="1" applyFont="1" applyFill="1" applyBorder="1"/>
    <xf numFmtId="0" fontId="0" fillId="12" borderId="125" xfId="0" applyFill="1" applyBorder="1"/>
    <xf numFmtId="0" fontId="2" fillId="0" borderId="125" xfId="0" applyFont="1" applyBorder="1"/>
    <xf numFmtId="0" fontId="2" fillId="0" borderId="126" xfId="0" applyFont="1" applyBorder="1"/>
    <xf numFmtId="0" fontId="0" fillId="0" borderId="126" xfId="0" applyBorder="1"/>
    <xf numFmtId="0" fontId="0" fillId="0" borderId="126" xfId="0" applyFill="1" applyBorder="1"/>
    <xf numFmtId="0" fontId="2" fillId="0" borderId="126" xfId="0" applyFont="1" applyFill="1" applyBorder="1"/>
    <xf numFmtId="0" fontId="2" fillId="0" borderId="130" xfId="0" applyFont="1" applyFill="1" applyBorder="1"/>
    <xf numFmtId="4" fontId="2" fillId="12" borderId="130" xfId="0" applyNumberFormat="1" applyFont="1" applyFill="1" applyBorder="1"/>
    <xf numFmtId="3" fontId="2" fillId="12" borderId="130" xfId="0" applyNumberFormat="1" applyFont="1" applyFill="1" applyBorder="1"/>
    <xf numFmtId="0" fontId="2" fillId="4" borderId="29" xfId="0" applyFont="1" applyFill="1" applyBorder="1"/>
    <xf numFmtId="17" fontId="0" fillId="0" borderId="9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44" fillId="0" borderId="0" xfId="0" applyFont="1" applyBorder="1" applyAlignment="1">
      <alignment horizontal="center" vertical="center"/>
    </xf>
    <xf numFmtId="4" fontId="44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/>
    </xf>
    <xf numFmtId="0" fontId="30" fillId="0" borderId="110" xfId="0" applyFont="1" applyBorder="1" applyAlignment="1">
      <alignment horizontal="left"/>
    </xf>
    <xf numFmtId="43" fontId="0" fillId="2" borderId="109" xfId="0" applyNumberFormat="1" applyFill="1" applyBorder="1" applyAlignment="1">
      <alignment horizontal="center" wrapText="1"/>
    </xf>
    <xf numFmtId="43" fontId="0" fillId="2" borderId="96" xfId="0" applyNumberFormat="1" applyFill="1" applyBorder="1" applyAlignment="1">
      <alignment horizontal="center" wrapText="1"/>
    </xf>
    <xf numFmtId="43" fontId="0" fillId="0" borderId="108" xfId="0" applyNumberFormat="1" applyBorder="1" applyAlignment="1">
      <alignment horizontal="center" wrapText="1"/>
    </xf>
    <xf numFmtId="168" fontId="0" fillId="0" borderId="0" xfId="0" applyNumberFormat="1"/>
    <xf numFmtId="43" fontId="1" fillId="0" borderId="1" xfId="1" applyNumberFormat="1" applyFont="1" applyBorder="1"/>
    <xf numFmtId="43" fontId="2" fillId="0" borderId="110" xfId="1" applyNumberFormat="1" applyFont="1" applyBorder="1"/>
    <xf numFmtId="43" fontId="2" fillId="6" borderId="96" xfId="1" applyNumberFormat="1" applyFont="1" applyFill="1" applyBorder="1"/>
    <xf numFmtId="43" fontId="2" fillId="6" borderId="108" xfId="1" applyNumberFormat="1" applyFont="1" applyFill="1" applyBorder="1"/>
    <xf numFmtId="9" fontId="0" fillId="0" borderId="0" xfId="2" applyFont="1"/>
    <xf numFmtId="0" fontId="2" fillId="19" borderId="1" xfId="0" applyFont="1" applyFill="1" applyBorder="1" applyAlignment="1">
      <alignment horizontal="center"/>
    </xf>
    <xf numFmtId="2" fontId="0" fillId="3" borderId="0" xfId="0" applyNumberFormat="1" applyFill="1" applyBorder="1"/>
    <xf numFmtId="43" fontId="1" fillId="3" borderId="1" xfId="1" applyNumberFormat="1" applyFont="1" applyFill="1" applyBorder="1"/>
    <xf numFmtId="168" fontId="0" fillId="0" borderId="1" xfId="0" applyNumberFormat="1" applyFill="1" applyBorder="1" applyAlignment="1">
      <alignment horizontal="center"/>
    </xf>
    <xf numFmtId="0" fontId="50" fillId="28" borderId="0" xfId="0" applyFont="1" applyFill="1" applyBorder="1" applyAlignment="1">
      <alignment horizontal="center" vertical="center"/>
    </xf>
    <xf numFmtId="0" fontId="30" fillId="0" borderId="111" xfId="0" applyFont="1" applyBorder="1" applyAlignment="1">
      <alignment horizontal="left"/>
    </xf>
    <xf numFmtId="17" fontId="30" fillId="0" borderId="1" xfId="0" applyNumberFormat="1" applyFont="1" applyBorder="1" applyAlignment="1">
      <alignment horizontal="center"/>
    </xf>
    <xf numFmtId="4" fontId="44" fillId="3" borderId="20" xfId="0" applyNumberFormat="1" applyFont="1" applyFill="1" applyBorder="1" applyAlignment="1">
      <alignment horizontal="center" vertical="center"/>
    </xf>
    <xf numFmtId="0" fontId="46" fillId="3" borderId="28" xfId="8" applyFill="1" applyBorder="1" applyAlignment="1">
      <alignment horizontal="center" vertical="center"/>
    </xf>
    <xf numFmtId="0" fontId="0" fillId="3" borderId="110" xfId="0" applyFill="1" applyBorder="1" applyAlignment="1">
      <alignment horizontal="left"/>
    </xf>
    <xf numFmtId="0" fontId="37" fillId="0" borderId="87" xfId="0" applyFont="1" applyBorder="1" applyAlignment="1">
      <alignment horizontal="center"/>
    </xf>
    <xf numFmtId="0" fontId="37" fillId="0" borderId="114" xfId="0" applyFont="1" applyBorder="1" applyAlignment="1">
      <alignment horizontal="center"/>
    </xf>
    <xf numFmtId="0" fontId="37" fillId="0" borderId="105" xfId="0" applyFont="1" applyBorder="1" applyAlignment="1">
      <alignment horizontal="center"/>
    </xf>
    <xf numFmtId="0" fontId="2" fillId="22" borderId="10" xfId="0" applyFont="1" applyFill="1" applyBorder="1" applyAlignment="1">
      <alignment horizontal="center" vertical="center" wrapText="1"/>
    </xf>
    <xf numFmtId="0" fontId="2" fillId="22" borderId="85" xfId="0" applyFont="1" applyFill="1" applyBorder="1" applyAlignment="1">
      <alignment horizontal="center" vertical="center" wrapText="1"/>
    </xf>
    <xf numFmtId="0" fontId="2" fillId="6" borderId="87" xfId="0" applyFont="1" applyFill="1" applyBorder="1" applyAlignment="1">
      <alignment horizontal="center"/>
    </xf>
    <xf numFmtId="0" fontId="2" fillId="6" borderId="114" xfId="0" applyFont="1" applyFill="1" applyBorder="1" applyAlignment="1">
      <alignment horizontal="center"/>
    </xf>
    <xf numFmtId="0" fontId="2" fillId="6" borderId="105" xfId="0" applyFont="1" applyFill="1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19" xfId="0" applyFill="1" applyBorder="1" applyAlignment="1">
      <alignment horizontal="center" vertical="center"/>
    </xf>
    <xf numFmtId="0" fontId="0" fillId="0" borderId="99" xfId="0" applyFill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6" fillId="18" borderId="68" xfId="7" applyFont="1" applyFill="1" applyBorder="1" applyAlignment="1">
      <alignment horizontal="center" vertical="center"/>
    </xf>
    <xf numFmtId="49" fontId="17" fillId="0" borderId="77" xfId="6" applyNumberFormat="1" applyFont="1" applyBorder="1" applyAlignment="1">
      <alignment horizontal="left" vertical="center"/>
    </xf>
    <xf numFmtId="49" fontId="17" fillId="0" borderId="61" xfId="6" applyNumberFormat="1" applyFont="1" applyBorder="1" applyAlignment="1">
      <alignment horizontal="left" vertical="center"/>
    </xf>
    <xf numFmtId="49" fontId="17" fillId="0" borderId="76" xfId="6" applyNumberFormat="1" applyFont="1" applyBorder="1" applyAlignment="1">
      <alignment horizontal="left" vertical="center"/>
    </xf>
    <xf numFmtId="49" fontId="17" fillId="0" borderId="74" xfId="6" applyNumberFormat="1" applyFont="1" applyBorder="1" applyAlignment="1">
      <alignment horizontal="left" vertical="center" wrapText="1"/>
    </xf>
    <xf numFmtId="49" fontId="17" fillId="0" borderId="73" xfId="6" applyNumberFormat="1" applyFont="1" applyBorder="1" applyAlignment="1">
      <alignment horizontal="left" vertical="center" wrapText="1"/>
    </xf>
    <xf numFmtId="49" fontId="17" fillId="0" borderId="72" xfId="6" applyNumberFormat="1" applyFont="1" applyBorder="1" applyAlignment="1">
      <alignment horizontal="left" vertical="center" wrapText="1"/>
    </xf>
    <xf numFmtId="0" fontId="20" fillId="0" borderId="70" xfId="6" applyFont="1" applyBorder="1" applyAlignment="1">
      <alignment horizontal="right" vertical="center"/>
    </xf>
    <xf numFmtId="0" fontId="20" fillId="0" borderId="69" xfId="6" applyFont="1" applyBorder="1" applyAlignment="1">
      <alignment horizontal="right" vertical="center"/>
    </xf>
    <xf numFmtId="49" fontId="17" fillId="0" borderId="64" xfId="6" applyNumberFormat="1" applyFont="1" applyBorder="1" applyAlignment="1">
      <alignment horizontal="left" vertical="center"/>
    </xf>
    <xf numFmtId="49" fontId="17" fillId="0" borderId="63" xfId="6" applyNumberFormat="1" applyFont="1" applyBorder="1" applyAlignment="1">
      <alignment horizontal="left" vertical="center"/>
    </xf>
    <xf numFmtId="49" fontId="17" fillId="0" borderId="79" xfId="6" applyNumberFormat="1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 wrapText="1"/>
    </xf>
    <xf numFmtId="49" fontId="17" fillId="0" borderId="57" xfId="6" applyNumberFormat="1" applyFont="1" applyBorder="1" applyAlignment="1">
      <alignment horizontal="left" vertical="center" wrapText="1"/>
    </xf>
    <xf numFmtId="49" fontId="17" fillId="0" borderId="56" xfId="6" applyNumberFormat="1" applyFont="1" applyBorder="1" applyAlignment="1">
      <alignment horizontal="left" vertical="center" wrapText="1"/>
    </xf>
    <xf numFmtId="0" fontId="33" fillId="0" borderId="79" xfId="6" applyFont="1" applyBorder="1" applyAlignment="1">
      <alignment horizontal="center" vertical="center" wrapText="1"/>
    </xf>
    <xf numFmtId="0" fontId="17" fillId="0" borderId="60" xfId="6" applyFont="1" applyBorder="1" applyAlignment="1">
      <alignment horizontal="left" vertical="center"/>
    </xf>
    <xf numFmtId="0" fontId="20" fillId="0" borderId="55" xfId="6" applyFont="1" applyBorder="1" applyAlignment="1">
      <alignment horizontal="center" vertical="center" wrapText="1"/>
    </xf>
    <xf numFmtId="0" fontId="20" fillId="0" borderId="55" xfId="6" applyFont="1" applyBorder="1" applyAlignment="1">
      <alignment horizontal="center" vertical="center"/>
    </xf>
    <xf numFmtId="0" fontId="20" fillId="0" borderId="78" xfId="6" applyFont="1" applyBorder="1" applyAlignment="1">
      <alignment horizontal="left" vertical="center"/>
    </xf>
    <xf numFmtId="0" fontId="20" fillId="0" borderId="57" xfId="6" applyFont="1" applyBorder="1" applyAlignment="1">
      <alignment horizontal="left" vertical="center"/>
    </xf>
    <xf numFmtId="0" fontId="20" fillId="0" borderId="56" xfId="6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0" fontId="20" fillId="0" borderId="78" xfId="6" applyFont="1" applyBorder="1" applyAlignment="1">
      <alignment horizontal="center" vertical="center"/>
    </xf>
    <xf numFmtId="0" fontId="20" fillId="0" borderId="57" xfId="6" applyFont="1" applyBorder="1" applyAlignment="1">
      <alignment horizontal="center" vertical="center"/>
    </xf>
    <xf numFmtId="0" fontId="20" fillId="0" borderId="56" xfId="6" applyFont="1" applyBorder="1" applyAlignment="1">
      <alignment horizontal="center" vertical="center"/>
    </xf>
    <xf numFmtId="49" fontId="20" fillId="0" borderId="78" xfId="6" applyNumberFormat="1" applyFont="1" applyBorder="1" applyAlignment="1">
      <alignment horizontal="right" vertical="center"/>
    </xf>
    <xf numFmtId="49" fontId="20" fillId="0" borderId="57" xfId="6" applyNumberFormat="1" applyFont="1" applyBorder="1" applyAlignment="1">
      <alignment horizontal="right" vertical="center"/>
    </xf>
    <xf numFmtId="49" fontId="20" fillId="0" borderId="56" xfId="6" applyNumberFormat="1" applyFont="1" applyBorder="1" applyAlignment="1">
      <alignment horizontal="right" vertical="center"/>
    </xf>
    <xf numFmtId="169" fontId="31" fillId="0" borderId="79" xfId="0" applyNumberFormat="1" applyFont="1" applyBorder="1" applyAlignment="1" applyProtection="1">
      <alignment horizontal="left" vertical="center"/>
      <protection locked="0"/>
    </xf>
    <xf numFmtId="0" fontId="20" fillId="0" borderId="53" xfId="6" applyFont="1" applyBorder="1" applyAlignment="1">
      <alignment horizontal="right" vertical="center"/>
    </xf>
    <xf numFmtId="0" fontId="20" fillId="0" borderId="52" xfId="6" applyFont="1" applyBorder="1" applyAlignment="1">
      <alignment horizontal="right" vertical="center"/>
    </xf>
    <xf numFmtId="0" fontId="20" fillId="0" borderId="51" xfId="6" applyFont="1" applyBorder="1" applyAlignment="1">
      <alignment horizontal="right" vertical="center"/>
    </xf>
    <xf numFmtId="0" fontId="20" fillId="0" borderId="82" xfId="6" applyFont="1" applyBorder="1" applyAlignment="1">
      <alignment horizontal="right" vertical="center"/>
    </xf>
    <xf numFmtId="0" fontId="20" fillId="0" borderId="81" xfId="6" applyFont="1" applyBorder="1" applyAlignment="1">
      <alignment horizontal="right" vertical="center"/>
    </xf>
    <xf numFmtId="49" fontId="17" fillId="0" borderId="5" xfId="6" applyNumberFormat="1" applyFont="1" applyBorder="1" applyAlignment="1">
      <alignment horizontal="left" vertical="center"/>
    </xf>
    <xf numFmtId="49" fontId="17" fillId="0" borderId="12" xfId="6" applyNumberFormat="1" applyFont="1" applyBorder="1" applyAlignment="1">
      <alignment horizontal="left" vertical="center"/>
    </xf>
    <xf numFmtId="49" fontId="17" fillId="0" borderId="6" xfId="6" applyNumberFormat="1" applyFont="1" applyBorder="1" applyAlignment="1">
      <alignment horizontal="left" vertical="center"/>
    </xf>
    <xf numFmtId="49" fontId="17" fillId="0" borderId="62" xfId="6" applyNumberFormat="1" applyFont="1" applyBorder="1" applyAlignment="1">
      <alignment horizontal="left" vertical="center"/>
    </xf>
    <xf numFmtId="49" fontId="17" fillId="0" borderId="59" xfId="6" applyNumberFormat="1" applyFont="1" applyBorder="1" applyAlignment="1">
      <alignment horizontal="left" vertical="center"/>
    </xf>
    <xf numFmtId="49" fontId="17" fillId="0" borderId="58" xfId="6" applyNumberFormat="1" applyFont="1" applyBorder="1" applyAlignment="1">
      <alignment horizontal="left" vertical="center"/>
    </xf>
    <xf numFmtId="49" fontId="17" fillId="0" borderId="65" xfId="6" applyNumberFormat="1" applyFont="1" applyBorder="1" applyAlignment="1">
      <alignment horizontal="left" vertical="center"/>
    </xf>
    <xf numFmtId="49" fontId="17" fillId="0" borderId="55" xfId="6" applyNumberFormat="1" applyFont="1" applyBorder="1" applyAlignment="1">
      <alignment horizontal="left" vertical="center"/>
    </xf>
    <xf numFmtId="0" fontId="38" fillId="20" borderId="12" xfId="0" applyFont="1" applyFill="1" applyBorder="1" applyAlignment="1">
      <alignment horizontal="left" vertical="center"/>
    </xf>
    <xf numFmtId="0" fontId="30" fillId="0" borderId="115" xfId="0" applyFont="1" applyBorder="1" applyAlignment="1">
      <alignment horizontal="left" vertical="center"/>
    </xf>
    <xf numFmtId="0" fontId="30" fillId="0" borderId="117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84" xfId="0" applyFont="1" applyBorder="1" applyAlignment="1">
      <alignment horizontal="left" vertical="center" wrapText="1"/>
    </xf>
    <xf numFmtId="0" fontId="30" fillId="0" borderId="85" xfId="0" applyFont="1" applyBorder="1" applyAlignment="1">
      <alignment horizontal="left" vertical="center" wrapText="1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4" borderId="91" xfId="0" applyFont="1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0" fontId="2" fillId="4" borderId="89" xfId="0" applyFont="1" applyFill="1" applyBorder="1" applyAlignment="1">
      <alignment horizontal="center"/>
    </xf>
    <xf numFmtId="0" fontId="2" fillId="4" borderId="125" xfId="0" applyFont="1" applyFill="1" applyBorder="1" applyAlignment="1">
      <alignment horizontal="center"/>
    </xf>
    <xf numFmtId="0" fontId="2" fillId="4" borderId="14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12" borderId="34" xfId="0" applyFont="1" applyFill="1" applyBorder="1" applyAlignment="1">
      <alignment horizontal="right" vertical="center" wrapText="1"/>
    </xf>
    <xf numFmtId="0" fontId="18" fillId="12" borderId="33" xfId="0" applyFont="1" applyFill="1" applyBorder="1" applyAlignment="1">
      <alignment horizontal="right" vertical="center" wrapText="1"/>
    </xf>
    <xf numFmtId="0" fontId="18" fillId="12" borderId="32" xfId="0" applyFont="1" applyFill="1" applyBorder="1" applyAlignment="1">
      <alignment horizontal="right" vertical="center" wrapText="1"/>
    </xf>
    <xf numFmtId="0" fontId="16" fillId="0" borderId="36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4" fontId="18" fillId="0" borderId="40" xfId="0" applyNumberFormat="1" applyFont="1" applyFill="1" applyBorder="1" applyAlignment="1">
      <alignment horizontal="center" vertical="center" wrapText="1"/>
    </xf>
    <xf numFmtId="4" fontId="18" fillId="0" borderId="39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right" vertical="center" wrapText="1"/>
    </xf>
    <xf numFmtId="0" fontId="18" fillId="0" borderId="33" xfId="0" applyFont="1" applyFill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right" vertical="center" wrapText="1"/>
    </xf>
    <xf numFmtId="0" fontId="20" fillId="12" borderId="34" xfId="0" applyFont="1" applyFill="1" applyBorder="1" applyAlignment="1">
      <alignment horizontal="center" vertical="center" wrapText="1"/>
    </xf>
    <xf numFmtId="0" fontId="20" fillId="12" borderId="33" xfId="0" applyFont="1" applyFill="1" applyBorder="1" applyAlignment="1">
      <alignment horizontal="center" vertical="center" wrapText="1"/>
    </xf>
    <xf numFmtId="0" fontId="20" fillId="12" borderId="32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/>
    </xf>
    <xf numFmtId="0" fontId="18" fillId="13" borderId="33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0" borderId="34" xfId="4" applyFont="1" applyFill="1" applyBorder="1" applyAlignment="1">
      <alignment horizontal="right" vertical="center" wrapText="1"/>
    </xf>
    <xf numFmtId="0" fontId="20" fillId="0" borderId="33" xfId="4" applyFont="1" applyFill="1" applyBorder="1" applyAlignment="1">
      <alignment horizontal="right" vertical="center" wrapText="1"/>
    </xf>
    <xf numFmtId="0" fontId="20" fillId="0" borderId="32" xfId="4" applyFont="1" applyFill="1" applyBorder="1" applyAlignment="1">
      <alignment horizontal="right" vertical="center" wrapText="1"/>
    </xf>
    <xf numFmtId="0" fontId="20" fillId="3" borderId="34" xfId="0" applyFont="1" applyFill="1" applyBorder="1" applyAlignment="1">
      <alignment horizontal="right" vertical="center" wrapText="1"/>
    </xf>
    <xf numFmtId="0" fontId="20" fillId="3" borderId="33" xfId="0" applyFont="1" applyFill="1" applyBorder="1" applyAlignment="1">
      <alignment horizontal="right" vertical="center" wrapText="1"/>
    </xf>
    <xf numFmtId="0" fontId="20" fillId="3" borderId="32" xfId="0" applyFont="1" applyFill="1" applyBorder="1" applyAlignment="1">
      <alignment horizontal="right" vertical="center" wrapText="1"/>
    </xf>
    <xf numFmtId="4" fontId="18" fillId="0" borderId="49" xfId="0" applyNumberFormat="1" applyFont="1" applyFill="1" applyBorder="1" applyAlignment="1">
      <alignment horizontal="center" vertical="center" wrapText="1"/>
    </xf>
    <xf numFmtId="4" fontId="18" fillId="0" borderId="48" xfId="0" applyNumberFormat="1" applyFont="1" applyFill="1" applyBorder="1" applyAlignment="1">
      <alignment horizontal="center" vertical="center" wrapText="1"/>
    </xf>
    <xf numFmtId="4" fontId="18" fillId="0" borderId="47" xfId="0" applyNumberFormat="1" applyFont="1" applyFill="1" applyBorder="1" applyAlignment="1">
      <alignment horizontal="center" vertical="center" wrapText="1"/>
    </xf>
    <xf numFmtId="4" fontId="18" fillId="0" borderId="46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45" xfId="0" applyNumberFormat="1" applyFont="1" applyFill="1" applyBorder="1" applyAlignment="1">
      <alignment horizontal="center" vertical="center" wrapText="1"/>
    </xf>
    <xf numFmtId="4" fontId="18" fillId="0" borderId="44" xfId="0" applyNumberFormat="1" applyFont="1" applyFill="1" applyBorder="1" applyAlignment="1">
      <alignment horizontal="center" vertical="center" wrapText="1"/>
    </xf>
    <xf numFmtId="4" fontId="18" fillId="0" borderId="43" xfId="0" applyNumberFormat="1" applyFont="1" applyFill="1" applyBorder="1" applyAlignment="1">
      <alignment horizontal="center" vertical="center" wrapText="1"/>
    </xf>
    <xf numFmtId="4" fontId="18" fillId="0" borderId="42" xfId="0" applyNumberFormat="1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20" fillId="12" borderId="34" xfId="4" applyFont="1" applyFill="1" applyBorder="1" applyAlignment="1">
      <alignment horizontal="right" vertical="center" wrapText="1"/>
    </xf>
    <xf numFmtId="0" fontId="20" fillId="12" borderId="33" xfId="4" applyFont="1" applyFill="1" applyBorder="1" applyAlignment="1">
      <alignment horizontal="right" vertical="center" wrapText="1"/>
    </xf>
    <xf numFmtId="0" fontId="20" fillId="12" borderId="32" xfId="4" applyFont="1" applyFill="1" applyBorder="1" applyAlignment="1">
      <alignment horizontal="right" vertical="center" wrapText="1"/>
    </xf>
    <xf numFmtId="0" fontId="4" fillId="0" borderId="30" xfId="4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3" fontId="0" fillId="13" borderId="122" xfId="0" applyNumberFormat="1" applyFill="1" applyBorder="1" applyAlignment="1">
      <alignment horizontal="center"/>
    </xf>
    <xf numFmtId="173" fontId="0" fillId="13" borderId="123" xfId="0" applyNumberFormat="1" applyFill="1" applyBorder="1" applyAlignment="1">
      <alignment horizontal="center"/>
    </xf>
    <xf numFmtId="43" fontId="3" fillId="13" borderId="122" xfId="0" applyNumberFormat="1" applyFont="1" applyFill="1" applyBorder="1" applyAlignment="1"/>
    <xf numFmtId="43" fontId="3" fillId="13" borderId="123" xfId="0" applyNumberFormat="1" applyFont="1" applyFill="1" applyBorder="1" applyAlignment="1"/>
    <xf numFmtId="0" fontId="20" fillId="0" borderId="3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3" fillId="5" borderId="0" xfId="0" applyNumberFormat="1" applyFont="1" applyFill="1" applyAlignment="1">
      <alignment horizontal="righ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right" wrapText="1"/>
    </xf>
    <xf numFmtId="0" fontId="3" fillId="5" borderId="1" xfId="0" applyNumberFormat="1" applyFont="1" applyFill="1" applyBorder="1" applyAlignment="1">
      <alignment horizontal="right" wrapText="1"/>
    </xf>
    <xf numFmtId="0" fontId="3" fillId="7" borderId="1" xfId="0" applyNumberFormat="1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46" xfId="0" applyFont="1" applyFill="1" applyBorder="1" applyAlignment="1">
      <alignment horizontal="center" vertical="center" wrapText="1"/>
    </xf>
    <xf numFmtId="0" fontId="20" fillId="12" borderId="0" xfId="0" applyFont="1" applyFill="1" applyBorder="1" applyAlignment="1">
      <alignment horizontal="center" vertical="center" wrapText="1"/>
    </xf>
    <xf numFmtId="0" fontId="20" fillId="12" borderId="45" xfId="0" applyFont="1" applyFill="1" applyBorder="1" applyAlignment="1">
      <alignment horizontal="center" vertical="center" wrapText="1"/>
    </xf>
    <xf numFmtId="0" fontId="0" fillId="12" borderId="116" xfId="0" applyFill="1" applyBorder="1" applyAlignment="1">
      <alignment horizontal="center"/>
    </xf>
    <xf numFmtId="10" fontId="0" fillId="25" borderId="0" xfId="2" applyNumberFormat="1" applyFont="1" applyFill="1" applyBorder="1" applyAlignment="1">
      <alignment horizontal="center"/>
    </xf>
    <xf numFmtId="0" fontId="41" fillId="14" borderId="122" xfId="0" applyFont="1" applyFill="1" applyBorder="1" applyAlignment="1">
      <alignment horizontal="left" vertical="center"/>
    </xf>
    <xf numFmtId="0" fontId="41" fillId="14" borderId="12" xfId="0" applyFont="1" applyFill="1" applyBorder="1" applyAlignment="1">
      <alignment horizontal="left" vertical="center"/>
    </xf>
    <xf numFmtId="0" fontId="41" fillId="24" borderId="10" xfId="0" applyFont="1" applyFill="1" applyBorder="1" applyAlignment="1">
      <alignment horizontal="center" vertical="center" wrapText="1"/>
    </xf>
    <xf numFmtId="0" fontId="41" fillId="24" borderId="4" xfId="0" applyFont="1" applyFill="1" applyBorder="1" applyAlignment="1">
      <alignment horizontal="center" vertical="center" wrapText="1"/>
    </xf>
    <xf numFmtId="0" fontId="41" fillId="24" borderId="85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5" xfId="0" applyFont="1" applyBorder="1" applyAlignment="1">
      <alignment horizontal="center" vertical="center"/>
    </xf>
    <xf numFmtId="0" fontId="52" fillId="0" borderId="107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2" fillId="0" borderId="87" xfId="0" applyFont="1" applyBorder="1" applyAlignment="1">
      <alignment horizontal="center"/>
    </xf>
    <xf numFmtId="0" fontId="52" fillId="0" borderId="105" xfId="0" applyFont="1" applyBorder="1" applyAlignment="1">
      <alignment horizontal="center"/>
    </xf>
    <xf numFmtId="0" fontId="52" fillId="0" borderId="25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49" fillId="0" borderId="94" xfId="0" applyFont="1" applyBorder="1" applyAlignment="1">
      <alignment horizontal="center" vertical="center"/>
    </xf>
    <xf numFmtId="0" fontId="49" fillId="0" borderId="100" xfId="0" applyFont="1" applyBorder="1" applyAlignment="1">
      <alignment horizontal="center" vertical="center"/>
    </xf>
    <xf numFmtId="0" fontId="49" fillId="0" borderId="97" xfId="0" applyFont="1" applyBorder="1" applyAlignment="1">
      <alignment horizontal="center" vertical="center"/>
    </xf>
    <xf numFmtId="4" fontId="49" fillId="0" borderId="92" xfId="0" applyNumberFormat="1" applyFont="1" applyBorder="1" applyAlignment="1">
      <alignment horizontal="center" vertical="center"/>
    </xf>
    <xf numFmtId="4" fontId="49" fillId="0" borderId="99" xfId="0" applyNumberFormat="1" applyFont="1" applyBorder="1" applyAlignment="1">
      <alignment horizontal="center" vertical="center"/>
    </xf>
    <xf numFmtId="4" fontId="49" fillId="0" borderId="95" xfId="0" applyNumberFormat="1" applyFont="1" applyBorder="1" applyAlignment="1">
      <alignment horizontal="center" vertical="center"/>
    </xf>
    <xf numFmtId="3" fontId="49" fillId="0" borderId="87" xfId="0" applyNumberFormat="1" applyFont="1" applyBorder="1" applyAlignment="1">
      <alignment horizontal="center"/>
    </xf>
    <xf numFmtId="3" fontId="49" fillId="0" borderId="105" xfId="0" applyNumberFormat="1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49" fillId="0" borderId="27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4" fontId="49" fillId="0" borderId="101" xfId="0" applyNumberFormat="1" applyFont="1" applyBorder="1" applyAlignment="1">
      <alignment horizontal="center" vertical="center"/>
    </xf>
    <xf numFmtId="0" fontId="49" fillId="0" borderId="94" xfId="0" applyFont="1" applyBorder="1" applyAlignment="1">
      <alignment vertical="center"/>
    </xf>
    <xf numFmtId="0" fontId="49" fillId="0" borderId="100" xfId="0" applyFont="1" applyBorder="1" applyAlignment="1">
      <alignment vertical="center"/>
    </xf>
    <xf numFmtId="0" fontId="49" fillId="0" borderId="97" xfId="0" applyFont="1" applyBorder="1" applyAlignment="1">
      <alignment vertical="center"/>
    </xf>
    <xf numFmtId="4" fontId="49" fillId="0" borderId="107" xfId="0" applyNumberFormat="1" applyFont="1" applyBorder="1" applyAlignment="1">
      <alignment horizontal="center" vertical="center"/>
    </xf>
    <xf numFmtId="4" fontId="49" fillId="0" borderId="28" xfId="0" applyNumberFormat="1" applyFont="1" applyBorder="1" applyAlignment="1">
      <alignment horizontal="center" vertical="center"/>
    </xf>
    <xf numFmtId="0" fontId="2" fillId="4" borderId="10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87" xfId="0" applyFont="1" applyFill="1" applyBorder="1" applyAlignment="1">
      <alignment horizontal="center"/>
    </xf>
    <xf numFmtId="0" fontId="2" fillId="4" borderId="105" xfId="0" applyFont="1" applyFill="1" applyBorder="1" applyAlignment="1">
      <alignment horizontal="center"/>
    </xf>
    <xf numFmtId="3" fontId="0" fillId="4" borderId="87" xfId="0" applyNumberFormat="1" applyFill="1" applyBorder="1" applyAlignment="1">
      <alignment horizontal="center"/>
    </xf>
    <xf numFmtId="3" fontId="0" fillId="4" borderId="105" xfId="0" applyNumberFormat="1" applyFill="1" applyBorder="1" applyAlignment="1">
      <alignment horizontal="center"/>
    </xf>
    <xf numFmtId="0" fontId="59" fillId="34" borderId="87" xfId="0" applyFont="1" applyFill="1" applyBorder="1" applyAlignment="1">
      <alignment horizontal="left" vertical="center" wrapText="1"/>
    </xf>
    <xf numFmtId="0" fontId="59" fillId="34" borderId="131" xfId="0" applyFont="1" applyFill="1" applyBorder="1" applyAlignment="1">
      <alignment horizontal="left" vertical="center" wrapText="1"/>
    </xf>
    <xf numFmtId="0" fontId="59" fillId="34" borderId="87" xfId="0" applyFont="1" applyFill="1" applyBorder="1" applyAlignment="1">
      <alignment horizontal="center" wrapText="1"/>
    </xf>
    <xf numFmtId="0" fontId="59" fillId="34" borderId="132" xfId="0" applyFont="1" applyFill="1" applyBorder="1" applyAlignment="1">
      <alignment horizontal="center" wrapText="1"/>
    </xf>
    <xf numFmtId="0" fontId="59" fillId="34" borderId="114" xfId="0" applyFont="1" applyFill="1" applyBorder="1" applyAlignment="1">
      <alignment horizontal="center" wrapText="1"/>
    </xf>
    <xf numFmtId="0" fontId="59" fillId="34" borderId="131" xfId="0" applyFont="1" applyFill="1" applyBorder="1" applyAlignment="1">
      <alignment horizontal="center" wrapText="1"/>
    </xf>
    <xf numFmtId="0" fontId="2" fillId="4" borderId="1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49" fontId="59" fillId="34" borderId="87" xfId="0" applyNumberFormat="1" applyFont="1" applyFill="1" applyBorder="1" applyAlignment="1">
      <alignment horizontal="center" wrapText="1"/>
    </xf>
    <xf numFmtId="49" fontId="59" fillId="34" borderId="132" xfId="0" applyNumberFormat="1" applyFont="1" applyFill="1" applyBorder="1" applyAlignment="1">
      <alignment horizontal="center" wrapText="1"/>
    </xf>
    <xf numFmtId="49" fontId="59" fillId="34" borderId="133" xfId="0" applyNumberFormat="1" applyFont="1" applyFill="1" applyBorder="1" applyAlignment="1">
      <alignment horizontal="center" wrapText="1"/>
    </xf>
    <xf numFmtId="17" fontId="64" fillId="30" borderId="87" xfId="0" applyNumberFormat="1" applyFont="1" applyFill="1" applyBorder="1" applyAlignment="1">
      <alignment horizontal="center" wrapText="1"/>
    </xf>
    <xf numFmtId="0" fontId="64" fillId="30" borderId="105" xfId="0" applyFont="1" applyFill="1" applyBorder="1" applyAlignment="1">
      <alignment horizontal="center" wrapText="1"/>
    </xf>
    <xf numFmtId="0" fontId="64" fillId="30" borderId="87" xfId="0" applyFont="1" applyFill="1" applyBorder="1" applyAlignment="1">
      <alignment horizontal="left" vertical="center" wrapText="1"/>
    </xf>
    <xf numFmtId="0" fontId="64" fillId="30" borderId="105" xfId="0" applyFont="1" applyFill="1" applyBorder="1" applyAlignment="1">
      <alignment horizontal="left" vertical="center" wrapText="1"/>
    </xf>
    <xf numFmtId="49" fontId="64" fillId="30" borderId="87" xfId="0" applyNumberFormat="1" applyFont="1" applyFill="1" applyBorder="1" applyAlignment="1">
      <alignment horizontal="center" wrapText="1"/>
    </xf>
    <xf numFmtId="49" fontId="64" fillId="30" borderId="105" xfId="0" applyNumberFormat="1" applyFont="1" applyFill="1" applyBorder="1" applyAlignment="1">
      <alignment horizontal="center" wrapText="1"/>
    </xf>
    <xf numFmtId="0" fontId="40" fillId="11" borderId="107" xfId="0" applyFont="1" applyFill="1" applyBorder="1" applyAlignment="1">
      <alignment horizontal="center" vertical="center"/>
    </xf>
    <xf numFmtId="0" fontId="40" fillId="11" borderId="28" xfId="0" applyFont="1" applyFill="1" applyBorder="1" applyAlignment="1">
      <alignment horizontal="center" vertical="center"/>
    </xf>
    <xf numFmtId="4" fontId="40" fillId="12" borderId="107" xfId="0" applyNumberFormat="1" applyFont="1" applyFill="1" applyBorder="1" applyAlignment="1">
      <alignment horizontal="center" vertical="center"/>
    </xf>
    <xf numFmtId="4" fontId="40" fillId="12" borderId="106" xfId="0" applyNumberFormat="1" applyFont="1" applyFill="1" applyBorder="1" applyAlignment="1">
      <alignment horizontal="center" vertical="center"/>
    </xf>
    <xf numFmtId="4" fontId="40" fillId="12" borderId="28" xfId="0" applyNumberFormat="1" applyFont="1" applyFill="1" applyBorder="1" applyAlignment="1">
      <alignment horizontal="center" vertical="center"/>
    </xf>
    <xf numFmtId="0" fontId="64" fillId="30" borderId="87" xfId="0" applyFont="1" applyFill="1" applyBorder="1" applyAlignment="1">
      <alignment horizontal="center" wrapText="1"/>
    </xf>
    <xf numFmtId="17" fontId="64" fillId="30" borderId="105" xfId="0" applyNumberFormat="1" applyFont="1" applyFill="1" applyBorder="1" applyAlignment="1">
      <alignment horizontal="center" wrapText="1"/>
    </xf>
    <xf numFmtId="174" fontId="51" fillId="29" borderId="87" xfId="0" applyNumberFormat="1" applyFont="1" applyFill="1" applyBorder="1" applyAlignment="1">
      <alignment horizontal="center" vertical="center"/>
    </xf>
    <xf numFmtId="174" fontId="51" fillId="29" borderId="114" xfId="0" applyNumberFormat="1" applyFont="1" applyFill="1" applyBorder="1" applyAlignment="1">
      <alignment horizontal="center" vertical="center"/>
    </xf>
    <xf numFmtId="174" fontId="51" fillId="29" borderId="105" xfId="0" applyNumberFormat="1" applyFont="1" applyFill="1" applyBorder="1" applyAlignment="1">
      <alignment horizontal="center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da Receita Requerida para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Tarifa!$A$27:$A$31</c:f>
            </c:multiLvlStrRef>
          </c:cat>
          <c:val>
            <c:numRef>
              <c:f>Tarifa!$B$27:$B$31</c:f>
            </c:numRef>
          </c:val>
          <c:extLst>
            <c:ext xmlns:c16="http://schemas.microsoft.com/office/drawing/2014/chart" uri="{C3380CC4-5D6E-409C-BE32-E72D297353CC}">
              <c16:uniqueId val="{00000000-D9E0-4FB3-8796-915BA4EF8C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3</xdr:col>
      <xdr:colOff>179917</xdr:colOff>
      <xdr:row>46</xdr:row>
      <xdr:rowOff>43391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83376-0728-43C2-9ECC-66AB7FB3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39"/>
  <sheetViews>
    <sheetView showGridLines="0" zoomScaleNormal="100" workbookViewId="0">
      <selection activeCell="G42" sqref="G42"/>
    </sheetView>
  </sheetViews>
  <sheetFormatPr defaultRowHeight="15" x14ac:dyDescent="0.25"/>
  <cols>
    <col min="1" max="1" width="69.140625" customWidth="1"/>
    <col min="2" max="3" width="20.7109375" customWidth="1"/>
    <col min="4" max="4" width="119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876" t="s">
        <v>1243</v>
      </c>
      <c r="B1" s="877"/>
      <c r="C1" s="877"/>
      <c r="D1" s="878"/>
    </row>
    <row r="2" spans="1:9" ht="21.75" thickBot="1" x14ac:dyDescent="0.4">
      <c r="A2" s="41" t="s">
        <v>1374</v>
      </c>
      <c r="B2" s="17"/>
      <c r="C2" s="17"/>
      <c r="D2" s="45"/>
      <c r="F2" s="49" t="s">
        <v>1265</v>
      </c>
    </row>
    <row r="3" spans="1:9" ht="26.25" thickBot="1" x14ac:dyDescent="0.3">
      <c r="A3" s="616" t="s">
        <v>39</v>
      </c>
      <c r="B3" s="698" t="s">
        <v>345</v>
      </c>
      <c r="C3" s="698" t="s">
        <v>1376</v>
      </c>
      <c r="D3" s="703" t="s">
        <v>1375</v>
      </c>
      <c r="F3" s="509" t="s">
        <v>9</v>
      </c>
      <c r="G3" s="510" t="s">
        <v>1255</v>
      </c>
      <c r="H3" s="510" t="s">
        <v>10</v>
      </c>
      <c r="I3" s="510" t="s">
        <v>1255</v>
      </c>
    </row>
    <row r="4" spans="1:9" ht="15.75" thickBot="1" x14ac:dyDescent="0.3">
      <c r="A4" s="507" t="s">
        <v>1418</v>
      </c>
      <c r="B4" s="502">
        <v>0.12956699999999999</v>
      </c>
      <c r="C4" s="499" t="s">
        <v>1417</v>
      </c>
      <c r="D4" s="508" t="s">
        <v>1419</v>
      </c>
      <c r="F4" s="511" t="s">
        <v>1256</v>
      </c>
      <c r="G4" s="702">
        <v>5.8683333333333332</v>
      </c>
      <c r="H4" s="512" t="s">
        <v>1257</v>
      </c>
      <c r="I4" s="702">
        <v>4.3280000000000003</v>
      </c>
    </row>
    <row r="5" spans="1:9" ht="15.75" thickBot="1" x14ac:dyDescent="0.3">
      <c r="A5" s="507" t="s">
        <v>1234</v>
      </c>
      <c r="B5" s="498">
        <v>4</v>
      </c>
      <c r="C5" s="499">
        <v>43739</v>
      </c>
      <c r="D5" s="508" t="s">
        <v>1245</v>
      </c>
      <c r="F5" s="511" t="s">
        <v>1258</v>
      </c>
      <c r="G5" s="702">
        <v>5.754249999999999</v>
      </c>
      <c r="H5" s="512" t="s">
        <v>1259</v>
      </c>
      <c r="I5" s="702">
        <v>4.0056666666666674</v>
      </c>
    </row>
    <row r="6" spans="1:9" ht="15.75" thickBot="1" x14ac:dyDescent="0.3">
      <c r="A6" s="507" t="s">
        <v>1226</v>
      </c>
      <c r="B6" s="497">
        <v>20318.25</v>
      </c>
      <c r="C6" s="499">
        <v>43739</v>
      </c>
      <c r="D6" s="508" t="s">
        <v>1220</v>
      </c>
      <c r="F6" s="511" t="s">
        <v>1260</v>
      </c>
      <c r="G6" s="702">
        <v>5.5986666666666673</v>
      </c>
      <c r="H6" s="512" t="s">
        <v>1261</v>
      </c>
      <c r="I6" s="702">
        <v>3.2695000000000003</v>
      </c>
    </row>
    <row r="7" spans="1:9" ht="15.75" thickBot="1" x14ac:dyDescent="0.3">
      <c r="A7" s="507" t="s">
        <v>1240</v>
      </c>
      <c r="B7" s="497">
        <v>13913.02</v>
      </c>
      <c r="C7" s="499">
        <v>43739</v>
      </c>
      <c r="D7" s="508" t="s">
        <v>1220</v>
      </c>
      <c r="F7" s="513" t="s">
        <v>1262</v>
      </c>
      <c r="G7" s="702">
        <v>4.9385833333333347</v>
      </c>
      <c r="H7" s="515"/>
      <c r="I7" s="515"/>
    </row>
    <row r="8" spans="1:9" ht="15.75" thickBot="1" x14ac:dyDescent="0.3">
      <c r="A8" s="507" t="s">
        <v>1219</v>
      </c>
      <c r="B8" s="497">
        <v>10884.5</v>
      </c>
      <c r="C8" s="499">
        <v>43739</v>
      </c>
      <c r="D8" s="508" t="s">
        <v>1220</v>
      </c>
      <c r="F8" s="513" t="s">
        <v>1263</v>
      </c>
      <c r="G8" s="702">
        <v>4.3029166666666656</v>
      </c>
      <c r="H8" s="515"/>
      <c r="I8" s="515"/>
    </row>
    <row r="9" spans="1:9" ht="15.75" thickBot="1" x14ac:dyDescent="0.3">
      <c r="A9" s="507" t="s">
        <v>1241</v>
      </c>
      <c r="B9" s="497">
        <v>8954.73</v>
      </c>
      <c r="C9" s="499">
        <v>43739</v>
      </c>
      <c r="D9" s="875" t="s">
        <v>1220</v>
      </c>
      <c r="F9" s="513" t="s">
        <v>1264</v>
      </c>
      <c r="G9" s="702">
        <v>3.8889999999999993</v>
      </c>
      <c r="H9" s="515"/>
      <c r="I9" s="515"/>
    </row>
    <row r="10" spans="1:9" x14ac:dyDescent="0.25">
      <c r="A10" s="871" t="s">
        <v>1461</v>
      </c>
      <c r="B10" s="498">
        <v>14666226.768000001</v>
      </c>
      <c r="C10" s="872">
        <v>43739</v>
      </c>
      <c r="D10" s="875" t="s">
        <v>1463</v>
      </c>
      <c r="F10" s="870"/>
      <c r="H10" s="515"/>
      <c r="I10" s="515"/>
    </row>
    <row r="11" spans="1:9" x14ac:dyDescent="0.25">
      <c r="A11" s="507" t="s">
        <v>1221</v>
      </c>
      <c r="B11" s="498">
        <v>3638.31</v>
      </c>
      <c r="C11" s="499">
        <v>43739</v>
      </c>
      <c r="D11" s="875" t="s">
        <v>1220</v>
      </c>
      <c r="F11" s="514"/>
    </row>
    <row r="12" spans="1:9" x14ac:dyDescent="0.25">
      <c r="A12" s="507" t="s">
        <v>1224</v>
      </c>
      <c r="B12" s="498">
        <v>2181.59</v>
      </c>
      <c r="C12" s="499">
        <v>43739</v>
      </c>
      <c r="D12" s="508" t="s">
        <v>1220</v>
      </c>
    </row>
    <row r="13" spans="1:9" x14ac:dyDescent="0.25">
      <c r="A13" s="507" t="s">
        <v>1223</v>
      </c>
      <c r="B13" s="498">
        <v>3271.41</v>
      </c>
      <c r="C13" s="499">
        <v>43739</v>
      </c>
      <c r="D13" s="508" t="s">
        <v>1437</v>
      </c>
    </row>
    <row r="14" spans="1:9" x14ac:dyDescent="0.25">
      <c r="A14" s="507" t="s">
        <v>1242</v>
      </c>
      <c r="B14" s="498">
        <v>1960.78</v>
      </c>
      <c r="C14" s="499">
        <v>43739</v>
      </c>
      <c r="D14" s="508" t="s">
        <v>1220</v>
      </c>
    </row>
    <row r="15" spans="1:9" x14ac:dyDescent="0.25">
      <c r="A15" s="507" t="s">
        <v>1225</v>
      </c>
      <c r="B15" s="498">
        <v>1742.14</v>
      </c>
      <c r="C15" s="499">
        <v>43739</v>
      </c>
      <c r="D15" s="508" t="s">
        <v>1220</v>
      </c>
    </row>
    <row r="16" spans="1:9" x14ac:dyDescent="0.25">
      <c r="A16" s="507" t="s">
        <v>1222</v>
      </c>
      <c r="B16" s="498">
        <v>1709.36</v>
      </c>
      <c r="C16" s="499">
        <v>43739</v>
      </c>
      <c r="D16" s="508" t="s">
        <v>1220</v>
      </c>
    </row>
    <row r="17" spans="1:4" x14ac:dyDescent="0.25">
      <c r="A17" s="704" t="s">
        <v>337</v>
      </c>
      <c r="B17" s="498">
        <v>16.010000000000002</v>
      </c>
      <c r="C17" s="499">
        <v>43739</v>
      </c>
      <c r="D17" s="508" t="s">
        <v>1227</v>
      </c>
    </row>
    <row r="18" spans="1:4" x14ac:dyDescent="0.25">
      <c r="A18" s="704" t="s">
        <v>334</v>
      </c>
      <c r="B18" s="498">
        <v>20.58</v>
      </c>
      <c r="C18" s="499">
        <v>43739</v>
      </c>
      <c r="D18" s="508" t="s">
        <v>1228</v>
      </c>
    </row>
    <row r="19" spans="1:4" x14ac:dyDescent="0.25">
      <c r="A19" s="704" t="s">
        <v>331</v>
      </c>
      <c r="B19" s="498">
        <v>53.79</v>
      </c>
      <c r="C19" s="499">
        <v>43739</v>
      </c>
      <c r="D19" s="508" t="s">
        <v>1229</v>
      </c>
    </row>
    <row r="20" spans="1:4" x14ac:dyDescent="0.25">
      <c r="A20" s="704" t="s">
        <v>328</v>
      </c>
      <c r="B20" s="498">
        <v>19.940000000000001</v>
      </c>
      <c r="C20" s="499">
        <v>43739</v>
      </c>
      <c r="D20" s="508" t="s">
        <v>1230</v>
      </c>
    </row>
    <row r="21" spans="1:4" x14ac:dyDescent="0.25">
      <c r="A21" s="704" t="s">
        <v>325</v>
      </c>
      <c r="B21" s="498">
        <v>21.04</v>
      </c>
      <c r="C21" s="499">
        <v>43739</v>
      </c>
      <c r="D21" s="508" t="s">
        <v>1231</v>
      </c>
    </row>
    <row r="22" spans="1:4" x14ac:dyDescent="0.25">
      <c r="A22" s="704" t="s">
        <v>322</v>
      </c>
      <c r="B22" s="498">
        <v>16.04</v>
      </c>
      <c r="C22" s="499">
        <v>43739</v>
      </c>
      <c r="D22" s="508" t="s">
        <v>1232</v>
      </c>
    </row>
    <row r="23" spans="1:4" x14ac:dyDescent="0.25">
      <c r="A23" s="352" t="s">
        <v>1239</v>
      </c>
      <c r="B23" s="498">
        <v>1000</v>
      </c>
      <c r="C23" s="499">
        <v>43739</v>
      </c>
      <c r="D23" s="508" t="s">
        <v>1233</v>
      </c>
    </row>
    <row r="24" spans="1:4" x14ac:dyDescent="0.25">
      <c r="A24" s="352" t="s">
        <v>673</v>
      </c>
      <c r="B24" s="498">
        <v>120</v>
      </c>
      <c r="C24" s="499">
        <v>43739</v>
      </c>
      <c r="D24" s="508" t="s">
        <v>1233</v>
      </c>
    </row>
    <row r="25" spans="1:4" x14ac:dyDescent="0.25">
      <c r="A25" s="352" t="s">
        <v>672</v>
      </c>
      <c r="B25" s="498">
        <v>70</v>
      </c>
      <c r="C25" s="499">
        <v>43739</v>
      </c>
      <c r="D25" s="508" t="s">
        <v>1233</v>
      </c>
    </row>
    <row r="26" spans="1:4" x14ac:dyDescent="0.25">
      <c r="A26" s="352" t="s">
        <v>303</v>
      </c>
      <c r="B26" s="498">
        <v>250</v>
      </c>
      <c r="C26" s="499">
        <v>43739</v>
      </c>
      <c r="D26" s="508" t="s">
        <v>1233</v>
      </c>
    </row>
    <row r="27" spans="1:4" x14ac:dyDescent="0.25">
      <c r="A27" s="507" t="s">
        <v>1237</v>
      </c>
      <c r="B27" s="498">
        <v>250</v>
      </c>
      <c r="C27" s="499">
        <v>43739</v>
      </c>
      <c r="D27" s="508" t="s">
        <v>1233</v>
      </c>
    </row>
    <row r="28" spans="1:4" x14ac:dyDescent="0.25">
      <c r="A28" s="507" t="s">
        <v>1238</v>
      </c>
      <c r="B28" s="498">
        <v>4827.13</v>
      </c>
      <c r="C28" s="499">
        <v>43739</v>
      </c>
      <c r="D28" s="508" t="s">
        <v>1220</v>
      </c>
    </row>
    <row r="29" spans="1:4" x14ac:dyDescent="0.25">
      <c r="A29" s="507" t="s">
        <v>528</v>
      </c>
      <c r="B29" s="498">
        <v>43.67</v>
      </c>
      <c r="C29" s="499">
        <v>43739</v>
      </c>
      <c r="D29" s="508" t="s">
        <v>1235</v>
      </c>
    </row>
    <row r="30" spans="1:4" ht="15.75" thickBot="1" x14ac:dyDescent="0.3">
      <c r="A30" s="507" t="s">
        <v>1236</v>
      </c>
      <c r="B30" s="498">
        <v>93.29</v>
      </c>
      <c r="C30" s="499">
        <v>43739</v>
      </c>
      <c r="D30" s="508" t="s">
        <v>1233</v>
      </c>
    </row>
    <row r="31" spans="1:4" x14ac:dyDescent="0.25">
      <c r="A31" s="505" t="s">
        <v>1244</v>
      </c>
      <c r="B31" s="700">
        <v>300.81</v>
      </c>
      <c r="C31" s="850">
        <v>43461</v>
      </c>
      <c r="D31" s="506" t="s">
        <v>1249</v>
      </c>
    </row>
    <row r="32" spans="1:4" x14ac:dyDescent="0.25">
      <c r="A32" s="507" t="s">
        <v>1250</v>
      </c>
      <c r="B32" s="498">
        <v>237.76</v>
      </c>
      <c r="C32" s="499" t="s">
        <v>1362</v>
      </c>
      <c r="D32" s="508" t="s">
        <v>1447</v>
      </c>
    </row>
    <row r="33" spans="1:4" x14ac:dyDescent="0.25">
      <c r="A33" s="507" t="s">
        <v>1062</v>
      </c>
      <c r="B33" s="504">
        <v>15.68</v>
      </c>
      <c r="C33" s="851">
        <v>43800</v>
      </c>
      <c r="D33" s="508" t="s">
        <v>1451</v>
      </c>
    </row>
    <row r="34" spans="1:4" x14ac:dyDescent="0.25">
      <c r="A34" s="507" t="s">
        <v>1061</v>
      </c>
      <c r="B34" s="498">
        <v>8.19</v>
      </c>
      <c r="C34" s="851">
        <v>43800</v>
      </c>
      <c r="D34" s="856" t="s">
        <v>1452</v>
      </c>
    </row>
    <row r="35" spans="1:4" x14ac:dyDescent="0.25">
      <c r="A35" s="507" t="s">
        <v>1060</v>
      </c>
      <c r="B35" s="498">
        <v>2.5</v>
      </c>
      <c r="C35" s="851">
        <v>43070</v>
      </c>
      <c r="D35" s="508"/>
    </row>
    <row r="36" spans="1:4" x14ac:dyDescent="0.25">
      <c r="A36" s="352" t="s">
        <v>1251</v>
      </c>
      <c r="B36" s="498">
        <v>4.0229999999999997</v>
      </c>
      <c r="C36" s="499">
        <v>43739</v>
      </c>
      <c r="D36" s="508" t="s">
        <v>1453</v>
      </c>
    </row>
    <row r="37" spans="1:4" x14ac:dyDescent="0.25">
      <c r="A37" s="352" t="s">
        <v>1252</v>
      </c>
      <c r="B37" s="498">
        <v>4.0449999999999999</v>
      </c>
      <c r="C37" s="499">
        <v>43739</v>
      </c>
      <c r="D37" s="508" t="s">
        <v>1453</v>
      </c>
    </row>
    <row r="38" spans="1:4" x14ac:dyDescent="0.25">
      <c r="A38" s="352" t="s">
        <v>1253</v>
      </c>
      <c r="B38" s="498">
        <v>3.93</v>
      </c>
      <c r="C38" s="499">
        <v>43739</v>
      </c>
      <c r="D38" s="508" t="s">
        <v>1453</v>
      </c>
    </row>
    <row r="39" spans="1:4" ht="15.75" thickBot="1" x14ac:dyDescent="0.3">
      <c r="A39" s="351" t="s">
        <v>1254</v>
      </c>
      <c r="B39" s="701">
        <v>4.0010000000000003</v>
      </c>
      <c r="C39" s="499">
        <v>43739</v>
      </c>
      <c r="D39" s="508" t="s">
        <v>1453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workbookViewId="0">
      <selection activeCell="N30" sqref="N30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955" t="s">
        <v>39</v>
      </c>
      <c r="B2" s="955" t="s">
        <v>346</v>
      </c>
      <c r="C2" s="955" t="s">
        <v>38</v>
      </c>
      <c r="D2" s="955" t="s">
        <v>354</v>
      </c>
      <c r="E2" s="36" t="s">
        <v>353</v>
      </c>
      <c r="F2" s="36" t="s">
        <v>352</v>
      </c>
      <c r="G2" s="36" t="s">
        <v>351</v>
      </c>
      <c r="H2" s="36" t="s">
        <v>350</v>
      </c>
      <c r="I2" s="36" t="s">
        <v>349</v>
      </c>
      <c r="J2" s="955" t="s">
        <v>348</v>
      </c>
      <c r="L2" t="s">
        <v>347</v>
      </c>
    </row>
    <row r="3" spans="1:23" ht="15" customHeight="1" x14ac:dyDescent="0.25">
      <c r="A3" s="955"/>
      <c r="B3" s="955"/>
      <c r="C3" s="955"/>
      <c r="D3" s="955"/>
      <c r="E3" s="35">
        <v>0.73570000000000002</v>
      </c>
      <c r="F3" s="35">
        <v>0.2177</v>
      </c>
      <c r="G3" s="35">
        <v>0.15</v>
      </c>
      <c r="H3" s="35">
        <v>0.3</v>
      </c>
      <c r="I3" s="35">
        <v>0.21</v>
      </c>
      <c r="J3" s="955"/>
      <c r="L3" s="36" t="s">
        <v>39</v>
      </c>
      <c r="M3" s="36" t="s">
        <v>346</v>
      </c>
      <c r="N3" s="36" t="s">
        <v>38</v>
      </c>
      <c r="O3" s="36" t="s">
        <v>345</v>
      </c>
      <c r="P3" s="36" t="s">
        <v>344</v>
      </c>
      <c r="Q3" s="36" t="s">
        <v>343</v>
      </c>
      <c r="R3" s="36" t="s">
        <v>1</v>
      </c>
    </row>
    <row r="4" spans="1:23" x14ac:dyDescent="0.25">
      <c r="A4" s="32">
        <v>1</v>
      </c>
      <c r="B4" s="33" t="s">
        <v>342</v>
      </c>
      <c r="C4" s="32">
        <v>36</v>
      </c>
      <c r="D4" s="140">
        <f>'custos unitários para atualizar'!$B$11</f>
        <v>3638.31</v>
      </c>
      <c r="E4" s="139">
        <f t="shared" ref="E4:E19" si="0">D4*$E$3</f>
        <v>2676.704667</v>
      </c>
      <c r="F4" s="139">
        <f t="shared" ref="F4:F19" si="1">D4*$F$3</f>
        <v>792.06008699999995</v>
      </c>
      <c r="G4" s="139">
        <f>D4*$G$3</f>
        <v>545.74649999999997</v>
      </c>
      <c r="H4" s="139">
        <f>D4*$H$3</f>
        <v>1091.4929999999999</v>
      </c>
      <c r="I4" s="139">
        <v>0</v>
      </c>
      <c r="J4" s="139">
        <f t="shared" ref="J4:J19" si="2">(SUM(D4:I4)*C4*12)</f>
        <v>3777543.7577279992</v>
      </c>
      <c r="L4" s="7">
        <v>1</v>
      </c>
      <c r="M4" s="33" t="s">
        <v>341</v>
      </c>
      <c r="N4" s="145">
        <v>1440</v>
      </c>
      <c r="O4" s="135">
        <f>P25</f>
        <v>316.47814836181817</v>
      </c>
      <c r="P4" s="145"/>
      <c r="Q4" s="144" t="s">
        <v>58</v>
      </c>
      <c r="R4" s="143">
        <f>N4*O4</f>
        <v>455728.53364101815</v>
      </c>
    </row>
    <row r="5" spans="1:23" x14ac:dyDescent="0.25">
      <c r="A5" s="32">
        <v>2</v>
      </c>
      <c r="B5" s="33" t="s">
        <v>340</v>
      </c>
      <c r="C5" s="32">
        <v>36</v>
      </c>
      <c r="D5" s="140">
        <f>'custos unitários para atualizar'!$B$11</f>
        <v>3638.31</v>
      </c>
      <c r="E5" s="139">
        <f t="shared" si="0"/>
        <v>2676.704667</v>
      </c>
      <c r="F5" s="139">
        <f t="shared" si="1"/>
        <v>792.06008699999995</v>
      </c>
      <c r="G5" s="139">
        <f>D5*$G$3</f>
        <v>545.74649999999997</v>
      </c>
      <c r="H5" s="139">
        <f>D5*$H$3</f>
        <v>1091.4929999999999</v>
      </c>
      <c r="I5" s="139">
        <f>D5*(8/12)*$I$3</f>
        <v>509.36339999999996</v>
      </c>
      <c r="J5" s="139">
        <f t="shared" si="2"/>
        <v>3997588.7465279996</v>
      </c>
      <c r="L5" s="7">
        <v>2</v>
      </c>
      <c r="M5" s="33" t="s">
        <v>339</v>
      </c>
      <c r="N5" s="145">
        <v>180</v>
      </c>
      <c r="O5" s="135">
        <f>N36</f>
        <v>340.69515476505597</v>
      </c>
      <c r="P5" s="145"/>
      <c r="Q5" s="144" t="s">
        <v>320</v>
      </c>
      <c r="R5" s="143">
        <f t="shared" ref="R5:R11" si="3">O5*N5</f>
        <v>61325.127857710075</v>
      </c>
    </row>
    <row r="6" spans="1:23" x14ac:dyDescent="0.25">
      <c r="A6" s="32">
        <v>3</v>
      </c>
      <c r="B6" s="33" t="s">
        <v>338</v>
      </c>
      <c r="C6" s="32">
        <f>57+46+9+29</f>
        <v>141</v>
      </c>
      <c r="D6" s="140">
        <f>'custos unitários para atualizar'!$B$16</f>
        <v>1709.36</v>
      </c>
      <c r="E6" s="139">
        <f t="shared" si="0"/>
        <v>1257.5761519999999</v>
      </c>
      <c r="F6" s="139">
        <f t="shared" si="1"/>
        <v>372.12767199999996</v>
      </c>
      <c r="G6" s="139">
        <v>0</v>
      </c>
      <c r="H6" s="139">
        <v>0</v>
      </c>
      <c r="I6" s="139">
        <v>0</v>
      </c>
      <c r="J6" s="139">
        <f t="shared" si="2"/>
        <v>5649695.9902079999</v>
      </c>
      <c r="L6" s="7">
        <v>3</v>
      </c>
      <c r="M6" s="33" t="s">
        <v>337</v>
      </c>
      <c r="N6" s="145">
        <v>180</v>
      </c>
      <c r="O6" s="500">
        <f>'custos unitários para atualizar'!B17*8</f>
        <v>128.08000000000001</v>
      </c>
      <c r="P6" s="145" t="s">
        <v>336</v>
      </c>
      <c r="Q6" s="144" t="s">
        <v>320</v>
      </c>
      <c r="R6" s="143">
        <f t="shared" si="3"/>
        <v>23054.400000000001</v>
      </c>
      <c r="W6">
        <v>124.88</v>
      </c>
    </row>
    <row r="7" spans="1:23" x14ac:dyDescent="0.25">
      <c r="A7" s="32">
        <v>3</v>
      </c>
      <c r="B7" s="33" t="s">
        <v>335</v>
      </c>
      <c r="C7" s="32">
        <v>4</v>
      </c>
      <c r="D7" s="140">
        <f>'custos unitários para atualizar'!$B$11</f>
        <v>3638.31</v>
      </c>
      <c r="E7" s="139">
        <f t="shared" si="0"/>
        <v>2676.704667</v>
      </c>
      <c r="F7" s="139">
        <f t="shared" si="1"/>
        <v>792.06008699999995</v>
      </c>
      <c r="G7" s="139">
        <v>0</v>
      </c>
      <c r="H7" s="139">
        <f t="shared" ref="H7:H18" si="4">D7*$H$3</f>
        <v>1091.4929999999999</v>
      </c>
      <c r="I7" s="139">
        <v>0</v>
      </c>
      <c r="J7" s="139">
        <f t="shared" si="2"/>
        <v>393531.25219199999</v>
      </c>
      <c r="L7" s="7">
        <v>4</v>
      </c>
      <c r="M7" s="33" t="s">
        <v>334</v>
      </c>
      <c r="N7" s="145">
        <v>180</v>
      </c>
      <c r="O7" s="500">
        <f>'custos unitários para atualizar'!B18*8</f>
        <v>164.64</v>
      </c>
      <c r="P7" s="145" t="s">
        <v>333</v>
      </c>
      <c r="Q7" s="144" t="s">
        <v>320</v>
      </c>
      <c r="R7" s="143">
        <f t="shared" si="3"/>
        <v>29635.199999999997</v>
      </c>
      <c r="S7" t="s">
        <v>1169</v>
      </c>
      <c r="W7">
        <v>153.44</v>
      </c>
    </row>
    <row r="8" spans="1:23" x14ac:dyDescent="0.25">
      <c r="A8" s="32">
        <v>4</v>
      </c>
      <c r="B8" s="33" t="s">
        <v>332</v>
      </c>
      <c r="C8" s="32">
        <v>6</v>
      </c>
      <c r="D8" s="140">
        <f>'custos unitários para atualizar'!$B$13</f>
        <v>3271.41</v>
      </c>
      <c r="E8" s="139">
        <f t="shared" si="0"/>
        <v>2406.7763369999998</v>
      </c>
      <c r="F8" s="139">
        <f t="shared" si="1"/>
        <v>712.18595700000003</v>
      </c>
      <c r="G8" s="139">
        <v>0</v>
      </c>
      <c r="H8" s="139">
        <f t="shared" si="4"/>
        <v>981.42299999999989</v>
      </c>
      <c r="I8" s="139">
        <v>0</v>
      </c>
      <c r="J8" s="139">
        <f t="shared" si="2"/>
        <v>530769.26116799982</v>
      </c>
      <c r="L8" s="7">
        <v>5</v>
      </c>
      <c r="M8" s="33" t="s">
        <v>331</v>
      </c>
      <c r="N8" s="145">
        <v>180</v>
      </c>
      <c r="O8" s="500">
        <f>'custos unitários para atualizar'!B19*8</f>
        <v>430.32</v>
      </c>
      <c r="P8" s="145" t="s">
        <v>330</v>
      </c>
      <c r="Q8" s="144" t="s">
        <v>320</v>
      </c>
      <c r="R8" s="143">
        <f t="shared" si="3"/>
        <v>77457.600000000006</v>
      </c>
      <c r="S8" t="s">
        <v>1169</v>
      </c>
      <c r="W8">
        <v>404.4</v>
      </c>
    </row>
    <row r="9" spans="1:23" x14ac:dyDescent="0.25">
      <c r="A9" s="32">
        <v>5</v>
      </c>
      <c r="B9" s="33" t="s">
        <v>329</v>
      </c>
      <c r="C9" s="32">
        <v>8</v>
      </c>
      <c r="D9" s="140">
        <f>'custos unitários para atualizar'!$B$12</f>
        <v>2181.59</v>
      </c>
      <c r="E9" s="139">
        <f t="shared" si="0"/>
        <v>1604.9957630000001</v>
      </c>
      <c r="F9" s="139">
        <f t="shared" si="1"/>
        <v>474.93214300000005</v>
      </c>
      <c r="G9" s="139">
        <v>0</v>
      </c>
      <c r="H9" s="139">
        <f t="shared" si="4"/>
        <v>654.47699999999998</v>
      </c>
      <c r="I9" s="139">
        <v>0</v>
      </c>
      <c r="J9" s="139">
        <f t="shared" si="2"/>
        <v>471935.51097599999</v>
      </c>
      <c r="L9" s="7">
        <v>6</v>
      </c>
      <c r="M9" s="33" t="s">
        <v>328</v>
      </c>
      <c r="N9" s="145">
        <v>180</v>
      </c>
      <c r="O9" s="500">
        <f>'custos unitários para atualizar'!B20*8</f>
        <v>159.52000000000001</v>
      </c>
      <c r="P9" s="145" t="s">
        <v>327</v>
      </c>
      <c r="Q9" s="144" t="s">
        <v>320</v>
      </c>
      <c r="R9" s="143">
        <f t="shared" si="3"/>
        <v>28713.600000000002</v>
      </c>
      <c r="S9" t="s">
        <v>1169</v>
      </c>
      <c r="W9">
        <v>154.32</v>
      </c>
    </row>
    <row r="10" spans="1:23" x14ac:dyDescent="0.25">
      <c r="A10" s="32">
        <v>6</v>
      </c>
      <c r="B10" s="33" t="s">
        <v>326</v>
      </c>
      <c r="C10" s="32">
        <v>4</v>
      </c>
      <c r="D10" s="140">
        <f>'custos unitários para atualizar'!$B$11</f>
        <v>3638.31</v>
      </c>
      <c r="E10" s="139">
        <f t="shared" si="0"/>
        <v>2676.704667</v>
      </c>
      <c r="F10" s="139">
        <f t="shared" si="1"/>
        <v>792.06008699999995</v>
      </c>
      <c r="G10" s="139">
        <v>0</v>
      </c>
      <c r="H10" s="139">
        <f t="shared" si="4"/>
        <v>1091.4929999999999</v>
      </c>
      <c r="I10" s="139">
        <v>0</v>
      </c>
      <c r="J10" s="139">
        <f t="shared" si="2"/>
        <v>393531.25219199999</v>
      </c>
      <c r="L10" s="7">
        <v>7</v>
      </c>
      <c r="M10" s="33" t="s">
        <v>325</v>
      </c>
      <c r="N10" s="145">
        <v>180</v>
      </c>
      <c r="O10" s="500">
        <f>'custos unitários para atualizar'!B21*8</f>
        <v>168.32</v>
      </c>
      <c r="P10" s="145" t="s">
        <v>324</v>
      </c>
      <c r="Q10" s="144" t="s">
        <v>320</v>
      </c>
      <c r="R10" s="143">
        <f t="shared" si="3"/>
        <v>30297.599999999999</v>
      </c>
      <c r="S10" t="s">
        <v>1169</v>
      </c>
      <c r="W10">
        <v>153.76</v>
      </c>
    </row>
    <row r="11" spans="1:23" x14ac:dyDescent="0.25">
      <c r="A11" s="32">
        <v>7</v>
      </c>
      <c r="B11" s="33" t="s">
        <v>323</v>
      </c>
      <c r="C11" s="32">
        <v>2</v>
      </c>
      <c r="D11" s="140">
        <f>'custos unitários para atualizar'!$B$12</f>
        <v>2181.59</v>
      </c>
      <c r="E11" s="139">
        <f t="shared" si="0"/>
        <v>1604.9957630000001</v>
      </c>
      <c r="F11" s="139">
        <f t="shared" si="1"/>
        <v>474.93214300000005</v>
      </c>
      <c r="G11" s="139">
        <v>0</v>
      </c>
      <c r="H11" s="139">
        <f t="shared" si="4"/>
        <v>654.47699999999998</v>
      </c>
      <c r="I11" s="139">
        <v>0</v>
      </c>
      <c r="J11" s="139">
        <f t="shared" si="2"/>
        <v>117983.877744</v>
      </c>
      <c r="L11" s="7">
        <v>8</v>
      </c>
      <c r="M11" s="33" t="s">
        <v>322</v>
      </c>
      <c r="N11" s="145">
        <v>180</v>
      </c>
      <c r="O11" s="500">
        <f>'custos unitários para atualizar'!B22*8</f>
        <v>128.32</v>
      </c>
      <c r="P11" s="145" t="s">
        <v>321</v>
      </c>
      <c r="Q11" s="144" t="s">
        <v>320</v>
      </c>
      <c r="R11" s="143">
        <f t="shared" si="3"/>
        <v>23097.599999999999</v>
      </c>
      <c r="S11" t="s">
        <v>1169</v>
      </c>
      <c r="W11">
        <v>124.64</v>
      </c>
    </row>
    <row r="12" spans="1:23" x14ac:dyDescent="0.25">
      <c r="A12" s="32">
        <v>8</v>
      </c>
      <c r="B12" s="33" t="s">
        <v>319</v>
      </c>
      <c r="C12" s="32">
        <v>6</v>
      </c>
      <c r="D12" s="140">
        <f>'custos unitários para atualizar'!$B$11</f>
        <v>3638.31</v>
      </c>
      <c r="E12" s="139">
        <f t="shared" si="0"/>
        <v>2676.704667</v>
      </c>
      <c r="F12" s="139">
        <f t="shared" si="1"/>
        <v>792.06008699999995</v>
      </c>
      <c r="G12" s="139">
        <v>0</v>
      </c>
      <c r="H12" s="139">
        <f t="shared" si="4"/>
        <v>1091.4929999999999</v>
      </c>
      <c r="I12" s="139">
        <v>0</v>
      </c>
      <c r="J12" s="139">
        <f t="shared" si="2"/>
        <v>590296.87828800001</v>
      </c>
      <c r="N12" s="142"/>
      <c r="O12" s="142"/>
      <c r="P12" s="142"/>
      <c r="Q12" s="142"/>
      <c r="R12" s="141">
        <f>SUM(R4:R11)</f>
        <v>729309.66149872809</v>
      </c>
    </row>
    <row r="13" spans="1:23" x14ac:dyDescent="0.25">
      <c r="A13" s="32">
        <v>9</v>
      </c>
      <c r="B13" s="33" t="s">
        <v>318</v>
      </c>
      <c r="C13" s="32">
        <v>2</v>
      </c>
      <c r="D13" s="140">
        <f>'custos unitários para atualizar'!$B$8</f>
        <v>10884.5</v>
      </c>
      <c r="E13" s="139">
        <f t="shared" si="0"/>
        <v>8007.7266500000005</v>
      </c>
      <c r="F13" s="139">
        <f t="shared" si="1"/>
        <v>2369.5556500000002</v>
      </c>
      <c r="G13" s="139">
        <v>0</v>
      </c>
      <c r="H13" s="139">
        <f t="shared" si="4"/>
        <v>3265.35</v>
      </c>
      <c r="I13" s="139">
        <v>0</v>
      </c>
      <c r="J13" s="139">
        <f t="shared" si="2"/>
        <v>588651.17519999994</v>
      </c>
    </row>
    <row r="14" spans="1:23" x14ac:dyDescent="0.25">
      <c r="A14" s="32">
        <v>10</v>
      </c>
      <c r="B14" s="33" t="s">
        <v>317</v>
      </c>
      <c r="C14" s="32">
        <v>2</v>
      </c>
      <c r="D14" s="140">
        <f>'custos unitários para atualizar'!$B$8</f>
        <v>10884.5</v>
      </c>
      <c r="E14" s="139">
        <f t="shared" si="0"/>
        <v>8007.7266500000005</v>
      </c>
      <c r="F14" s="139">
        <f t="shared" si="1"/>
        <v>2369.5556500000002</v>
      </c>
      <c r="G14" s="139">
        <v>0</v>
      </c>
      <c r="H14" s="139">
        <f t="shared" si="4"/>
        <v>3265.35</v>
      </c>
      <c r="I14" s="139">
        <v>0</v>
      </c>
      <c r="J14" s="139">
        <f t="shared" si="2"/>
        <v>588651.17519999994</v>
      </c>
    </row>
    <row r="15" spans="1:23" x14ac:dyDescent="0.25">
      <c r="A15" s="32">
        <v>11</v>
      </c>
      <c r="B15" s="33" t="s">
        <v>316</v>
      </c>
      <c r="C15" s="32">
        <v>2</v>
      </c>
      <c r="D15" s="140">
        <f>'custos unitários para atualizar'!$B$8</f>
        <v>10884.5</v>
      </c>
      <c r="E15" s="139">
        <f t="shared" si="0"/>
        <v>8007.7266500000005</v>
      </c>
      <c r="F15" s="139">
        <f t="shared" si="1"/>
        <v>2369.5556500000002</v>
      </c>
      <c r="G15" s="139">
        <v>0</v>
      </c>
      <c r="H15" s="139">
        <f t="shared" si="4"/>
        <v>3265.35</v>
      </c>
      <c r="I15" s="139">
        <v>0</v>
      </c>
      <c r="J15" s="139">
        <f t="shared" si="2"/>
        <v>588651.17519999994</v>
      </c>
      <c r="M15" s="36" t="s">
        <v>315</v>
      </c>
      <c r="N15" s="36" t="s">
        <v>314</v>
      </c>
      <c r="O15" s="36" t="s">
        <v>313</v>
      </c>
      <c r="P15" s="36" t="s">
        <v>294</v>
      </c>
    </row>
    <row r="16" spans="1:23" x14ac:dyDescent="0.25">
      <c r="A16" s="32">
        <v>12</v>
      </c>
      <c r="B16" s="33" t="s">
        <v>312</v>
      </c>
      <c r="C16" s="32">
        <v>2</v>
      </c>
      <c r="D16" s="140">
        <f>'custos unitários para atualizar'!$B$8</f>
        <v>10884.5</v>
      </c>
      <c r="E16" s="139">
        <f t="shared" si="0"/>
        <v>8007.7266500000005</v>
      </c>
      <c r="F16" s="139">
        <f t="shared" si="1"/>
        <v>2369.5556500000002</v>
      </c>
      <c r="G16" s="139">
        <v>0</v>
      </c>
      <c r="H16" s="139">
        <f t="shared" si="4"/>
        <v>3265.35</v>
      </c>
      <c r="I16" s="139">
        <v>0</v>
      </c>
      <c r="J16" s="139">
        <f t="shared" si="2"/>
        <v>588651.17519999994</v>
      </c>
      <c r="M16" s="7" t="s">
        <v>311</v>
      </c>
      <c r="N16" s="136">
        <f>'custos unitários para atualizar'!$B$6/176</f>
        <v>115.44460227272727</v>
      </c>
      <c r="O16" s="135">
        <v>40</v>
      </c>
      <c r="P16" s="135">
        <f>N16*O16</f>
        <v>4617.784090909091</v>
      </c>
    </row>
    <row r="17" spans="1:16" x14ac:dyDescent="0.25">
      <c r="A17" s="32">
        <v>13</v>
      </c>
      <c r="B17" s="33" t="s">
        <v>310</v>
      </c>
      <c r="C17" s="32">
        <v>73</v>
      </c>
      <c r="D17" s="140">
        <f>'custos unitários para atualizar'!$B$15</f>
        <v>1742.14</v>
      </c>
      <c r="E17" s="139">
        <f t="shared" si="0"/>
        <v>1281.6923980000001</v>
      </c>
      <c r="F17" s="139">
        <f t="shared" si="1"/>
        <v>379.26387800000003</v>
      </c>
      <c r="G17" s="139">
        <f>D17*$G$3</f>
        <v>261.32100000000003</v>
      </c>
      <c r="H17" s="139">
        <f t="shared" si="4"/>
        <v>522.64200000000005</v>
      </c>
      <c r="I17" s="139">
        <v>0</v>
      </c>
      <c r="J17" s="139">
        <f t="shared" si="2"/>
        <v>3667863.9257760011</v>
      </c>
      <c r="M17" s="7" t="s">
        <v>309</v>
      </c>
      <c r="N17" s="136"/>
      <c r="O17" s="135"/>
      <c r="P17" s="135">
        <f>P16*20%</f>
        <v>923.55681818181824</v>
      </c>
    </row>
    <row r="18" spans="1:16" x14ac:dyDescent="0.25">
      <c r="A18" s="32">
        <v>14</v>
      </c>
      <c r="B18" s="33" t="s">
        <v>308</v>
      </c>
      <c r="C18" s="32">
        <v>73</v>
      </c>
      <c r="D18" s="140">
        <f>'custos unitários para atualizar'!$B$15</f>
        <v>1742.14</v>
      </c>
      <c r="E18" s="139">
        <f t="shared" si="0"/>
        <v>1281.6923980000001</v>
      </c>
      <c r="F18" s="139">
        <f t="shared" si="1"/>
        <v>379.26387800000003</v>
      </c>
      <c r="G18" s="139">
        <f>D18*$G$3</f>
        <v>261.32100000000003</v>
      </c>
      <c r="H18" s="139">
        <f t="shared" si="4"/>
        <v>522.64200000000005</v>
      </c>
      <c r="I18" s="139">
        <f>D18*(8/12)*$I$3</f>
        <v>243.89959999999999</v>
      </c>
      <c r="J18" s="139">
        <f t="shared" si="2"/>
        <v>3881519.9753760006</v>
      </c>
      <c r="M18" s="7" t="s">
        <v>297</v>
      </c>
      <c r="N18" s="136"/>
      <c r="O18" s="135"/>
      <c r="P18" s="135">
        <f>(P16+P17)*30%</f>
        <v>1662.4022727272727</v>
      </c>
    </row>
    <row r="19" spans="1:16" ht="18.95" customHeight="1" x14ac:dyDescent="0.25">
      <c r="A19" s="32">
        <v>15</v>
      </c>
      <c r="B19" s="33" t="s">
        <v>307</v>
      </c>
      <c r="C19" s="32">
        <v>8</v>
      </c>
      <c r="D19" s="140">
        <f>'custos unitários para atualizar'!$B$12</f>
        <v>2181.59</v>
      </c>
      <c r="E19" s="139">
        <f t="shared" si="0"/>
        <v>1604.9957630000001</v>
      </c>
      <c r="F19" s="139">
        <f t="shared" si="1"/>
        <v>474.93214300000005</v>
      </c>
      <c r="G19" s="139">
        <v>0</v>
      </c>
      <c r="H19" s="139">
        <v>0</v>
      </c>
      <c r="I19" s="139">
        <v>0</v>
      </c>
      <c r="J19" s="139">
        <f t="shared" si="2"/>
        <v>409105.71897599997</v>
      </c>
      <c r="M19" s="7" t="s">
        <v>296</v>
      </c>
      <c r="N19" s="136"/>
      <c r="O19" s="135"/>
      <c r="P19" s="135">
        <f>SUM(P16:P18)*12%</f>
        <v>864.44918181818173</v>
      </c>
    </row>
    <row r="20" spans="1:16" x14ac:dyDescent="0.25">
      <c r="A20" s="369" t="s">
        <v>294</v>
      </c>
      <c r="B20" s="369" t="s">
        <v>294</v>
      </c>
      <c r="C20" s="370">
        <f>SUM(C4:C19)</f>
        <v>405</v>
      </c>
      <c r="D20" s="370"/>
      <c r="E20" s="370"/>
      <c r="F20" s="370"/>
      <c r="G20" s="140"/>
      <c r="H20" s="139"/>
      <c r="I20" s="139"/>
      <c r="J20" s="358">
        <f>SUM(J4:J19)</f>
        <v>26235970.847952001</v>
      </c>
      <c r="M20" s="7" t="s">
        <v>295</v>
      </c>
      <c r="N20" s="136"/>
      <c r="O20" s="135"/>
      <c r="P20" s="135">
        <f>SUM(P16:P19)*16.62%</f>
        <v>1340.9335708363635</v>
      </c>
    </row>
    <row r="21" spans="1:16" x14ac:dyDescent="0.25">
      <c r="A21" s="7"/>
      <c r="B21" s="33" t="s">
        <v>306</v>
      </c>
      <c r="C21" s="7"/>
      <c r="D21" s="7"/>
      <c r="E21" s="7"/>
      <c r="F21" s="139"/>
      <c r="G21" s="7"/>
      <c r="H21" s="7"/>
      <c r="I21" s="7"/>
      <c r="J21" s="140">
        <f>1.5%*J20</f>
        <v>393539.56271928002</v>
      </c>
      <c r="M21" s="7" t="s">
        <v>305</v>
      </c>
      <c r="N21" s="136">
        <f>'custos unitários para atualizar'!B23</f>
        <v>1000</v>
      </c>
      <c r="O21" s="135">
        <v>1</v>
      </c>
      <c r="P21" s="135">
        <f>N21*O21</f>
        <v>1000</v>
      </c>
    </row>
    <row r="22" spans="1:16" x14ac:dyDescent="0.25">
      <c r="A22" s="7"/>
      <c r="B22" s="33" t="s">
        <v>304</v>
      </c>
      <c r="C22" s="7"/>
      <c r="D22" s="7"/>
      <c r="E22" s="7"/>
      <c r="F22" s="7"/>
      <c r="G22" s="7"/>
      <c r="H22" s="7"/>
      <c r="I22" s="7"/>
      <c r="J22" s="139">
        <f>R12</f>
        <v>729309.66149872809</v>
      </c>
      <c r="M22" s="7" t="s">
        <v>303</v>
      </c>
      <c r="N22" s="136">
        <f>'custos unitários para atualizar'!B26</f>
        <v>250</v>
      </c>
      <c r="O22" s="135">
        <v>4.5</v>
      </c>
      <c r="P22" s="135">
        <f>N22*O22</f>
        <v>1125</v>
      </c>
    </row>
    <row r="23" spans="1:16" x14ac:dyDescent="0.25">
      <c r="A23" s="7"/>
      <c r="B23" s="371" t="s">
        <v>8</v>
      </c>
      <c r="C23" s="7"/>
      <c r="D23" s="7"/>
      <c r="E23" s="7"/>
      <c r="F23" s="7"/>
      <c r="G23" s="7"/>
      <c r="H23" s="7"/>
      <c r="I23" s="7"/>
      <c r="J23" s="358">
        <f>J20+J21+J22</f>
        <v>27358820.072170012</v>
      </c>
      <c r="M23" s="7" t="s">
        <v>302</v>
      </c>
      <c r="N23" s="136">
        <f>'custos unitários para atualizar'!B27</f>
        <v>250</v>
      </c>
      <c r="O23" s="135">
        <v>4.5</v>
      </c>
      <c r="P23" s="135">
        <f>N23*O23</f>
        <v>1125</v>
      </c>
    </row>
    <row r="24" spans="1:16" ht="12.95" customHeight="1" x14ac:dyDescent="0.25">
      <c r="M24" s="7" t="s">
        <v>294</v>
      </c>
      <c r="P24" s="135">
        <f>SUM(P16:P23)</f>
        <v>12659.125934472726</v>
      </c>
    </row>
    <row r="25" spans="1:16" x14ac:dyDescent="0.25">
      <c r="M25" s="7" t="s">
        <v>301</v>
      </c>
      <c r="P25" s="135">
        <f>P24/40</f>
        <v>316.47814836181817</v>
      </c>
    </row>
    <row r="26" spans="1:16" x14ac:dyDescent="0.25">
      <c r="M26" s="7"/>
      <c r="P26" s="135"/>
    </row>
    <row r="29" spans="1:16" x14ac:dyDescent="0.25">
      <c r="M29" s="36" t="s">
        <v>300</v>
      </c>
      <c r="N29" s="36" t="s">
        <v>294</v>
      </c>
    </row>
    <row r="30" spans="1:16" x14ac:dyDescent="0.25">
      <c r="M30" s="7" t="s">
        <v>299</v>
      </c>
      <c r="N30" s="140">
        <f>'custos unitários para atualizar'!$B$13</f>
        <v>3271.41</v>
      </c>
    </row>
    <row r="31" spans="1:16" x14ac:dyDescent="0.25">
      <c r="M31" s="7" t="s">
        <v>298</v>
      </c>
      <c r="N31" s="135">
        <f>N30*84%</f>
        <v>2747.9843999999998</v>
      </c>
    </row>
    <row r="32" spans="1:16" x14ac:dyDescent="0.25">
      <c r="M32" s="7" t="s">
        <v>297</v>
      </c>
      <c r="N32" s="135">
        <f>(N30+N31)*30%</f>
        <v>1805.8183199999996</v>
      </c>
    </row>
    <row r="33" spans="13:14" x14ac:dyDescent="0.25">
      <c r="M33" s="7" t="s">
        <v>296</v>
      </c>
      <c r="N33" s="135">
        <f>SUM(N30:N32)*12%</f>
        <v>939.02552639999976</v>
      </c>
    </row>
    <row r="34" spans="13:14" x14ac:dyDescent="0.25">
      <c r="M34" s="7" t="s">
        <v>295</v>
      </c>
      <c r="N34" s="135">
        <f>SUM(N30:N33)*16.62%</f>
        <v>1456.6163965516798</v>
      </c>
    </row>
    <row r="35" spans="13:14" x14ac:dyDescent="0.25">
      <c r="M35" s="7" t="s">
        <v>294</v>
      </c>
      <c r="N35" s="135">
        <f>SUM(N30:N34)</f>
        <v>10220.854642951679</v>
      </c>
    </row>
    <row r="36" spans="13:14" x14ac:dyDescent="0.25">
      <c r="M36" s="7" t="s">
        <v>293</v>
      </c>
      <c r="N36" s="135">
        <f>N35/30</f>
        <v>340.69515476505597</v>
      </c>
    </row>
    <row r="37" spans="13:14" x14ac:dyDescent="0.25">
      <c r="M37" s="7"/>
      <c r="N37" s="135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>
      <selection activeCell="F16" sqref="F16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6" t="s">
        <v>106</v>
      </c>
    </row>
    <row r="2" spans="2:6" x14ac:dyDescent="0.25">
      <c r="B2" s="7"/>
      <c r="C2" s="7" t="s">
        <v>105</v>
      </c>
    </row>
    <row r="3" spans="2:6" x14ac:dyDescent="0.25">
      <c r="B3" s="9" t="s">
        <v>104</v>
      </c>
      <c r="C3" s="139">
        <f>SUM(F9:F12)</f>
        <v>4490400</v>
      </c>
    </row>
    <row r="4" spans="2:6" x14ac:dyDescent="0.25">
      <c r="B4" s="9" t="s">
        <v>103</v>
      </c>
      <c r="C4" s="139">
        <f>F13</f>
        <v>828534</v>
      </c>
    </row>
    <row r="5" spans="2:6" x14ac:dyDescent="0.25">
      <c r="B5" s="9" t="s">
        <v>102</v>
      </c>
      <c r="C5" s="139">
        <f>SUM(C3:C4)</f>
        <v>5318934</v>
      </c>
    </row>
    <row r="6" spans="2:6" ht="15.75" thickBot="1" x14ac:dyDescent="0.3"/>
    <row r="7" spans="2:6" ht="15" customHeight="1" x14ac:dyDescent="0.25">
      <c r="B7" s="956" t="s">
        <v>39</v>
      </c>
      <c r="C7" s="956" t="s">
        <v>38</v>
      </c>
      <c r="D7" s="27" t="s">
        <v>37</v>
      </c>
      <c r="E7" s="27" t="s">
        <v>37</v>
      </c>
      <c r="F7" s="27" t="s">
        <v>37</v>
      </c>
    </row>
    <row r="8" spans="2:6" ht="24" x14ac:dyDescent="0.25">
      <c r="B8" s="957"/>
      <c r="C8" s="957"/>
      <c r="D8" s="26" t="s">
        <v>64</v>
      </c>
      <c r="E8" s="26" t="s">
        <v>35</v>
      </c>
      <c r="F8" s="26" t="s">
        <v>63</v>
      </c>
    </row>
    <row r="9" spans="2:6" x14ac:dyDescent="0.25">
      <c r="B9" s="33" t="s">
        <v>62</v>
      </c>
      <c r="C9" s="32">
        <v>23</v>
      </c>
      <c r="D9" s="31">
        <v>7000</v>
      </c>
      <c r="E9" s="31">
        <f>D9*C9</f>
        <v>161000</v>
      </c>
      <c r="F9" s="31">
        <f>E9*12</f>
        <v>1932000</v>
      </c>
    </row>
    <row r="10" spans="2:6" ht="25.5" x14ac:dyDescent="0.25">
      <c r="B10" s="33" t="s">
        <v>101</v>
      </c>
      <c r="C10" s="32">
        <f>2*9+4+4+8*2</f>
        <v>42</v>
      </c>
      <c r="D10" s="31">
        <v>1600</v>
      </c>
      <c r="E10" s="31">
        <f>D10*C10</f>
        <v>67200</v>
      </c>
      <c r="F10" s="31">
        <f>E10*12</f>
        <v>806400</v>
      </c>
    </row>
    <row r="11" spans="2:6" x14ac:dyDescent="0.25">
      <c r="B11" s="33" t="s">
        <v>100</v>
      </c>
      <c r="C11" s="32">
        <v>16</v>
      </c>
      <c r="D11" s="31">
        <v>3000</v>
      </c>
      <c r="E11" s="31">
        <f>D11*C11</f>
        <v>48000</v>
      </c>
      <c r="F11" s="31">
        <f>E11*12</f>
        <v>576000</v>
      </c>
    </row>
    <row r="12" spans="2:6" ht="25.5" x14ac:dyDescent="0.25">
      <c r="B12" s="33" t="s">
        <v>99</v>
      </c>
      <c r="C12" s="32">
        <v>7</v>
      </c>
      <c r="D12" s="31">
        <v>14000</v>
      </c>
      <c r="E12" s="31">
        <f>D12*C12</f>
        <v>98000</v>
      </c>
      <c r="F12" s="31">
        <f>E12*12</f>
        <v>1176000</v>
      </c>
    </row>
    <row r="13" spans="2:6" x14ac:dyDescent="0.25">
      <c r="B13" s="33" t="s">
        <v>61</v>
      </c>
      <c r="C13" s="7"/>
      <c r="D13" s="7"/>
      <c r="E13" s="7"/>
      <c r="F13" s="31">
        <v>828534</v>
      </c>
    </row>
    <row r="14" spans="2:6" x14ac:dyDescent="0.25">
      <c r="B14" s="371" t="s">
        <v>1215</v>
      </c>
      <c r="C14" s="1"/>
      <c r="D14" s="1"/>
      <c r="E14" s="1"/>
      <c r="F14" s="372">
        <f>SUM(F9:F13)</f>
        <v>5318934</v>
      </c>
    </row>
    <row r="15" spans="2:6" ht="15" customHeight="1" x14ac:dyDescent="0.25">
      <c r="B15" s="478" t="s">
        <v>1216</v>
      </c>
      <c r="C15" s="467">
        <f>'custos unitários para atualizar'!$B$4</f>
        <v>0.12956699999999999</v>
      </c>
    </row>
    <row r="16" spans="2:6" x14ac:dyDescent="0.25">
      <c r="B16" s="478" t="s">
        <v>1217</v>
      </c>
      <c r="F16" s="372">
        <f>F14*(1+C15)</f>
        <v>6008092.3215779997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9"/>
  <sheetViews>
    <sheetView showGridLines="0" workbookViewId="0">
      <selection activeCell="K1" sqref="K1:K1048576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413</v>
      </c>
    </row>
    <row r="4" spans="2:11" ht="15.75" customHeight="1" x14ac:dyDescent="0.25">
      <c r="B4" s="958"/>
      <c r="C4" s="958"/>
      <c r="D4" s="958"/>
      <c r="E4" s="958"/>
      <c r="F4" s="958"/>
      <c r="G4" s="958"/>
      <c r="H4" s="7"/>
      <c r="I4" s="7"/>
    </row>
    <row r="5" spans="2:11" ht="22.5" x14ac:dyDescent="0.25">
      <c r="B5" s="373" t="s">
        <v>412</v>
      </c>
      <c r="C5" s="374" t="s">
        <v>133</v>
      </c>
      <c r="D5" s="374" t="s">
        <v>210</v>
      </c>
      <c r="E5" s="374" t="s">
        <v>411</v>
      </c>
      <c r="F5" s="374" t="s">
        <v>410</v>
      </c>
      <c r="G5" s="374" t="s">
        <v>409</v>
      </c>
      <c r="H5" s="374" t="s">
        <v>11</v>
      </c>
      <c r="I5" s="374" t="s">
        <v>408</v>
      </c>
      <c r="K5" s="147"/>
    </row>
    <row r="6" spans="2:11" ht="22.5" x14ac:dyDescent="0.25">
      <c r="B6" s="375" t="s">
        <v>407</v>
      </c>
      <c r="C6" s="374">
        <v>100</v>
      </c>
      <c r="D6" s="374" t="s">
        <v>355</v>
      </c>
      <c r="E6" s="376">
        <v>2880</v>
      </c>
      <c r="F6" s="376"/>
      <c r="G6" s="377">
        <f t="shared" ref="G6:G34" si="0">C6*E6</f>
        <v>288000</v>
      </c>
      <c r="H6" s="282">
        <f t="shared" ref="H6:H37" si="1">G6/$G$57</f>
        <v>7.9579994473611498E-2</v>
      </c>
      <c r="I6" s="282">
        <f>H6</f>
        <v>7.9579994473611498E-2</v>
      </c>
    </row>
    <row r="7" spans="2:11" ht="22.5" x14ac:dyDescent="0.25">
      <c r="B7" s="375" t="s">
        <v>406</v>
      </c>
      <c r="C7" s="374">
        <v>100</v>
      </c>
      <c r="D7" s="374" t="s">
        <v>355</v>
      </c>
      <c r="E7" s="376">
        <v>2880</v>
      </c>
      <c r="F7" s="376"/>
      <c r="G7" s="377">
        <f t="shared" si="0"/>
        <v>288000</v>
      </c>
      <c r="H7" s="282">
        <f t="shared" si="1"/>
        <v>7.9579994473611498E-2</v>
      </c>
      <c r="I7" s="282">
        <f t="shared" ref="I7:I38" si="2">H7+I6</f>
        <v>0.159159988947223</v>
      </c>
    </row>
    <row r="8" spans="2:11" x14ac:dyDescent="0.25">
      <c r="B8" s="375" t="s">
        <v>405</v>
      </c>
      <c r="C8" s="374">
        <v>300</v>
      </c>
      <c r="D8" s="374" t="s">
        <v>355</v>
      </c>
      <c r="E8" s="376">
        <v>750</v>
      </c>
      <c r="F8" s="376"/>
      <c r="G8" s="377">
        <f t="shared" si="0"/>
        <v>225000</v>
      </c>
      <c r="H8" s="282">
        <f t="shared" si="1"/>
        <v>6.2171870682508977E-2</v>
      </c>
      <c r="I8" s="282">
        <f t="shared" si="2"/>
        <v>0.22133185962973198</v>
      </c>
    </row>
    <row r="9" spans="2:11" x14ac:dyDescent="0.25">
      <c r="B9" s="375" t="s">
        <v>404</v>
      </c>
      <c r="C9" s="374">
        <v>100</v>
      </c>
      <c r="D9" s="374" t="s">
        <v>355</v>
      </c>
      <c r="E9" s="376">
        <v>2100</v>
      </c>
      <c r="F9" s="376"/>
      <c r="G9" s="377">
        <f t="shared" si="0"/>
        <v>210000</v>
      </c>
      <c r="H9" s="282">
        <f t="shared" si="1"/>
        <v>5.8027079303675046E-2</v>
      </c>
      <c r="I9" s="282">
        <f t="shared" si="2"/>
        <v>0.27935893893340702</v>
      </c>
    </row>
    <row r="10" spans="2:11" ht="22.5" x14ac:dyDescent="0.25">
      <c r="B10" s="375" t="s">
        <v>403</v>
      </c>
      <c r="C10" s="374">
        <v>200</v>
      </c>
      <c r="D10" s="374" t="s">
        <v>355</v>
      </c>
      <c r="E10" s="376">
        <v>980</v>
      </c>
      <c r="F10" s="376"/>
      <c r="G10" s="377">
        <f t="shared" si="0"/>
        <v>196000</v>
      </c>
      <c r="H10" s="282">
        <f t="shared" si="1"/>
        <v>5.4158607350096713E-2</v>
      </c>
      <c r="I10" s="282">
        <f t="shared" si="2"/>
        <v>0.33351754628350372</v>
      </c>
    </row>
    <row r="11" spans="2:11" x14ac:dyDescent="0.25">
      <c r="B11" s="375" t="s">
        <v>402</v>
      </c>
      <c r="C11" s="374">
        <v>200</v>
      </c>
      <c r="D11" s="374" t="s">
        <v>355</v>
      </c>
      <c r="E11" s="376">
        <v>980</v>
      </c>
      <c r="F11" s="376"/>
      <c r="G11" s="377">
        <f t="shared" si="0"/>
        <v>196000</v>
      </c>
      <c r="H11" s="282">
        <f t="shared" si="1"/>
        <v>5.4158607350096713E-2</v>
      </c>
      <c r="I11" s="282">
        <f t="shared" si="2"/>
        <v>0.38767615363360042</v>
      </c>
    </row>
    <row r="12" spans="2:11" ht="22.5" x14ac:dyDescent="0.25">
      <c r="B12" s="375" t="s">
        <v>401</v>
      </c>
      <c r="C12" s="374">
        <v>150</v>
      </c>
      <c r="D12" s="374" t="s">
        <v>355</v>
      </c>
      <c r="E12" s="376">
        <v>1280</v>
      </c>
      <c r="F12" s="376"/>
      <c r="G12" s="377">
        <f t="shared" si="0"/>
        <v>192000</v>
      </c>
      <c r="H12" s="282">
        <f t="shared" si="1"/>
        <v>5.3053329649074332E-2</v>
      </c>
      <c r="I12" s="282">
        <f t="shared" si="2"/>
        <v>0.44072948328267475</v>
      </c>
    </row>
    <row r="13" spans="2:11" ht="22.5" x14ac:dyDescent="0.25">
      <c r="B13" s="375" t="s">
        <v>400</v>
      </c>
      <c r="C13" s="374">
        <v>150</v>
      </c>
      <c r="D13" s="374" t="s">
        <v>355</v>
      </c>
      <c r="E13" s="376">
        <v>1200</v>
      </c>
      <c r="F13" s="376"/>
      <c r="G13" s="377">
        <f t="shared" si="0"/>
        <v>180000</v>
      </c>
      <c r="H13" s="282">
        <f t="shared" si="1"/>
        <v>4.9737496546007183E-2</v>
      </c>
      <c r="I13" s="282">
        <f t="shared" si="2"/>
        <v>0.49046697982868193</v>
      </c>
    </row>
    <row r="14" spans="2:11" x14ac:dyDescent="0.25">
      <c r="B14" s="375" t="s">
        <v>399</v>
      </c>
      <c r="C14" s="374">
        <v>300</v>
      </c>
      <c r="D14" s="374" t="s">
        <v>355</v>
      </c>
      <c r="E14" s="376">
        <v>500</v>
      </c>
      <c r="F14" s="376"/>
      <c r="G14" s="377">
        <f t="shared" si="0"/>
        <v>150000</v>
      </c>
      <c r="H14" s="282">
        <f t="shared" si="1"/>
        <v>4.144791378833932E-2</v>
      </c>
      <c r="I14" s="282">
        <f t="shared" si="2"/>
        <v>0.53191489361702127</v>
      </c>
    </row>
    <row r="15" spans="2:11" x14ac:dyDescent="0.25">
      <c r="B15" s="375" t="s">
        <v>398</v>
      </c>
      <c r="C15" s="374">
        <v>100</v>
      </c>
      <c r="D15" s="374" t="s">
        <v>355</v>
      </c>
      <c r="E15" s="376">
        <v>1440</v>
      </c>
      <c r="F15" s="376"/>
      <c r="G15" s="377">
        <f t="shared" si="0"/>
        <v>144000</v>
      </c>
      <c r="H15" s="282">
        <f t="shared" si="1"/>
        <v>3.9789997236805749E-2</v>
      </c>
      <c r="I15" s="282">
        <f t="shared" si="2"/>
        <v>0.57170489085382703</v>
      </c>
    </row>
    <row r="16" spans="2:11" ht="22.5" x14ac:dyDescent="0.25">
      <c r="B16" s="375" t="s">
        <v>397</v>
      </c>
      <c r="C16" s="374">
        <v>200</v>
      </c>
      <c r="D16" s="374" t="s">
        <v>355</v>
      </c>
      <c r="E16" s="376">
        <v>720</v>
      </c>
      <c r="F16" s="376"/>
      <c r="G16" s="377">
        <f t="shared" si="0"/>
        <v>144000</v>
      </c>
      <c r="H16" s="282">
        <f t="shared" si="1"/>
        <v>3.9789997236805749E-2</v>
      </c>
      <c r="I16" s="282">
        <f t="shared" si="2"/>
        <v>0.61149488809063279</v>
      </c>
    </row>
    <row r="17" spans="2:9" x14ac:dyDescent="0.25">
      <c r="B17" s="375" t="s">
        <v>396</v>
      </c>
      <c r="C17" s="374">
        <v>200</v>
      </c>
      <c r="D17" s="374" t="s">
        <v>355</v>
      </c>
      <c r="E17" s="376">
        <v>720</v>
      </c>
      <c r="F17" s="376"/>
      <c r="G17" s="377">
        <f t="shared" si="0"/>
        <v>144000</v>
      </c>
      <c r="H17" s="282">
        <f t="shared" si="1"/>
        <v>3.9789997236805749E-2</v>
      </c>
      <c r="I17" s="282">
        <f t="shared" si="2"/>
        <v>0.65128488532743856</v>
      </c>
    </row>
    <row r="18" spans="2:9" x14ac:dyDescent="0.25">
      <c r="B18" s="375" t="s">
        <v>395</v>
      </c>
      <c r="C18" s="374">
        <v>300</v>
      </c>
      <c r="D18" s="374" t="s">
        <v>355</v>
      </c>
      <c r="E18" s="376">
        <v>350</v>
      </c>
      <c r="F18" s="376"/>
      <c r="G18" s="377">
        <f t="shared" si="0"/>
        <v>105000</v>
      </c>
      <c r="H18" s="282">
        <f t="shared" si="1"/>
        <v>2.9013539651837523E-2</v>
      </c>
      <c r="I18" s="282">
        <f t="shared" si="2"/>
        <v>0.68029842497927606</v>
      </c>
    </row>
    <row r="19" spans="2:9" ht="22.5" x14ac:dyDescent="0.25">
      <c r="B19" s="375" t="s">
        <v>394</v>
      </c>
      <c r="C19" s="374">
        <v>50</v>
      </c>
      <c r="D19" s="374" t="s">
        <v>355</v>
      </c>
      <c r="E19" s="376">
        <v>1800</v>
      </c>
      <c r="F19" s="376"/>
      <c r="G19" s="377">
        <f t="shared" si="0"/>
        <v>90000</v>
      </c>
      <c r="H19" s="282">
        <f t="shared" si="1"/>
        <v>2.4868748273003592E-2</v>
      </c>
      <c r="I19" s="282">
        <f t="shared" si="2"/>
        <v>0.70516717325227962</v>
      </c>
    </row>
    <row r="20" spans="2:9" x14ac:dyDescent="0.25">
      <c r="B20" s="375" t="s">
        <v>393</v>
      </c>
      <c r="C20" s="374">
        <v>300</v>
      </c>
      <c r="D20" s="374" t="s">
        <v>355</v>
      </c>
      <c r="E20" s="376">
        <v>300</v>
      </c>
      <c r="F20" s="376"/>
      <c r="G20" s="377">
        <f t="shared" si="0"/>
        <v>90000</v>
      </c>
      <c r="H20" s="282">
        <f t="shared" si="1"/>
        <v>2.4868748273003592E-2</v>
      </c>
      <c r="I20" s="282">
        <f t="shared" si="2"/>
        <v>0.73003592152528318</v>
      </c>
    </row>
    <row r="21" spans="2:9" x14ac:dyDescent="0.25">
      <c r="B21" s="375" t="s">
        <v>392</v>
      </c>
      <c r="C21" s="374">
        <v>100</v>
      </c>
      <c r="D21" s="374" t="s">
        <v>355</v>
      </c>
      <c r="E21" s="376">
        <v>880</v>
      </c>
      <c r="F21" s="376"/>
      <c r="G21" s="377">
        <f t="shared" si="0"/>
        <v>88000</v>
      </c>
      <c r="H21" s="282">
        <f t="shared" si="1"/>
        <v>2.4316109422492401E-2</v>
      </c>
      <c r="I21" s="282">
        <f t="shared" si="2"/>
        <v>0.75435203094777559</v>
      </c>
    </row>
    <row r="22" spans="2:9" x14ac:dyDescent="0.25">
      <c r="B22" s="375" t="s">
        <v>391</v>
      </c>
      <c r="C22" s="374">
        <v>300</v>
      </c>
      <c r="D22" s="374" t="s">
        <v>355</v>
      </c>
      <c r="E22" s="376">
        <v>260</v>
      </c>
      <c r="F22" s="376"/>
      <c r="G22" s="377">
        <f t="shared" si="0"/>
        <v>78000</v>
      </c>
      <c r="H22" s="282">
        <f t="shared" si="1"/>
        <v>2.1552915169936446E-2</v>
      </c>
      <c r="I22" s="282">
        <f t="shared" si="2"/>
        <v>0.77590494611771199</v>
      </c>
    </row>
    <row r="23" spans="2:9" x14ac:dyDescent="0.25">
      <c r="B23" s="375" t="s">
        <v>390</v>
      </c>
      <c r="C23" s="374">
        <v>300</v>
      </c>
      <c r="D23" s="374" t="s">
        <v>355</v>
      </c>
      <c r="E23" s="376">
        <v>250</v>
      </c>
      <c r="F23" s="376"/>
      <c r="G23" s="377">
        <f t="shared" si="0"/>
        <v>75000</v>
      </c>
      <c r="H23" s="282">
        <f t="shared" si="1"/>
        <v>2.072395689416966E-2</v>
      </c>
      <c r="I23" s="282">
        <f t="shared" si="2"/>
        <v>0.79662890301188161</v>
      </c>
    </row>
    <row r="24" spans="2:9" x14ac:dyDescent="0.25">
      <c r="B24" s="375" t="s">
        <v>389</v>
      </c>
      <c r="C24" s="374">
        <v>300</v>
      </c>
      <c r="D24" s="374" t="s">
        <v>355</v>
      </c>
      <c r="E24" s="376">
        <v>200</v>
      </c>
      <c r="F24" s="376"/>
      <c r="G24" s="377">
        <f t="shared" si="0"/>
        <v>60000</v>
      </c>
      <c r="H24" s="282">
        <f t="shared" si="1"/>
        <v>1.6579165515335729E-2</v>
      </c>
      <c r="I24" s="282">
        <f t="shared" si="2"/>
        <v>0.81320806852721739</v>
      </c>
    </row>
    <row r="25" spans="2:9" x14ac:dyDescent="0.25">
      <c r="B25" s="375" t="s">
        <v>388</v>
      </c>
      <c r="C25" s="374">
        <v>300</v>
      </c>
      <c r="D25" s="374" t="s">
        <v>355</v>
      </c>
      <c r="E25" s="376">
        <v>200</v>
      </c>
      <c r="F25" s="376"/>
      <c r="G25" s="377">
        <f t="shared" si="0"/>
        <v>60000</v>
      </c>
      <c r="H25" s="282">
        <f t="shared" si="1"/>
        <v>1.6579165515335729E-2</v>
      </c>
      <c r="I25" s="282">
        <f t="shared" si="2"/>
        <v>0.82978723404255317</v>
      </c>
    </row>
    <row r="26" spans="2:9" x14ac:dyDescent="0.25">
      <c r="B26" s="375" t="s">
        <v>387</v>
      </c>
      <c r="C26" s="374">
        <v>300</v>
      </c>
      <c r="D26" s="374" t="s">
        <v>355</v>
      </c>
      <c r="E26" s="376">
        <v>200</v>
      </c>
      <c r="F26" s="376"/>
      <c r="G26" s="377">
        <f t="shared" si="0"/>
        <v>60000</v>
      </c>
      <c r="H26" s="282">
        <f t="shared" si="1"/>
        <v>1.6579165515335729E-2</v>
      </c>
      <c r="I26" s="282">
        <f t="shared" si="2"/>
        <v>0.84636639955788895</v>
      </c>
    </row>
    <row r="27" spans="2:9" ht="22.5" x14ac:dyDescent="0.25">
      <c r="B27" s="375" t="s">
        <v>386</v>
      </c>
      <c r="C27" s="374">
        <v>50</v>
      </c>
      <c r="D27" s="374" t="s">
        <v>355</v>
      </c>
      <c r="E27" s="376">
        <v>1080</v>
      </c>
      <c r="F27" s="376"/>
      <c r="G27" s="377">
        <f t="shared" si="0"/>
        <v>54000</v>
      </c>
      <c r="H27" s="282">
        <f t="shared" si="1"/>
        <v>1.4921248963802156E-2</v>
      </c>
      <c r="I27" s="282">
        <f t="shared" si="2"/>
        <v>0.86128764852169115</v>
      </c>
    </row>
    <row r="28" spans="2:9" x14ac:dyDescent="0.25">
      <c r="B28" s="375" t="s">
        <v>385</v>
      </c>
      <c r="C28" s="374">
        <v>50</v>
      </c>
      <c r="D28" s="374" t="s">
        <v>355</v>
      </c>
      <c r="E28" s="376">
        <v>960</v>
      </c>
      <c r="F28" s="376"/>
      <c r="G28" s="377">
        <f t="shared" si="0"/>
        <v>48000</v>
      </c>
      <c r="H28" s="282">
        <f t="shared" si="1"/>
        <v>1.3263332412268583E-2</v>
      </c>
      <c r="I28" s="282">
        <f t="shared" si="2"/>
        <v>0.87455098093395978</v>
      </c>
    </row>
    <row r="29" spans="2:9" x14ac:dyDescent="0.25">
      <c r="B29" s="375" t="s">
        <v>384</v>
      </c>
      <c r="C29" s="374">
        <v>300</v>
      </c>
      <c r="D29" s="374" t="s">
        <v>355</v>
      </c>
      <c r="E29" s="376">
        <v>150</v>
      </c>
      <c r="F29" s="376"/>
      <c r="G29" s="377">
        <f t="shared" si="0"/>
        <v>45000</v>
      </c>
      <c r="H29" s="282">
        <f t="shared" si="1"/>
        <v>1.2434374136501796E-2</v>
      </c>
      <c r="I29" s="282">
        <f t="shared" si="2"/>
        <v>0.88698535507046161</v>
      </c>
    </row>
    <row r="30" spans="2:9" x14ac:dyDescent="0.25">
      <c r="B30" s="375" t="s">
        <v>383</v>
      </c>
      <c r="C30" s="374">
        <v>300</v>
      </c>
      <c r="D30" s="374" t="s">
        <v>355</v>
      </c>
      <c r="E30" s="376">
        <v>150</v>
      </c>
      <c r="F30" s="376"/>
      <c r="G30" s="377">
        <f t="shared" si="0"/>
        <v>45000</v>
      </c>
      <c r="H30" s="282">
        <f t="shared" si="1"/>
        <v>1.2434374136501796E-2</v>
      </c>
      <c r="I30" s="282">
        <f t="shared" si="2"/>
        <v>0.89941972920696345</v>
      </c>
    </row>
    <row r="31" spans="2:9" x14ac:dyDescent="0.25">
      <c r="B31" s="375" t="s">
        <v>382</v>
      </c>
      <c r="C31" s="374">
        <v>300</v>
      </c>
      <c r="D31" s="374" t="s">
        <v>355</v>
      </c>
      <c r="E31" s="376">
        <v>150</v>
      </c>
      <c r="F31" s="376"/>
      <c r="G31" s="377">
        <f t="shared" si="0"/>
        <v>45000</v>
      </c>
      <c r="H31" s="282">
        <f t="shared" si="1"/>
        <v>1.2434374136501796E-2</v>
      </c>
      <c r="I31" s="282">
        <f t="shared" si="2"/>
        <v>0.91185410334346528</v>
      </c>
    </row>
    <row r="32" spans="2:9" x14ac:dyDescent="0.25">
      <c r="B32" s="375" t="s">
        <v>381</v>
      </c>
      <c r="C32" s="374">
        <v>300</v>
      </c>
      <c r="D32" s="374" t="s">
        <v>355</v>
      </c>
      <c r="E32" s="376">
        <v>100</v>
      </c>
      <c r="F32" s="376"/>
      <c r="G32" s="377">
        <f t="shared" si="0"/>
        <v>30000</v>
      </c>
      <c r="H32" s="282">
        <f t="shared" si="1"/>
        <v>8.2895827576678644E-3</v>
      </c>
      <c r="I32" s="282">
        <f t="shared" si="2"/>
        <v>0.92014368610113317</v>
      </c>
    </row>
    <row r="33" spans="2:9" ht="22.5" x14ac:dyDescent="0.25">
      <c r="B33" s="375" t="s">
        <v>380</v>
      </c>
      <c r="C33" s="374">
        <v>100</v>
      </c>
      <c r="D33" s="374" t="s">
        <v>355</v>
      </c>
      <c r="E33" s="376">
        <v>250</v>
      </c>
      <c r="F33" s="376"/>
      <c r="G33" s="377">
        <f t="shared" si="0"/>
        <v>25000</v>
      </c>
      <c r="H33" s="282">
        <f t="shared" si="1"/>
        <v>6.9079856313898867E-3</v>
      </c>
      <c r="I33" s="282">
        <f t="shared" si="2"/>
        <v>0.92705167173252301</v>
      </c>
    </row>
    <row r="34" spans="2:9" x14ac:dyDescent="0.25">
      <c r="B34" s="375" t="s">
        <v>379</v>
      </c>
      <c r="C34" s="374">
        <v>100</v>
      </c>
      <c r="D34" s="374" t="s">
        <v>355</v>
      </c>
      <c r="E34" s="376">
        <v>250</v>
      </c>
      <c r="F34" s="376"/>
      <c r="G34" s="377">
        <f t="shared" si="0"/>
        <v>25000</v>
      </c>
      <c r="H34" s="282">
        <f t="shared" si="1"/>
        <v>6.9079856313898867E-3</v>
      </c>
      <c r="I34" s="282">
        <f t="shared" si="2"/>
        <v>0.93395965736391284</v>
      </c>
    </row>
    <row r="35" spans="2:9" ht="22.5" x14ac:dyDescent="0.25">
      <c r="B35" s="375" t="s">
        <v>378</v>
      </c>
      <c r="C35" s="374">
        <v>5000</v>
      </c>
      <c r="D35" s="374" t="s">
        <v>53</v>
      </c>
      <c r="E35" s="376"/>
      <c r="F35" s="376">
        <v>4.5</v>
      </c>
      <c r="G35" s="377">
        <f>C35*F35</f>
        <v>22500</v>
      </c>
      <c r="H35" s="282">
        <f t="shared" si="1"/>
        <v>6.2171870682508979E-3</v>
      </c>
      <c r="I35" s="282">
        <f t="shared" si="2"/>
        <v>0.94017684443216376</v>
      </c>
    </row>
    <row r="36" spans="2:9" ht="22.5" x14ac:dyDescent="0.25">
      <c r="B36" s="375" t="s">
        <v>377</v>
      </c>
      <c r="C36" s="374">
        <v>5000</v>
      </c>
      <c r="D36" s="374" t="s">
        <v>376</v>
      </c>
      <c r="E36" s="376"/>
      <c r="F36" s="376">
        <v>4.5</v>
      </c>
      <c r="G36" s="377">
        <f>C36*F36</f>
        <v>22500</v>
      </c>
      <c r="H36" s="282">
        <f t="shared" si="1"/>
        <v>6.2171870682508979E-3</v>
      </c>
      <c r="I36" s="282">
        <f t="shared" si="2"/>
        <v>0.94639403150041468</v>
      </c>
    </row>
    <row r="37" spans="2:9" x14ac:dyDescent="0.25">
      <c r="B37" s="375" t="s">
        <v>375</v>
      </c>
      <c r="C37" s="374">
        <v>100</v>
      </c>
      <c r="D37" s="374" t="s">
        <v>355</v>
      </c>
      <c r="E37" s="376">
        <v>220</v>
      </c>
      <c r="F37" s="376"/>
      <c r="G37" s="377">
        <f t="shared" ref="G37:G56" si="3">C37*E37</f>
        <v>22000</v>
      </c>
      <c r="H37" s="282">
        <f t="shared" si="1"/>
        <v>6.0790273556231003E-3</v>
      </c>
      <c r="I37" s="282">
        <f t="shared" si="2"/>
        <v>0.95247305885603772</v>
      </c>
    </row>
    <row r="38" spans="2:9" ht="22.5" x14ac:dyDescent="0.25">
      <c r="B38" s="375" t="s">
        <v>374</v>
      </c>
      <c r="C38" s="374">
        <v>100</v>
      </c>
      <c r="D38" s="374" t="s">
        <v>355</v>
      </c>
      <c r="E38" s="376">
        <v>185</v>
      </c>
      <c r="F38" s="376"/>
      <c r="G38" s="377">
        <f t="shared" si="3"/>
        <v>18500</v>
      </c>
      <c r="H38" s="282">
        <f t="shared" ref="H38:H56" si="4">G38/$G$57</f>
        <v>5.1119093672285162E-3</v>
      </c>
      <c r="I38" s="282">
        <f t="shared" si="2"/>
        <v>0.95758496822326622</v>
      </c>
    </row>
    <row r="39" spans="2:9" x14ac:dyDescent="0.25">
      <c r="B39" s="375" t="s">
        <v>373</v>
      </c>
      <c r="C39" s="374">
        <v>100</v>
      </c>
      <c r="D39" s="374" t="s">
        <v>355</v>
      </c>
      <c r="E39" s="376">
        <v>150</v>
      </c>
      <c r="F39" s="376"/>
      <c r="G39" s="377">
        <f t="shared" si="3"/>
        <v>15000</v>
      </c>
      <c r="H39" s="282">
        <f t="shared" si="4"/>
        <v>4.1447913788339322E-3</v>
      </c>
      <c r="I39" s="282">
        <f t="shared" ref="I39:I56" si="5">H39+I38</f>
        <v>0.96172975960210016</v>
      </c>
    </row>
    <row r="40" spans="2:9" x14ac:dyDescent="0.25">
      <c r="B40" s="375" t="s">
        <v>372</v>
      </c>
      <c r="C40" s="374">
        <v>100</v>
      </c>
      <c r="D40" s="374" t="s">
        <v>355</v>
      </c>
      <c r="E40" s="376">
        <v>145</v>
      </c>
      <c r="F40" s="376"/>
      <c r="G40" s="377">
        <f t="shared" si="3"/>
        <v>14500</v>
      </c>
      <c r="H40" s="282">
        <f t="shared" si="4"/>
        <v>4.0066316662061346E-3</v>
      </c>
      <c r="I40" s="282">
        <f t="shared" si="5"/>
        <v>0.96573639126830635</v>
      </c>
    </row>
    <row r="41" spans="2:9" ht="22.5" x14ac:dyDescent="0.25">
      <c r="B41" s="375" t="s">
        <v>371</v>
      </c>
      <c r="C41" s="374">
        <v>50</v>
      </c>
      <c r="D41" s="374" t="s">
        <v>355</v>
      </c>
      <c r="E41" s="376">
        <v>250</v>
      </c>
      <c r="F41" s="376"/>
      <c r="G41" s="377">
        <f t="shared" si="3"/>
        <v>12500</v>
      </c>
      <c r="H41" s="282">
        <f t="shared" si="4"/>
        <v>3.4539928156949434E-3</v>
      </c>
      <c r="I41" s="282">
        <f t="shared" si="5"/>
        <v>0.96919038408400127</v>
      </c>
    </row>
    <row r="42" spans="2:9" x14ac:dyDescent="0.25">
      <c r="B42" s="375" t="s">
        <v>370</v>
      </c>
      <c r="C42" s="374">
        <v>100</v>
      </c>
      <c r="D42" s="374" t="s">
        <v>355</v>
      </c>
      <c r="E42" s="376">
        <v>120</v>
      </c>
      <c r="F42" s="376"/>
      <c r="G42" s="377">
        <f t="shared" si="3"/>
        <v>12000</v>
      </c>
      <c r="H42" s="282">
        <f t="shared" si="4"/>
        <v>3.3158331030671458E-3</v>
      </c>
      <c r="I42" s="282">
        <f t="shared" si="5"/>
        <v>0.97250621718706842</v>
      </c>
    </row>
    <row r="43" spans="2:9" x14ac:dyDescent="0.25">
      <c r="B43" s="375" t="s">
        <v>369</v>
      </c>
      <c r="C43" s="374">
        <v>100</v>
      </c>
      <c r="D43" s="374" t="s">
        <v>355</v>
      </c>
      <c r="E43" s="376">
        <v>120</v>
      </c>
      <c r="F43" s="376"/>
      <c r="G43" s="377">
        <f t="shared" si="3"/>
        <v>12000</v>
      </c>
      <c r="H43" s="282">
        <f t="shared" si="4"/>
        <v>3.3158331030671458E-3</v>
      </c>
      <c r="I43" s="282">
        <f t="shared" si="5"/>
        <v>0.97582205029013558</v>
      </c>
    </row>
    <row r="44" spans="2:9" x14ac:dyDescent="0.25">
      <c r="B44" s="375" t="s">
        <v>368</v>
      </c>
      <c r="C44" s="374">
        <v>100</v>
      </c>
      <c r="D44" s="374" t="s">
        <v>355</v>
      </c>
      <c r="E44" s="376">
        <v>105</v>
      </c>
      <c r="F44" s="376"/>
      <c r="G44" s="377">
        <f t="shared" si="3"/>
        <v>10500</v>
      </c>
      <c r="H44" s="282">
        <f t="shared" si="4"/>
        <v>2.9013539651837525E-3</v>
      </c>
      <c r="I44" s="282">
        <f t="shared" si="5"/>
        <v>0.97872340425531934</v>
      </c>
    </row>
    <row r="45" spans="2:9" x14ac:dyDescent="0.25">
      <c r="B45" s="375" t="s">
        <v>367</v>
      </c>
      <c r="C45" s="374">
        <v>100</v>
      </c>
      <c r="D45" s="374" t="s">
        <v>355</v>
      </c>
      <c r="E45" s="376">
        <v>100</v>
      </c>
      <c r="F45" s="376"/>
      <c r="G45" s="377">
        <f t="shared" si="3"/>
        <v>10000</v>
      </c>
      <c r="H45" s="282">
        <f t="shared" si="4"/>
        <v>2.7631942525559545E-3</v>
      </c>
      <c r="I45" s="282">
        <f t="shared" si="5"/>
        <v>0.98148659850787534</v>
      </c>
    </row>
    <row r="46" spans="2:9" x14ac:dyDescent="0.25">
      <c r="B46" s="375" t="s">
        <v>366</v>
      </c>
      <c r="C46" s="374">
        <v>50</v>
      </c>
      <c r="D46" s="374" t="s">
        <v>355</v>
      </c>
      <c r="E46" s="376">
        <v>180</v>
      </c>
      <c r="F46" s="376"/>
      <c r="G46" s="377">
        <f t="shared" si="3"/>
        <v>9000</v>
      </c>
      <c r="H46" s="282">
        <f t="shared" si="4"/>
        <v>2.4868748273003593E-3</v>
      </c>
      <c r="I46" s="282">
        <f t="shared" si="5"/>
        <v>0.98397347333517571</v>
      </c>
    </row>
    <row r="47" spans="2:9" x14ac:dyDescent="0.25">
      <c r="B47" s="375" t="s">
        <v>365</v>
      </c>
      <c r="C47" s="374">
        <v>50</v>
      </c>
      <c r="D47" s="374" t="s">
        <v>355</v>
      </c>
      <c r="E47" s="376">
        <v>180</v>
      </c>
      <c r="F47" s="376"/>
      <c r="G47" s="377">
        <f t="shared" si="3"/>
        <v>9000</v>
      </c>
      <c r="H47" s="282">
        <f t="shared" si="4"/>
        <v>2.4868748273003593E-3</v>
      </c>
      <c r="I47" s="282">
        <f t="shared" si="5"/>
        <v>0.98646034816247608</v>
      </c>
    </row>
    <row r="48" spans="2:9" x14ac:dyDescent="0.25">
      <c r="B48" s="375" t="s">
        <v>364</v>
      </c>
      <c r="C48" s="374">
        <v>50</v>
      </c>
      <c r="D48" s="374" t="s">
        <v>355</v>
      </c>
      <c r="E48" s="376">
        <v>180</v>
      </c>
      <c r="F48" s="376"/>
      <c r="G48" s="377">
        <f t="shared" si="3"/>
        <v>9000</v>
      </c>
      <c r="H48" s="282">
        <f t="shared" si="4"/>
        <v>2.4868748273003593E-3</v>
      </c>
      <c r="I48" s="282">
        <f t="shared" si="5"/>
        <v>0.98894722298977644</v>
      </c>
    </row>
    <row r="49" spans="2:9" ht="22.5" x14ac:dyDescent="0.25">
      <c r="B49" s="375" t="s">
        <v>363</v>
      </c>
      <c r="C49" s="374">
        <v>50</v>
      </c>
      <c r="D49" s="374" t="s">
        <v>355</v>
      </c>
      <c r="E49" s="376">
        <v>160</v>
      </c>
      <c r="F49" s="376"/>
      <c r="G49" s="377">
        <f t="shared" si="3"/>
        <v>8000</v>
      </c>
      <c r="H49" s="282">
        <f t="shared" si="4"/>
        <v>2.2105554020447637E-3</v>
      </c>
      <c r="I49" s="282">
        <f t="shared" si="5"/>
        <v>0.99115777839182118</v>
      </c>
    </row>
    <row r="50" spans="2:9" x14ac:dyDescent="0.25">
      <c r="B50" s="375" t="s">
        <v>362</v>
      </c>
      <c r="C50" s="374">
        <v>50</v>
      </c>
      <c r="D50" s="374" t="s">
        <v>355</v>
      </c>
      <c r="E50" s="376">
        <v>130</v>
      </c>
      <c r="F50" s="376"/>
      <c r="G50" s="377">
        <f t="shared" si="3"/>
        <v>6500</v>
      </c>
      <c r="H50" s="282">
        <f t="shared" si="4"/>
        <v>1.7960762641613705E-3</v>
      </c>
      <c r="I50" s="282">
        <f t="shared" si="5"/>
        <v>0.99295385465598252</v>
      </c>
    </row>
    <row r="51" spans="2:9" ht="22.5" x14ac:dyDescent="0.25">
      <c r="B51" s="375" t="s">
        <v>361</v>
      </c>
      <c r="C51" s="374">
        <v>50</v>
      </c>
      <c r="D51" s="374" t="s">
        <v>355</v>
      </c>
      <c r="E51" s="376">
        <v>130</v>
      </c>
      <c r="F51" s="376"/>
      <c r="G51" s="377">
        <f t="shared" si="3"/>
        <v>6500</v>
      </c>
      <c r="H51" s="282">
        <f t="shared" si="4"/>
        <v>1.7960762641613705E-3</v>
      </c>
      <c r="I51" s="282">
        <f t="shared" si="5"/>
        <v>0.99474993092014385</v>
      </c>
    </row>
    <row r="52" spans="2:9" ht="22.5" x14ac:dyDescent="0.25">
      <c r="B52" s="375" t="s">
        <v>360</v>
      </c>
      <c r="C52" s="374">
        <v>50</v>
      </c>
      <c r="D52" s="374" t="s">
        <v>355</v>
      </c>
      <c r="E52" s="376">
        <v>120</v>
      </c>
      <c r="F52" s="376"/>
      <c r="G52" s="377">
        <f t="shared" si="3"/>
        <v>6000</v>
      </c>
      <c r="H52" s="282">
        <f t="shared" si="4"/>
        <v>1.6579165515335729E-3</v>
      </c>
      <c r="I52" s="282">
        <f t="shared" si="5"/>
        <v>0.99640784747167743</v>
      </c>
    </row>
    <row r="53" spans="2:9" ht="22.5" x14ac:dyDescent="0.25">
      <c r="B53" s="375" t="s">
        <v>359</v>
      </c>
      <c r="C53" s="374">
        <v>50</v>
      </c>
      <c r="D53" s="374" t="s">
        <v>355</v>
      </c>
      <c r="E53" s="376">
        <v>100</v>
      </c>
      <c r="F53" s="376"/>
      <c r="G53" s="377">
        <f t="shared" si="3"/>
        <v>5000</v>
      </c>
      <c r="H53" s="282">
        <f t="shared" si="4"/>
        <v>1.3815971262779773E-3</v>
      </c>
      <c r="I53" s="282">
        <f t="shared" si="5"/>
        <v>0.99778944459795538</v>
      </c>
    </row>
    <row r="54" spans="2:9" x14ac:dyDescent="0.25">
      <c r="B54" s="375" t="s">
        <v>358</v>
      </c>
      <c r="C54" s="374">
        <v>50</v>
      </c>
      <c r="D54" s="374" t="s">
        <v>355</v>
      </c>
      <c r="E54" s="376">
        <v>80</v>
      </c>
      <c r="F54" s="376"/>
      <c r="G54" s="377">
        <f t="shared" si="3"/>
        <v>4000</v>
      </c>
      <c r="H54" s="282">
        <f t="shared" si="4"/>
        <v>1.1052777010223818E-3</v>
      </c>
      <c r="I54" s="282">
        <f t="shared" si="5"/>
        <v>0.9988947222989778</v>
      </c>
    </row>
    <row r="55" spans="2:9" x14ac:dyDescent="0.25">
      <c r="B55" s="375" t="s">
        <v>357</v>
      </c>
      <c r="C55" s="374">
        <v>100</v>
      </c>
      <c r="D55" s="374" t="s">
        <v>355</v>
      </c>
      <c r="E55" s="376">
        <v>20</v>
      </c>
      <c r="F55" s="376"/>
      <c r="G55" s="377">
        <f t="shared" si="3"/>
        <v>2000</v>
      </c>
      <c r="H55" s="282">
        <f t="shared" si="4"/>
        <v>5.5263885051119092E-4</v>
      </c>
      <c r="I55" s="282">
        <f t="shared" si="5"/>
        <v>0.99944736114948896</v>
      </c>
    </row>
    <row r="56" spans="2:9" x14ac:dyDescent="0.25">
      <c r="B56" s="375" t="s">
        <v>356</v>
      </c>
      <c r="C56" s="374">
        <v>100</v>
      </c>
      <c r="D56" s="374" t="s">
        <v>355</v>
      </c>
      <c r="E56" s="376">
        <v>20</v>
      </c>
      <c r="F56" s="376"/>
      <c r="G56" s="377">
        <f t="shared" si="3"/>
        <v>2000</v>
      </c>
      <c r="H56" s="282">
        <f t="shared" si="4"/>
        <v>5.5263885051119092E-4</v>
      </c>
      <c r="I56" s="282">
        <f t="shared" si="5"/>
        <v>1.0000000000000002</v>
      </c>
    </row>
    <row r="57" spans="2:9" ht="15.75" customHeight="1" x14ac:dyDescent="0.25">
      <c r="B57" s="959" t="s">
        <v>140</v>
      </c>
      <c r="C57" s="960"/>
      <c r="D57" s="960"/>
      <c r="E57" s="960"/>
      <c r="F57" s="961"/>
      <c r="G57" s="139">
        <f>SUM(G6:G56)</f>
        <v>3619000</v>
      </c>
      <c r="H57" s="282">
        <f>SUM(H6:H56)</f>
        <v>1.0000000000000002</v>
      </c>
      <c r="I57" s="7"/>
    </row>
    <row r="58" spans="2:9" x14ac:dyDescent="0.25">
      <c r="B58" s="478" t="s">
        <v>1216</v>
      </c>
      <c r="C58" s="467">
        <f>'custos unitários para atualizar'!$B$4</f>
        <v>0.12956699999999999</v>
      </c>
    </row>
    <row r="59" spans="2:9" x14ac:dyDescent="0.25">
      <c r="B59" s="478" t="s">
        <v>1217</v>
      </c>
      <c r="G59" s="372">
        <f>G57*(1+C58)</f>
        <v>4087902.9729999998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D8" sqref="D8"/>
    </sheetView>
  </sheetViews>
  <sheetFormatPr defaultColWidth="12.5703125" defaultRowHeight="15" x14ac:dyDescent="0.25"/>
  <cols>
    <col min="1" max="1" width="12.5703125" style="21"/>
    <col min="2" max="2" width="6.140625" style="21" customWidth="1"/>
    <col min="3" max="3" width="40.28515625" style="51" customWidth="1"/>
    <col min="4" max="4" width="15.140625" style="21" customWidth="1"/>
    <col min="5" max="5" width="13.85546875" style="21" customWidth="1"/>
    <col min="6" max="6" width="11.85546875" style="21" customWidth="1"/>
    <col min="7" max="7" width="13.5703125" style="21" customWidth="1"/>
    <col min="8" max="8" width="17.140625" style="21" customWidth="1"/>
    <col min="9" max="9" width="12.7109375" style="21" customWidth="1"/>
    <col min="10" max="16384" width="12.5703125" style="21"/>
  </cols>
  <sheetData>
    <row r="1" spans="2:7" x14ac:dyDescent="0.25">
      <c r="B1" s="70" t="s">
        <v>218</v>
      </c>
      <c r="D1" s="99" t="s">
        <v>1</v>
      </c>
    </row>
    <row r="2" spans="2:7" x14ac:dyDescent="0.25">
      <c r="C2" s="98" t="s">
        <v>217</v>
      </c>
      <c r="D2" s="97">
        <f>G58+G109</f>
        <v>688890</v>
      </c>
    </row>
    <row r="3" spans="2:7" x14ac:dyDescent="0.25">
      <c r="C3" s="98" t="s">
        <v>216</v>
      </c>
      <c r="D3" s="97">
        <f>F116+F142</f>
        <v>4360</v>
      </c>
      <c r="G3" s="96"/>
    </row>
    <row r="4" spans="2:7" x14ac:dyDescent="0.25">
      <c r="C4" s="95" t="s">
        <v>215</v>
      </c>
      <c r="D4" s="94">
        <f>D2+D3</f>
        <v>693250</v>
      </c>
    </row>
    <row r="5" spans="2:7" x14ac:dyDescent="0.25">
      <c r="C5" s="95" t="s">
        <v>1216</v>
      </c>
      <c r="D5" s="467">
        <f>'custos unitários para atualizar'!$B$4</f>
        <v>0.12956699999999999</v>
      </c>
      <c r="E5"/>
      <c r="F5"/>
      <c r="G5"/>
    </row>
    <row r="6" spans="2:7" x14ac:dyDescent="0.25">
      <c r="C6" s="95" t="s">
        <v>1217</v>
      </c>
      <c r="D6" s="94">
        <f>D4*(1+D5)</f>
        <v>783072.32274999993</v>
      </c>
      <c r="E6"/>
      <c r="F6"/>
    </row>
    <row r="7" spans="2:7" x14ac:dyDescent="0.25">
      <c r="C7" s="93" t="s">
        <v>214</v>
      </c>
      <c r="D7" s="92">
        <f>F133+F160</f>
        <v>156908</v>
      </c>
      <c r="E7" s="85"/>
    </row>
    <row r="8" spans="2:7" x14ac:dyDescent="0.25">
      <c r="C8" s="91" t="s">
        <v>213</v>
      </c>
      <c r="D8" s="90">
        <f>I133+I160</f>
        <v>24551.599999999999</v>
      </c>
    </row>
    <row r="9" spans="2:7" ht="15.75" thickBot="1" x14ac:dyDescent="0.3"/>
    <row r="10" spans="2:7" ht="13.5" customHeight="1" thickBot="1" x14ac:dyDescent="0.3">
      <c r="B10" s="987" t="s">
        <v>212</v>
      </c>
      <c r="C10" s="988"/>
      <c r="D10" s="988"/>
      <c r="E10" s="988"/>
      <c r="F10" s="988"/>
      <c r="G10" s="989"/>
    </row>
    <row r="11" spans="2:7" x14ac:dyDescent="0.25">
      <c r="B11" s="983" t="s">
        <v>135</v>
      </c>
      <c r="C11" s="990" t="s">
        <v>134</v>
      </c>
      <c r="D11" s="985" t="s">
        <v>210</v>
      </c>
      <c r="E11" s="985" t="s">
        <v>133</v>
      </c>
      <c r="F11" s="82" t="s">
        <v>37</v>
      </c>
      <c r="G11" s="82" t="s">
        <v>37</v>
      </c>
    </row>
    <row r="12" spans="2:7" ht="15.75" thickBot="1" x14ac:dyDescent="0.3">
      <c r="B12" s="984"/>
      <c r="C12" s="991"/>
      <c r="D12" s="986"/>
      <c r="E12" s="986"/>
      <c r="F12" s="73" t="s">
        <v>36</v>
      </c>
      <c r="G12" s="73" t="s">
        <v>132</v>
      </c>
    </row>
    <row r="13" spans="2:7" ht="15.75" thickBot="1" x14ac:dyDescent="0.3">
      <c r="B13" s="75">
        <v>1</v>
      </c>
      <c r="C13" s="74" t="s">
        <v>209</v>
      </c>
      <c r="D13" s="73" t="s">
        <v>208</v>
      </c>
      <c r="E13" s="73">
        <v>300</v>
      </c>
      <c r="F13" s="86">
        <v>2.8</v>
      </c>
      <c r="G13" s="61">
        <f t="shared" ref="G13:G57" si="0">E13*F13</f>
        <v>840</v>
      </c>
    </row>
    <row r="14" spans="2:7" ht="15.75" thickBot="1" x14ac:dyDescent="0.3">
      <c r="B14" s="75">
        <v>2</v>
      </c>
      <c r="C14" s="74" t="s">
        <v>207</v>
      </c>
      <c r="D14" s="73" t="s">
        <v>206</v>
      </c>
      <c r="E14" s="73">
        <v>90</v>
      </c>
      <c r="F14" s="86">
        <v>10</v>
      </c>
      <c r="G14" s="61">
        <f t="shared" si="0"/>
        <v>900</v>
      </c>
    </row>
    <row r="15" spans="2:7" ht="15.75" thickBot="1" x14ac:dyDescent="0.3">
      <c r="B15" s="75">
        <v>3</v>
      </c>
      <c r="C15" s="74" t="s">
        <v>205</v>
      </c>
      <c r="D15" s="73" t="s">
        <v>204</v>
      </c>
      <c r="E15" s="73">
        <v>200</v>
      </c>
      <c r="F15" s="86">
        <v>4.25</v>
      </c>
      <c r="G15" s="61">
        <f t="shared" si="0"/>
        <v>850</v>
      </c>
    </row>
    <row r="16" spans="2:7" ht="15.75" thickBot="1" x14ac:dyDescent="0.3">
      <c r="B16" s="75">
        <v>4</v>
      </c>
      <c r="C16" s="74" t="s">
        <v>203</v>
      </c>
      <c r="D16" s="73" t="s">
        <v>149</v>
      </c>
      <c r="E16" s="73">
        <v>200</v>
      </c>
      <c r="F16" s="86">
        <v>1.8</v>
      </c>
      <c r="G16" s="61">
        <f t="shared" si="0"/>
        <v>360</v>
      </c>
    </row>
    <row r="17" spans="2:8" ht="15.75" thickBot="1" x14ac:dyDescent="0.3">
      <c r="B17" s="75">
        <v>5</v>
      </c>
      <c r="C17" s="74" t="s">
        <v>202</v>
      </c>
      <c r="D17" s="73" t="s">
        <v>149</v>
      </c>
      <c r="E17" s="73">
        <v>110</v>
      </c>
      <c r="F17" s="86">
        <v>98</v>
      </c>
      <c r="G17" s="61">
        <f t="shared" si="0"/>
        <v>10780</v>
      </c>
    </row>
    <row r="18" spans="2:8" ht="15.75" thickBot="1" x14ac:dyDescent="0.3">
      <c r="B18" s="75">
        <v>6</v>
      </c>
      <c r="C18" s="74" t="s">
        <v>201</v>
      </c>
      <c r="D18" s="73" t="s">
        <v>149</v>
      </c>
      <c r="E18" s="73">
        <v>110</v>
      </c>
      <c r="F18" s="86">
        <v>120</v>
      </c>
      <c r="G18" s="61">
        <f t="shared" si="0"/>
        <v>13200</v>
      </c>
    </row>
    <row r="19" spans="2:8" ht="15.75" thickBot="1" x14ac:dyDescent="0.3">
      <c r="B19" s="75">
        <v>7</v>
      </c>
      <c r="C19" s="74" t="s">
        <v>200</v>
      </c>
      <c r="D19" s="73" t="s">
        <v>149</v>
      </c>
      <c r="E19" s="73">
        <v>200</v>
      </c>
      <c r="F19" s="86">
        <v>1.9</v>
      </c>
      <c r="G19" s="61">
        <f t="shared" si="0"/>
        <v>380</v>
      </c>
    </row>
    <row r="20" spans="2:8" ht="15.75" thickBot="1" x14ac:dyDescent="0.3">
      <c r="B20" s="75">
        <v>8</v>
      </c>
      <c r="C20" s="74" t="s">
        <v>199</v>
      </c>
      <c r="D20" s="73" t="s">
        <v>172</v>
      </c>
      <c r="E20" s="73">
        <v>50</v>
      </c>
      <c r="F20" s="86">
        <v>4</v>
      </c>
      <c r="G20" s="61">
        <f t="shared" si="0"/>
        <v>200</v>
      </c>
    </row>
    <row r="21" spans="2:8" ht="15.75" thickBot="1" x14ac:dyDescent="0.3">
      <c r="B21" s="75">
        <v>9</v>
      </c>
      <c r="C21" s="74" t="s">
        <v>198</v>
      </c>
      <c r="D21" s="73" t="s">
        <v>172</v>
      </c>
      <c r="E21" s="73">
        <v>50</v>
      </c>
      <c r="F21" s="86">
        <v>9</v>
      </c>
      <c r="G21" s="61">
        <f t="shared" si="0"/>
        <v>450</v>
      </c>
    </row>
    <row r="22" spans="2:8" ht="15.75" thickBot="1" x14ac:dyDescent="0.3">
      <c r="B22" s="75">
        <v>10</v>
      </c>
      <c r="C22" s="74" t="s">
        <v>197</v>
      </c>
      <c r="D22" s="73" t="s">
        <v>149</v>
      </c>
      <c r="E22" s="73">
        <v>50</v>
      </c>
      <c r="F22" s="86">
        <v>1.9</v>
      </c>
      <c r="G22" s="61">
        <f t="shared" si="0"/>
        <v>95</v>
      </c>
    </row>
    <row r="23" spans="2:8" ht="15.75" thickBot="1" x14ac:dyDescent="0.3">
      <c r="B23" s="75">
        <v>11</v>
      </c>
      <c r="C23" s="74" t="s">
        <v>196</v>
      </c>
      <c r="D23" s="73" t="s">
        <v>194</v>
      </c>
      <c r="E23" s="73">
        <v>540</v>
      </c>
      <c r="F23" s="86">
        <v>12</v>
      </c>
      <c r="G23" s="61">
        <f t="shared" si="0"/>
        <v>6480</v>
      </c>
    </row>
    <row r="24" spans="2:8" ht="15.75" thickBot="1" x14ac:dyDescent="0.3">
      <c r="B24" s="75">
        <v>12</v>
      </c>
      <c r="C24" s="74" t="s">
        <v>195</v>
      </c>
      <c r="D24" s="73" t="s">
        <v>194</v>
      </c>
      <c r="E24" s="73">
        <v>540</v>
      </c>
      <c r="F24" s="86">
        <v>8</v>
      </c>
      <c r="G24" s="61">
        <f t="shared" si="0"/>
        <v>4320</v>
      </c>
    </row>
    <row r="25" spans="2:8" ht="15.75" thickBot="1" x14ac:dyDescent="0.3">
      <c r="B25" s="75">
        <v>13</v>
      </c>
      <c r="C25" s="74" t="s">
        <v>193</v>
      </c>
      <c r="D25" s="73" t="s">
        <v>192</v>
      </c>
      <c r="E25" s="73">
        <v>50</v>
      </c>
      <c r="F25" s="86">
        <v>7</v>
      </c>
      <c r="G25" s="61">
        <f t="shared" si="0"/>
        <v>350</v>
      </c>
    </row>
    <row r="26" spans="2:8" ht="15.75" thickBot="1" x14ac:dyDescent="0.3">
      <c r="B26" s="75">
        <v>14</v>
      </c>
      <c r="C26" s="74" t="s">
        <v>191</v>
      </c>
      <c r="D26" s="73" t="s">
        <v>189</v>
      </c>
      <c r="E26" s="73">
        <v>400</v>
      </c>
      <c r="F26" s="86">
        <v>5</v>
      </c>
      <c r="G26" s="61">
        <f t="shared" si="0"/>
        <v>2000</v>
      </c>
    </row>
    <row r="27" spans="2:8" ht="15.75" thickBot="1" x14ac:dyDescent="0.3">
      <c r="B27" s="75">
        <v>15</v>
      </c>
      <c r="C27" s="74" t="s">
        <v>190</v>
      </c>
      <c r="D27" s="73" t="s">
        <v>189</v>
      </c>
      <c r="E27" s="73">
        <v>200</v>
      </c>
      <c r="F27" s="86">
        <v>7</v>
      </c>
      <c r="G27" s="61">
        <f t="shared" si="0"/>
        <v>1400</v>
      </c>
    </row>
    <row r="28" spans="2:8" ht="15.75" thickBot="1" x14ac:dyDescent="0.3">
      <c r="B28" s="75">
        <v>16</v>
      </c>
      <c r="C28" s="74" t="s">
        <v>188</v>
      </c>
      <c r="D28" s="73" t="s">
        <v>149</v>
      </c>
      <c r="E28" s="73">
        <v>400</v>
      </c>
      <c r="F28" s="86">
        <v>2.5</v>
      </c>
      <c r="G28" s="61">
        <f t="shared" si="0"/>
        <v>1000</v>
      </c>
    </row>
    <row r="29" spans="2:8" ht="15.75" thickBot="1" x14ac:dyDescent="0.3">
      <c r="B29" s="75">
        <v>17</v>
      </c>
      <c r="C29" s="74" t="s">
        <v>187</v>
      </c>
      <c r="D29" s="73" t="s">
        <v>184</v>
      </c>
      <c r="E29" s="73">
        <v>500</v>
      </c>
      <c r="F29" s="86">
        <v>60</v>
      </c>
      <c r="G29" s="61">
        <f t="shared" si="0"/>
        <v>30000</v>
      </c>
    </row>
    <row r="30" spans="2:8" ht="15.75" thickBot="1" x14ac:dyDescent="0.3">
      <c r="B30" s="75">
        <v>18</v>
      </c>
      <c r="C30" s="74" t="s">
        <v>186</v>
      </c>
      <c r="D30" s="73" t="s">
        <v>184</v>
      </c>
      <c r="E30" s="73">
        <v>500</v>
      </c>
      <c r="F30" s="86">
        <v>40</v>
      </c>
      <c r="G30" s="61">
        <f t="shared" si="0"/>
        <v>20000</v>
      </c>
    </row>
    <row r="31" spans="2:8" ht="15.75" thickBot="1" x14ac:dyDescent="0.3">
      <c r="B31" s="75">
        <v>19</v>
      </c>
      <c r="C31" s="74" t="s">
        <v>185</v>
      </c>
      <c r="D31" s="73" t="s">
        <v>184</v>
      </c>
      <c r="E31" s="73">
        <v>500</v>
      </c>
      <c r="F31" s="86">
        <v>30</v>
      </c>
      <c r="G31" s="61">
        <f t="shared" si="0"/>
        <v>15000</v>
      </c>
    </row>
    <row r="32" spans="2:8" ht="15.75" thickBot="1" x14ac:dyDescent="0.3">
      <c r="B32" s="75">
        <v>20</v>
      </c>
      <c r="C32" s="74" t="s">
        <v>183</v>
      </c>
      <c r="D32" s="73" t="s">
        <v>149</v>
      </c>
      <c r="E32" s="73">
        <v>40</v>
      </c>
      <c r="F32" s="86">
        <v>40</v>
      </c>
      <c r="G32" s="61">
        <f t="shared" si="0"/>
        <v>1600</v>
      </c>
      <c r="H32" s="85"/>
    </row>
    <row r="33" spans="2:8" ht="15.75" thickBot="1" x14ac:dyDescent="0.3">
      <c r="B33" s="75">
        <v>21</v>
      </c>
      <c r="C33" s="74" t="s">
        <v>182</v>
      </c>
      <c r="D33" s="73" t="s">
        <v>149</v>
      </c>
      <c r="E33" s="73">
        <v>40</v>
      </c>
      <c r="F33" s="86">
        <v>25</v>
      </c>
      <c r="G33" s="61">
        <f t="shared" si="0"/>
        <v>1000</v>
      </c>
      <c r="H33" s="85"/>
    </row>
    <row r="34" spans="2:8" ht="15.75" thickBot="1" x14ac:dyDescent="0.3">
      <c r="B34" s="75">
        <v>22</v>
      </c>
      <c r="C34" s="74" t="s">
        <v>181</v>
      </c>
      <c r="D34" s="73" t="s">
        <v>149</v>
      </c>
      <c r="E34" s="73">
        <v>180</v>
      </c>
      <c r="F34" s="86">
        <v>2.5</v>
      </c>
      <c r="G34" s="61">
        <f t="shared" si="0"/>
        <v>450</v>
      </c>
    </row>
    <row r="35" spans="2:8" ht="15.75" thickBot="1" x14ac:dyDescent="0.3">
      <c r="B35" s="75">
        <v>23</v>
      </c>
      <c r="C35" s="74" t="s">
        <v>180</v>
      </c>
      <c r="D35" s="73" t="s">
        <v>149</v>
      </c>
      <c r="E35" s="73">
        <v>50</v>
      </c>
      <c r="F35" s="86">
        <v>1.8</v>
      </c>
      <c r="G35" s="61">
        <f t="shared" si="0"/>
        <v>90</v>
      </c>
      <c r="H35" s="85"/>
    </row>
    <row r="36" spans="2:8" ht="15.75" thickBot="1" x14ac:dyDescent="0.3">
      <c r="B36" s="75">
        <v>24</v>
      </c>
      <c r="C36" s="74" t="s">
        <v>179</v>
      </c>
      <c r="D36" s="73" t="s">
        <v>149</v>
      </c>
      <c r="E36" s="73">
        <v>50</v>
      </c>
      <c r="F36" s="86">
        <v>6.5</v>
      </c>
      <c r="G36" s="61">
        <f t="shared" si="0"/>
        <v>325</v>
      </c>
    </row>
    <row r="37" spans="2:8" ht="15.75" thickBot="1" x14ac:dyDescent="0.3">
      <c r="B37" s="75">
        <v>25</v>
      </c>
      <c r="C37" s="74" t="s">
        <v>178</v>
      </c>
      <c r="D37" s="73" t="s">
        <v>166</v>
      </c>
      <c r="E37" s="73">
        <v>50</v>
      </c>
      <c r="F37" s="86">
        <v>22</v>
      </c>
      <c r="G37" s="61">
        <f t="shared" si="0"/>
        <v>1100</v>
      </c>
    </row>
    <row r="38" spans="2:8" ht="15.75" thickBot="1" x14ac:dyDescent="0.3">
      <c r="B38" s="75">
        <v>26</v>
      </c>
      <c r="C38" s="74" t="s">
        <v>177</v>
      </c>
      <c r="D38" s="73" t="s">
        <v>149</v>
      </c>
      <c r="E38" s="73">
        <v>50</v>
      </c>
      <c r="F38" s="86">
        <v>12</v>
      </c>
      <c r="G38" s="61">
        <f t="shared" si="0"/>
        <v>600</v>
      </c>
    </row>
    <row r="39" spans="2:8" ht="15.75" thickBot="1" x14ac:dyDescent="0.3">
      <c r="B39" s="75">
        <v>27</v>
      </c>
      <c r="C39" s="74" t="s">
        <v>176</v>
      </c>
      <c r="D39" s="73" t="s">
        <v>149</v>
      </c>
      <c r="E39" s="73">
        <v>50</v>
      </c>
      <c r="F39" s="86">
        <v>3</v>
      </c>
      <c r="G39" s="61">
        <f t="shared" si="0"/>
        <v>150</v>
      </c>
    </row>
    <row r="40" spans="2:8" ht="15.75" thickBot="1" x14ac:dyDescent="0.3">
      <c r="B40" s="75">
        <v>28</v>
      </c>
      <c r="C40" s="74" t="s">
        <v>175</v>
      </c>
      <c r="D40" s="73" t="s">
        <v>174</v>
      </c>
      <c r="E40" s="73">
        <v>50</v>
      </c>
      <c r="F40" s="86">
        <v>8</v>
      </c>
      <c r="G40" s="61">
        <f t="shared" si="0"/>
        <v>400</v>
      </c>
    </row>
    <row r="41" spans="2:8" ht="15.75" thickBot="1" x14ac:dyDescent="0.3">
      <c r="B41" s="75">
        <v>29</v>
      </c>
      <c r="C41" s="74" t="s">
        <v>173</v>
      </c>
      <c r="D41" s="73" t="s">
        <v>172</v>
      </c>
      <c r="E41" s="73">
        <v>100</v>
      </c>
      <c r="F41" s="86">
        <v>60</v>
      </c>
      <c r="G41" s="61">
        <f t="shared" si="0"/>
        <v>6000</v>
      </c>
    </row>
    <row r="42" spans="2:8" ht="15.75" thickBot="1" x14ac:dyDescent="0.3">
      <c r="B42" s="75">
        <v>30</v>
      </c>
      <c r="C42" s="74" t="s">
        <v>171</v>
      </c>
      <c r="D42" s="73" t="s">
        <v>149</v>
      </c>
      <c r="E42" s="73">
        <v>10</v>
      </c>
      <c r="F42" s="86">
        <v>13</v>
      </c>
      <c r="G42" s="61">
        <f t="shared" si="0"/>
        <v>130</v>
      </c>
    </row>
    <row r="43" spans="2:8" ht="15.75" thickBot="1" x14ac:dyDescent="0.3">
      <c r="B43" s="75">
        <v>31</v>
      </c>
      <c r="C43" s="74" t="s">
        <v>170</v>
      </c>
      <c r="D43" s="73" t="s">
        <v>169</v>
      </c>
      <c r="E43" s="73">
        <v>100</v>
      </c>
      <c r="F43" s="86">
        <v>14</v>
      </c>
      <c r="G43" s="61">
        <f t="shared" si="0"/>
        <v>1400</v>
      </c>
    </row>
    <row r="44" spans="2:8" ht="15.75" thickBot="1" x14ac:dyDescent="0.3">
      <c r="B44" s="75">
        <v>32</v>
      </c>
      <c r="C44" s="74" t="s">
        <v>168</v>
      </c>
      <c r="D44" s="73" t="s">
        <v>149</v>
      </c>
      <c r="E44" s="73">
        <v>100</v>
      </c>
      <c r="F44" s="86">
        <v>4</v>
      </c>
      <c r="G44" s="61">
        <f t="shared" si="0"/>
        <v>400</v>
      </c>
    </row>
    <row r="45" spans="2:8" ht="15.75" thickBot="1" x14ac:dyDescent="0.3">
      <c r="B45" s="75">
        <v>33</v>
      </c>
      <c r="C45" s="74" t="s">
        <v>167</v>
      </c>
      <c r="D45" s="73" t="s">
        <v>166</v>
      </c>
      <c r="E45" s="73">
        <v>100</v>
      </c>
      <c r="F45" s="86">
        <v>5</v>
      </c>
      <c r="G45" s="61">
        <f t="shared" si="0"/>
        <v>500</v>
      </c>
    </row>
    <row r="46" spans="2:8" ht="15.75" thickBot="1" x14ac:dyDescent="0.3">
      <c r="B46" s="75">
        <v>34</v>
      </c>
      <c r="C46" s="74" t="s">
        <v>165</v>
      </c>
      <c r="D46" s="73" t="s">
        <v>149</v>
      </c>
      <c r="E46" s="73">
        <v>50</v>
      </c>
      <c r="F46" s="86">
        <v>6</v>
      </c>
      <c r="G46" s="61">
        <f t="shared" si="0"/>
        <v>300</v>
      </c>
    </row>
    <row r="47" spans="2:8" ht="15.75" thickBot="1" x14ac:dyDescent="0.3">
      <c r="B47" s="75">
        <v>35</v>
      </c>
      <c r="C47" s="74" t="s">
        <v>164</v>
      </c>
      <c r="D47" s="73" t="s">
        <v>149</v>
      </c>
      <c r="E47" s="73">
        <v>200</v>
      </c>
      <c r="F47" s="86">
        <v>8</v>
      </c>
      <c r="G47" s="61">
        <f t="shared" si="0"/>
        <v>1600</v>
      </c>
    </row>
    <row r="48" spans="2:8" ht="15.75" thickBot="1" x14ac:dyDescent="0.3">
      <c r="B48" s="75">
        <v>36</v>
      </c>
      <c r="C48" s="74" t="s">
        <v>163</v>
      </c>
      <c r="D48" s="73" t="s">
        <v>149</v>
      </c>
      <c r="E48" s="73">
        <v>200</v>
      </c>
      <c r="F48" s="86">
        <v>3</v>
      </c>
      <c r="G48" s="61">
        <f t="shared" si="0"/>
        <v>600</v>
      </c>
    </row>
    <row r="49" spans="2:10" ht="15.75" thickBot="1" x14ac:dyDescent="0.3">
      <c r="B49" s="75">
        <v>37</v>
      </c>
      <c r="C49" s="74" t="s">
        <v>162</v>
      </c>
      <c r="D49" s="73" t="s">
        <v>149</v>
      </c>
      <c r="E49" s="73">
        <v>100</v>
      </c>
      <c r="F49" s="86">
        <v>2.8</v>
      </c>
      <c r="G49" s="61">
        <f t="shared" si="0"/>
        <v>280</v>
      </c>
      <c r="H49" s="85"/>
    </row>
    <row r="50" spans="2:10" ht="15.75" thickBot="1" x14ac:dyDescent="0.3">
      <c r="B50" s="75">
        <v>38</v>
      </c>
      <c r="C50" s="74" t="s">
        <v>161</v>
      </c>
      <c r="D50" s="73" t="s">
        <v>160</v>
      </c>
      <c r="E50" s="73">
        <v>100</v>
      </c>
      <c r="F50" s="86">
        <v>16</v>
      </c>
      <c r="G50" s="61">
        <f t="shared" si="0"/>
        <v>1600</v>
      </c>
    </row>
    <row r="51" spans="2:10" ht="15.75" thickBot="1" x14ac:dyDescent="0.3">
      <c r="B51" s="75">
        <v>39</v>
      </c>
      <c r="C51" s="74" t="s">
        <v>159</v>
      </c>
      <c r="D51" s="73" t="s">
        <v>158</v>
      </c>
      <c r="E51" s="73">
        <v>500</v>
      </c>
      <c r="F51" s="86">
        <v>1.4</v>
      </c>
      <c r="G51" s="61">
        <f t="shared" si="0"/>
        <v>700</v>
      </c>
    </row>
    <row r="52" spans="2:10" ht="15.75" thickBot="1" x14ac:dyDescent="0.3">
      <c r="B52" s="75">
        <v>40</v>
      </c>
      <c r="C52" s="74" t="s">
        <v>157</v>
      </c>
      <c r="D52" s="73" t="s">
        <v>156</v>
      </c>
      <c r="E52" s="73">
        <v>400</v>
      </c>
      <c r="F52" s="86">
        <v>6.7</v>
      </c>
      <c r="G52" s="61">
        <f t="shared" si="0"/>
        <v>2680</v>
      </c>
    </row>
    <row r="53" spans="2:10" ht="15.75" thickBot="1" x14ac:dyDescent="0.3">
      <c r="B53" s="75">
        <v>41</v>
      </c>
      <c r="C53" s="74" t="s">
        <v>155</v>
      </c>
      <c r="D53" s="73" t="s">
        <v>149</v>
      </c>
      <c r="E53" s="73">
        <v>40</v>
      </c>
      <c r="F53" s="86">
        <v>20</v>
      </c>
      <c r="G53" s="61">
        <f t="shared" si="0"/>
        <v>800</v>
      </c>
      <c r="H53" s="85"/>
    </row>
    <row r="54" spans="2:10" ht="15.75" thickBot="1" x14ac:dyDescent="0.3">
      <c r="B54" s="75">
        <v>42</v>
      </c>
      <c r="C54" s="74" t="s">
        <v>154</v>
      </c>
      <c r="D54" s="73" t="s">
        <v>149</v>
      </c>
      <c r="E54" s="73">
        <v>80</v>
      </c>
      <c r="F54" s="86">
        <v>14</v>
      </c>
      <c r="G54" s="61">
        <f t="shared" si="0"/>
        <v>1120</v>
      </c>
    </row>
    <row r="55" spans="2:10" ht="15.75" thickBot="1" x14ac:dyDescent="0.3">
      <c r="B55" s="75">
        <v>43</v>
      </c>
      <c r="C55" s="74" t="s">
        <v>153</v>
      </c>
      <c r="D55" s="73" t="s">
        <v>149</v>
      </c>
      <c r="E55" s="73">
        <v>100</v>
      </c>
      <c r="F55" s="86">
        <v>2</v>
      </c>
      <c r="G55" s="61">
        <f t="shared" si="0"/>
        <v>200</v>
      </c>
    </row>
    <row r="56" spans="2:10" ht="15.75" thickBot="1" x14ac:dyDescent="0.3">
      <c r="B56" s="75">
        <v>44</v>
      </c>
      <c r="C56" s="74" t="s">
        <v>152</v>
      </c>
      <c r="D56" s="73" t="s">
        <v>151</v>
      </c>
      <c r="E56" s="73">
        <v>400</v>
      </c>
      <c r="F56" s="86">
        <v>350</v>
      </c>
      <c r="G56" s="61">
        <f t="shared" si="0"/>
        <v>140000</v>
      </c>
      <c r="H56" s="85"/>
      <c r="I56" s="89"/>
      <c r="J56" s="88"/>
    </row>
    <row r="57" spans="2:10" ht="15.75" thickBot="1" x14ac:dyDescent="0.3">
      <c r="B57" s="75">
        <v>45</v>
      </c>
      <c r="C57" s="74" t="s">
        <v>150</v>
      </c>
      <c r="D57" s="73" t="s">
        <v>149</v>
      </c>
      <c r="E57" s="73">
        <v>265</v>
      </c>
      <c r="F57" s="86">
        <v>271</v>
      </c>
      <c r="G57" s="61">
        <f t="shared" si="0"/>
        <v>71815</v>
      </c>
      <c r="H57" s="85"/>
    </row>
    <row r="58" spans="2:10" ht="15.75" thickBot="1" x14ac:dyDescent="0.3">
      <c r="B58" s="977" t="s">
        <v>148</v>
      </c>
      <c r="C58" s="978"/>
      <c r="D58" s="978"/>
      <c r="E58" s="979"/>
      <c r="F58" s="84">
        <v>1342.85</v>
      </c>
      <c r="G58" s="83">
        <f>SUM(G13:G57)</f>
        <v>344445</v>
      </c>
    </row>
    <row r="60" spans="2:10" ht="15.75" thickBot="1" x14ac:dyDescent="0.3"/>
    <row r="61" spans="2:10" ht="15.75" thickBot="1" x14ac:dyDescent="0.3">
      <c r="B61" s="987" t="s">
        <v>211</v>
      </c>
      <c r="C61" s="988"/>
      <c r="D61" s="988"/>
      <c r="E61" s="988"/>
      <c r="F61" s="989"/>
      <c r="G61" s="87"/>
    </row>
    <row r="62" spans="2:10" x14ac:dyDescent="0.25">
      <c r="B62" s="983" t="s">
        <v>135</v>
      </c>
      <c r="C62" s="990" t="s">
        <v>134</v>
      </c>
      <c r="D62" s="985" t="s">
        <v>210</v>
      </c>
      <c r="E62" s="985" t="s">
        <v>133</v>
      </c>
      <c r="F62" s="82" t="s">
        <v>37</v>
      </c>
      <c r="G62" s="82" t="s">
        <v>37</v>
      </c>
    </row>
    <row r="63" spans="2:10" ht="15.75" thickBot="1" x14ac:dyDescent="0.3">
      <c r="B63" s="984"/>
      <c r="C63" s="991"/>
      <c r="D63" s="986"/>
      <c r="E63" s="986"/>
      <c r="F63" s="73" t="s">
        <v>36</v>
      </c>
      <c r="G63" s="73" t="s">
        <v>132</v>
      </c>
    </row>
    <row r="64" spans="2:10" ht="15.75" thickBot="1" x14ac:dyDescent="0.3">
      <c r="B64" s="75">
        <v>1</v>
      </c>
      <c r="C64" s="74" t="s">
        <v>209</v>
      </c>
      <c r="D64" s="73" t="s">
        <v>208</v>
      </c>
      <c r="E64" s="73">
        <v>300</v>
      </c>
      <c r="F64" s="86">
        <v>2.8</v>
      </c>
      <c r="G64" s="61">
        <f t="shared" ref="G64:G108" si="1">E64*F64</f>
        <v>840</v>
      </c>
    </row>
    <row r="65" spans="2:7" ht="15.75" thickBot="1" x14ac:dyDescent="0.3">
      <c r="B65" s="75">
        <v>2</v>
      </c>
      <c r="C65" s="74" t="s">
        <v>207</v>
      </c>
      <c r="D65" s="73" t="s">
        <v>206</v>
      </c>
      <c r="E65" s="73">
        <v>90</v>
      </c>
      <c r="F65" s="86">
        <v>10</v>
      </c>
      <c r="G65" s="61">
        <f t="shared" si="1"/>
        <v>900</v>
      </c>
    </row>
    <row r="66" spans="2:7" ht="15.75" thickBot="1" x14ac:dyDescent="0.3">
      <c r="B66" s="75">
        <v>3</v>
      </c>
      <c r="C66" s="74" t="s">
        <v>205</v>
      </c>
      <c r="D66" s="73" t="s">
        <v>204</v>
      </c>
      <c r="E66" s="73">
        <v>200</v>
      </c>
      <c r="F66" s="86">
        <v>4.25</v>
      </c>
      <c r="G66" s="61">
        <f t="shared" si="1"/>
        <v>850</v>
      </c>
    </row>
    <row r="67" spans="2:7" ht="15.75" thickBot="1" x14ac:dyDescent="0.3">
      <c r="B67" s="75">
        <v>4</v>
      </c>
      <c r="C67" s="74" t="s">
        <v>203</v>
      </c>
      <c r="D67" s="73" t="s">
        <v>149</v>
      </c>
      <c r="E67" s="73">
        <v>200</v>
      </c>
      <c r="F67" s="86">
        <v>1.8</v>
      </c>
      <c r="G67" s="61">
        <f t="shared" si="1"/>
        <v>360</v>
      </c>
    </row>
    <row r="68" spans="2:7" ht="15.75" thickBot="1" x14ac:dyDescent="0.3">
      <c r="B68" s="75">
        <v>5</v>
      </c>
      <c r="C68" s="74" t="s">
        <v>202</v>
      </c>
      <c r="D68" s="73" t="s">
        <v>149</v>
      </c>
      <c r="E68" s="73">
        <v>110</v>
      </c>
      <c r="F68" s="86">
        <v>98</v>
      </c>
      <c r="G68" s="61">
        <f t="shared" si="1"/>
        <v>10780</v>
      </c>
    </row>
    <row r="69" spans="2:7" ht="15.75" thickBot="1" x14ac:dyDescent="0.3">
      <c r="B69" s="75">
        <v>6</v>
      </c>
      <c r="C69" s="74" t="s">
        <v>201</v>
      </c>
      <c r="D69" s="73" t="s">
        <v>149</v>
      </c>
      <c r="E69" s="73">
        <v>110</v>
      </c>
      <c r="F69" s="86">
        <v>120</v>
      </c>
      <c r="G69" s="61">
        <f t="shared" si="1"/>
        <v>13200</v>
      </c>
    </row>
    <row r="70" spans="2:7" ht="15.75" thickBot="1" x14ac:dyDescent="0.3">
      <c r="B70" s="75">
        <v>7</v>
      </c>
      <c r="C70" s="74" t="s">
        <v>200</v>
      </c>
      <c r="D70" s="73" t="s">
        <v>149</v>
      </c>
      <c r="E70" s="73">
        <v>200</v>
      </c>
      <c r="F70" s="86">
        <v>1.9</v>
      </c>
      <c r="G70" s="61">
        <f t="shared" si="1"/>
        <v>380</v>
      </c>
    </row>
    <row r="71" spans="2:7" ht="15.75" thickBot="1" x14ac:dyDescent="0.3">
      <c r="B71" s="75">
        <v>8</v>
      </c>
      <c r="C71" s="74" t="s">
        <v>199</v>
      </c>
      <c r="D71" s="73" t="s">
        <v>172</v>
      </c>
      <c r="E71" s="73">
        <v>50</v>
      </c>
      <c r="F71" s="86">
        <v>4</v>
      </c>
      <c r="G71" s="61">
        <f t="shared" si="1"/>
        <v>200</v>
      </c>
    </row>
    <row r="72" spans="2:7" ht="15.75" thickBot="1" x14ac:dyDescent="0.3">
      <c r="B72" s="75">
        <v>9</v>
      </c>
      <c r="C72" s="74" t="s">
        <v>198</v>
      </c>
      <c r="D72" s="73" t="s">
        <v>172</v>
      </c>
      <c r="E72" s="73">
        <v>50</v>
      </c>
      <c r="F72" s="86">
        <v>9</v>
      </c>
      <c r="G72" s="61">
        <f t="shared" si="1"/>
        <v>450</v>
      </c>
    </row>
    <row r="73" spans="2:7" ht="15.75" thickBot="1" x14ac:dyDescent="0.3">
      <c r="B73" s="75">
        <v>10</v>
      </c>
      <c r="C73" s="74" t="s">
        <v>197</v>
      </c>
      <c r="D73" s="73" t="s">
        <v>149</v>
      </c>
      <c r="E73" s="73">
        <v>50</v>
      </c>
      <c r="F73" s="86">
        <v>1.9</v>
      </c>
      <c r="G73" s="61">
        <f t="shared" si="1"/>
        <v>95</v>
      </c>
    </row>
    <row r="74" spans="2:7" ht="15.75" thickBot="1" x14ac:dyDescent="0.3">
      <c r="B74" s="75">
        <v>11</v>
      </c>
      <c r="C74" s="74" t="s">
        <v>196</v>
      </c>
      <c r="D74" s="73" t="s">
        <v>194</v>
      </c>
      <c r="E74" s="73">
        <v>540</v>
      </c>
      <c r="F74" s="86">
        <v>12</v>
      </c>
      <c r="G74" s="61">
        <f t="shared" si="1"/>
        <v>6480</v>
      </c>
    </row>
    <row r="75" spans="2:7" ht="15.75" thickBot="1" x14ac:dyDescent="0.3">
      <c r="B75" s="75">
        <v>12</v>
      </c>
      <c r="C75" s="74" t="s">
        <v>195</v>
      </c>
      <c r="D75" s="73" t="s">
        <v>194</v>
      </c>
      <c r="E75" s="73">
        <v>540</v>
      </c>
      <c r="F75" s="86">
        <v>8</v>
      </c>
      <c r="G75" s="61">
        <f t="shared" si="1"/>
        <v>4320</v>
      </c>
    </row>
    <row r="76" spans="2:7" ht="15.75" thickBot="1" x14ac:dyDescent="0.3">
      <c r="B76" s="75">
        <v>13</v>
      </c>
      <c r="C76" s="74" t="s">
        <v>193</v>
      </c>
      <c r="D76" s="73" t="s">
        <v>192</v>
      </c>
      <c r="E76" s="73">
        <v>50</v>
      </c>
      <c r="F76" s="86">
        <v>7</v>
      </c>
      <c r="G76" s="61">
        <f t="shared" si="1"/>
        <v>350</v>
      </c>
    </row>
    <row r="77" spans="2:7" ht="15.75" thickBot="1" x14ac:dyDescent="0.3">
      <c r="B77" s="75">
        <v>14</v>
      </c>
      <c r="C77" s="74" t="s">
        <v>191</v>
      </c>
      <c r="D77" s="73" t="s">
        <v>189</v>
      </c>
      <c r="E77" s="73">
        <v>400</v>
      </c>
      <c r="F77" s="86">
        <v>5</v>
      </c>
      <c r="G77" s="61">
        <f t="shared" si="1"/>
        <v>2000</v>
      </c>
    </row>
    <row r="78" spans="2:7" ht="15.75" thickBot="1" x14ac:dyDescent="0.3">
      <c r="B78" s="75">
        <v>15</v>
      </c>
      <c r="C78" s="74" t="s">
        <v>190</v>
      </c>
      <c r="D78" s="73" t="s">
        <v>189</v>
      </c>
      <c r="E78" s="73">
        <v>200</v>
      </c>
      <c r="F78" s="86">
        <v>7</v>
      </c>
      <c r="G78" s="61">
        <f t="shared" si="1"/>
        <v>1400</v>
      </c>
    </row>
    <row r="79" spans="2:7" ht="15.75" thickBot="1" x14ac:dyDescent="0.3">
      <c r="B79" s="75">
        <v>16</v>
      </c>
      <c r="C79" s="74" t="s">
        <v>188</v>
      </c>
      <c r="D79" s="73" t="s">
        <v>149</v>
      </c>
      <c r="E79" s="73">
        <v>400</v>
      </c>
      <c r="F79" s="86">
        <v>2.5</v>
      </c>
      <c r="G79" s="61">
        <f t="shared" si="1"/>
        <v>1000</v>
      </c>
    </row>
    <row r="80" spans="2:7" ht="15.75" thickBot="1" x14ac:dyDescent="0.3">
      <c r="B80" s="75">
        <v>17</v>
      </c>
      <c r="C80" s="74" t="s">
        <v>187</v>
      </c>
      <c r="D80" s="73" t="s">
        <v>184</v>
      </c>
      <c r="E80" s="73">
        <v>500</v>
      </c>
      <c r="F80" s="86">
        <v>60</v>
      </c>
      <c r="G80" s="61">
        <f t="shared" si="1"/>
        <v>30000</v>
      </c>
    </row>
    <row r="81" spans="2:8" ht="15.75" thickBot="1" x14ac:dyDescent="0.3">
      <c r="B81" s="75">
        <v>18</v>
      </c>
      <c r="C81" s="74" t="s">
        <v>186</v>
      </c>
      <c r="D81" s="73" t="s">
        <v>184</v>
      </c>
      <c r="E81" s="73">
        <v>500</v>
      </c>
      <c r="F81" s="86">
        <v>40</v>
      </c>
      <c r="G81" s="61">
        <f t="shared" si="1"/>
        <v>20000</v>
      </c>
    </row>
    <row r="82" spans="2:8" ht="15.75" thickBot="1" x14ac:dyDescent="0.3">
      <c r="B82" s="75">
        <v>19</v>
      </c>
      <c r="C82" s="74" t="s">
        <v>185</v>
      </c>
      <c r="D82" s="73" t="s">
        <v>184</v>
      </c>
      <c r="E82" s="73">
        <v>500</v>
      </c>
      <c r="F82" s="86">
        <v>30</v>
      </c>
      <c r="G82" s="61">
        <f t="shared" si="1"/>
        <v>15000</v>
      </c>
    </row>
    <row r="83" spans="2:8" ht="15.75" thickBot="1" x14ac:dyDescent="0.3">
      <c r="B83" s="75">
        <v>20</v>
      </c>
      <c r="C83" s="74" t="s">
        <v>183</v>
      </c>
      <c r="D83" s="73" t="s">
        <v>149</v>
      </c>
      <c r="E83" s="73">
        <v>40</v>
      </c>
      <c r="F83" s="86">
        <v>40</v>
      </c>
      <c r="G83" s="61">
        <f t="shared" si="1"/>
        <v>1600</v>
      </c>
      <c r="H83" s="85"/>
    </row>
    <row r="84" spans="2:8" ht="15.75" thickBot="1" x14ac:dyDescent="0.3">
      <c r="B84" s="75">
        <v>21</v>
      </c>
      <c r="C84" s="74" t="s">
        <v>182</v>
      </c>
      <c r="D84" s="73" t="s">
        <v>149</v>
      </c>
      <c r="E84" s="73">
        <v>40</v>
      </c>
      <c r="F84" s="86">
        <v>25</v>
      </c>
      <c r="G84" s="61">
        <f t="shared" si="1"/>
        <v>1000</v>
      </c>
      <c r="H84" s="85"/>
    </row>
    <row r="85" spans="2:8" ht="15.75" thickBot="1" x14ac:dyDescent="0.3">
      <c r="B85" s="75">
        <v>22</v>
      </c>
      <c r="C85" s="74" t="s">
        <v>181</v>
      </c>
      <c r="D85" s="73" t="s">
        <v>149</v>
      </c>
      <c r="E85" s="73">
        <v>180</v>
      </c>
      <c r="F85" s="86">
        <v>2.5</v>
      </c>
      <c r="G85" s="61">
        <f t="shared" si="1"/>
        <v>450</v>
      </c>
    </row>
    <row r="86" spans="2:8" ht="15.75" thickBot="1" x14ac:dyDescent="0.3">
      <c r="B86" s="75">
        <v>23</v>
      </c>
      <c r="C86" s="74" t="s">
        <v>180</v>
      </c>
      <c r="D86" s="73" t="s">
        <v>149</v>
      </c>
      <c r="E86" s="73">
        <v>50</v>
      </c>
      <c r="F86" s="86">
        <v>1.8</v>
      </c>
      <c r="G86" s="61">
        <f t="shared" si="1"/>
        <v>90</v>
      </c>
      <c r="H86" s="85"/>
    </row>
    <row r="87" spans="2:8" ht="15.75" thickBot="1" x14ac:dyDescent="0.3">
      <c r="B87" s="75">
        <v>24</v>
      </c>
      <c r="C87" s="74" t="s">
        <v>179</v>
      </c>
      <c r="D87" s="73" t="s">
        <v>149</v>
      </c>
      <c r="E87" s="73">
        <v>50</v>
      </c>
      <c r="F87" s="86">
        <v>6.5</v>
      </c>
      <c r="G87" s="61">
        <f t="shared" si="1"/>
        <v>325</v>
      </c>
    </row>
    <row r="88" spans="2:8" ht="15.75" thickBot="1" x14ac:dyDescent="0.3">
      <c r="B88" s="75">
        <v>25</v>
      </c>
      <c r="C88" s="74" t="s">
        <v>178</v>
      </c>
      <c r="D88" s="73" t="s">
        <v>166</v>
      </c>
      <c r="E88" s="73">
        <v>50</v>
      </c>
      <c r="F88" s="86">
        <v>22</v>
      </c>
      <c r="G88" s="61">
        <f t="shared" si="1"/>
        <v>1100</v>
      </c>
    </row>
    <row r="89" spans="2:8" ht="15.75" thickBot="1" x14ac:dyDescent="0.3">
      <c r="B89" s="75">
        <v>26</v>
      </c>
      <c r="C89" s="74" t="s">
        <v>177</v>
      </c>
      <c r="D89" s="73" t="s">
        <v>149</v>
      </c>
      <c r="E89" s="73">
        <v>50</v>
      </c>
      <c r="F89" s="86">
        <v>12</v>
      </c>
      <c r="G89" s="61">
        <f t="shared" si="1"/>
        <v>600</v>
      </c>
    </row>
    <row r="90" spans="2:8" ht="15.75" thickBot="1" x14ac:dyDescent="0.3">
      <c r="B90" s="75">
        <v>27</v>
      </c>
      <c r="C90" s="74" t="s">
        <v>176</v>
      </c>
      <c r="D90" s="73" t="s">
        <v>149</v>
      </c>
      <c r="E90" s="73">
        <v>50</v>
      </c>
      <c r="F90" s="86">
        <v>3</v>
      </c>
      <c r="G90" s="61">
        <f t="shared" si="1"/>
        <v>150</v>
      </c>
    </row>
    <row r="91" spans="2:8" ht="15.75" thickBot="1" x14ac:dyDescent="0.3">
      <c r="B91" s="75">
        <v>28</v>
      </c>
      <c r="C91" s="74" t="s">
        <v>175</v>
      </c>
      <c r="D91" s="73" t="s">
        <v>174</v>
      </c>
      <c r="E91" s="73">
        <v>50</v>
      </c>
      <c r="F91" s="86">
        <v>8</v>
      </c>
      <c r="G91" s="61">
        <f t="shared" si="1"/>
        <v>400</v>
      </c>
    </row>
    <row r="92" spans="2:8" ht="15.75" thickBot="1" x14ac:dyDescent="0.3">
      <c r="B92" s="75">
        <v>29</v>
      </c>
      <c r="C92" s="74" t="s">
        <v>173</v>
      </c>
      <c r="D92" s="73" t="s">
        <v>172</v>
      </c>
      <c r="E92" s="73">
        <v>100</v>
      </c>
      <c r="F92" s="86">
        <v>60</v>
      </c>
      <c r="G92" s="61">
        <f t="shared" si="1"/>
        <v>6000</v>
      </c>
    </row>
    <row r="93" spans="2:8" ht="15.75" thickBot="1" x14ac:dyDescent="0.3">
      <c r="B93" s="75">
        <v>30</v>
      </c>
      <c r="C93" s="74" t="s">
        <v>171</v>
      </c>
      <c r="D93" s="73" t="s">
        <v>149</v>
      </c>
      <c r="E93" s="73">
        <v>10</v>
      </c>
      <c r="F93" s="86">
        <v>13</v>
      </c>
      <c r="G93" s="61">
        <f t="shared" si="1"/>
        <v>130</v>
      </c>
    </row>
    <row r="94" spans="2:8" ht="15.75" thickBot="1" x14ac:dyDescent="0.3">
      <c r="B94" s="75">
        <v>31</v>
      </c>
      <c r="C94" s="74" t="s">
        <v>170</v>
      </c>
      <c r="D94" s="73" t="s">
        <v>169</v>
      </c>
      <c r="E94" s="73">
        <v>100</v>
      </c>
      <c r="F94" s="86">
        <v>14</v>
      </c>
      <c r="G94" s="61">
        <f t="shared" si="1"/>
        <v>1400</v>
      </c>
    </row>
    <row r="95" spans="2:8" ht="15.75" thickBot="1" x14ac:dyDescent="0.3">
      <c r="B95" s="75">
        <v>32</v>
      </c>
      <c r="C95" s="74" t="s">
        <v>168</v>
      </c>
      <c r="D95" s="73" t="s">
        <v>149</v>
      </c>
      <c r="E95" s="73">
        <v>100</v>
      </c>
      <c r="F95" s="86">
        <v>4</v>
      </c>
      <c r="G95" s="61">
        <f t="shared" si="1"/>
        <v>400</v>
      </c>
    </row>
    <row r="96" spans="2:8" ht="15.75" thickBot="1" x14ac:dyDescent="0.3">
      <c r="B96" s="75">
        <v>33</v>
      </c>
      <c r="C96" s="74" t="s">
        <v>167</v>
      </c>
      <c r="D96" s="73" t="s">
        <v>166</v>
      </c>
      <c r="E96" s="73">
        <v>100</v>
      </c>
      <c r="F96" s="86">
        <v>5</v>
      </c>
      <c r="G96" s="61">
        <f t="shared" si="1"/>
        <v>500</v>
      </c>
    </row>
    <row r="97" spans="2:9" ht="15.75" thickBot="1" x14ac:dyDescent="0.3">
      <c r="B97" s="75">
        <v>34</v>
      </c>
      <c r="C97" s="74" t="s">
        <v>165</v>
      </c>
      <c r="D97" s="73" t="s">
        <v>149</v>
      </c>
      <c r="E97" s="73">
        <v>50</v>
      </c>
      <c r="F97" s="86">
        <v>6</v>
      </c>
      <c r="G97" s="61">
        <f t="shared" si="1"/>
        <v>300</v>
      </c>
    </row>
    <row r="98" spans="2:9" ht="15.75" thickBot="1" x14ac:dyDescent="0.3">
      <c r="B98" s="75">
        <v>35</v>
      </c>
      <c r="C98" s="74" t="s">
        <v>164</v>
      </c>
      <c r="D98" s="73" t="s">
        <v>149</v>
      </c>
      <c r="E98" s="73">
        <v>200</v>
      </c>
      <c r="F98" s="86">
        <v>8</v>
      </c>
      <c r="G98" s="61">
        <f t="shared" si="1"/>
        <v>1600</v>
      </c>
    </row>
    <row r="99" spans="2:9" ht="15.75" thickBot="1" x14ac:dyDescent="0.3">
      <c r="B99" s="75">
        <v>36</v>
      </c>
      <c r="C99" s="74" t="s">
        <v>163</v>
      </c>
      <c r="D99" s="73" t="s">
        <v>149</v>
      </c>
      <c r="E99" s="73">
        <v>200</v>
      </c>
      <c r="F99" s="86">
        <v>3</v>
      </c>
      <c r="G99" s="61">
        <f t="shared" si="1"/>
        <v>600</v>
      </c>
    </row>
    <row r="100" spans="2:9" ht="15.75" thickBot="1" x14ac:dyDescent="0.3">
      <c r="B100" s="75">
        <v>37</v>
      </c>
      <c r="C100" s="74" t="s">
        <v>162</v>
      </c>
      <c r="D100" s="73" t="s">
        <v>149</v>
      </c>
      <c r="E100" s="73">
        <v>100</v>
      </c>
      <c r="F100" s="86">
        <v>2.8</v>
      </c>
      <c r="G100" s="61">
        <f t="shared" si="1"/>
        <v>280</v>
      </c>
      <c r="H100" s="85"/>
    </row>
    <row r="101" spans="2:9" ht="15.75" thickBot="1" x14ac:dyDescent="0.3">
      <c r="B101" s="75">
        <v>38</v>
      </c>
      <c r="C101" s="74" t="s">
        <v>161</v>
      </c>
      <c r="D101" s="73" t="s">
        <v>160</v>
      </c>
      <c r="E101" s="73">
        <v>100</v>
      </c>
      <c r="F101" s="86">
        <v>16</v>
      </c>
      <c r="G101" s="61">
        <f t="shared" si="1"/>
        <v>1600</v>
      </c>
    </row>
    <row r="102" spans="2:9" ht="15.75" thickBot="1" x14ac:dyDescent="0.3">
      <c r="B102" s="75">
        <v>39</v>
      </c>
      <c r="C102" s="74" t="s">
        <v>159</v>
      </c>
      <c r="D102" s="73" t="s">
        <v>158</v>
      </c>
      <c r="E102" s="73">
        <v>500</v>
      </c>
      <c r="F102" s="86">
        <v>1.4</v>
      </c>
      <c r="G102" s="61">
        <f t="shared" si="1"/>
        <v>700</v>
      </c>
    </row>
    <row r="103" spans="2:9" ht="15.75" thickBot="1" x14ac:dyDescent="0.3">
      <c r="B103" s="75">
        <v>40</v>
      </c>
      <c r="C103" s="74" t="s">
        <v>157</v>
      </c>
      <c r="D103" s="73" t="s">
        <v>156</v>
      </c>
      <c r="E103" s="73">
        <v>400</v>
      </c>
      <c r="F103" s="86">
        <v>6.7</v>
      </c>
      <c r="G103" s="61">
        <f t="shared" si="1"/>
        <v>2680</v>
      </c>
    </row>
    <row r="104" spans="2:9" ht="15.75" thickBot="1" x14ac:dyDescent="0.3">
      <c r="B104" s="75">
        <v>41</v>
      </c>
      <c r="C104" s="74" t="s">
        <v>155</v>
      </c>
      <c r="D104" s="73" t="s">
        <v>149</v>
      </c>
      <c r="E104" s="73">
        <v>40</v>
      </c>
      <c r="F104" s="86">
        <v>20</v>
      </c>
      <c r="G104" s="61">
        <f t="shared" si="1"/>
        <v>800</v>
      </c>
      <c r="H104" s="85"/>
    </row>
    <row r="105" spans="2:9" ht="15.75" thickBot="1" x14ac:dyDescent="0.3">
      <c r="B105" s="75">
        <v>42</v>
      </c>
      <c r="C105" s="74" t="s">
        <v>154</v>
      </c>
      <c r="D105" s="73" t="s">
        <v>149</v>
      </c>
      <c r="E105" s="73">
        <v>80</v>
      </c>
      <c r="F105" s="86">
        <v>14</v>
      </c>
      <c r="G105" s="61">
        <f t="shared" si="1"/>
        <v>1120</v>
      </c>
    </row>
    <row r="106" spans="2:9" ht="15.75" thickBot="1" x14ac:dyDescent="0.3">
      <c r="B106" s="75">
        <v>43</v>
      </c>
      <c r="C106" s="74" t="s">
        <v>153</v>
      </c>
      <c r="D106" s="73" t="s">
        <v>149</v>
      </c>
      <c r="E106" s="73">
        <v>100</v>
      </c>
      <c r="F106" s="86">
        <v>2</v>
      </c>
      <c r="G106" s="61">
        <f t="shared" si="1"/>
        <v>200</v>
      </c>
    </row>
    <row r="107" spans="2:9" ht="15.75" thickBot="1" x14ac:dyDescent="0.3">
      <c r="B107" s="75">
        <v>44</v>
      </c>
      <c r="C107" s="74" t="s">
        <v>152</v>
      </c>
      <c r="D107" s="73" t="s">
        <v>151</v>
      </c>
      <c r="E107" s="73">
        <v>400</v>
      </c>
      <c r="F107" s="86">
        <v>350</v>
      </c>
      <c r="G107" s="61">
        <f t="shared" si="1"/>
        <v>140000</v>
      </c>
      <c r="H107" s="85"/>
    </row>
    <row r="108" spans="2:9" ht="15.75" thickBot="1" x14ac:dyDescent="0.3">
      <c r="B108" s="75">
        <v>45</v>
      </c>
      <c r="C108" s="74" t="s">
        <v>150</v>
      </c>
      <c r="D108" s="73" t="s">
        <v>149</v>
      </c>
      <c r="E108" s="73">
        <v>265</v>
      </c>
      <c r="F108" s="86">
        <v>271</v>
      </c>
      <c r="G108" s="61">
        <f t="shared" si="1"/>
        <v>71815</v>
      </c>
      <c r="H108" s="85"/>
    </row>
    <row r="109" spans="2:9" ht="13.5" customHeight="1" thickBot="1" x14ac:dyDescent="0.3">
      <c r="B109" s="977" t="s">
        <v>148</v>
      </c>
      <c r="C109" s="978"/>
      <c r="D109" s="978"/>
      <c r="E109" s="979"/>
      <c r="F109" s="84"/>
      <c r="G109" s="83">
        <f>SUM(G64:G108)</f>
        <v>344445</v>
      </c>
    </row>
    <row r="111" spans="2:9" ht="15.75" thickBot="1" x14ac:dyDescent="0.3"/>
    <row r="112" spans="2:9" ht="29.25" customHeight="1" thickBot="1" x14ac:dyDescent="0.3">
      <c r="B112" s="992" t="s">
        <v>147</v>
      </c>
      <c r="C112" s="993"/>
      <c r="D112" s="993"/>
      <c r="E112" s="993"/>
      <c r="F112" s="993"/>
      <c r="G112" s="970" t="s">
        <v>146</v>
      </c>
      <c r="H112" s="970" t="s">
        <v>137</v>
      </c>
      <c r="I112" s="970" t="s">
        <v>136</v>
      </c>
    </row>
    <row r="113" spans="2:9" x14ac:dyDescent="0.25">
      <c r="B113" s="983" t="s">
        <v>135</v>
      </c>
      <c r="C113" s="985" t="s">
        <v>134</v>
      </c>
      <c r="D113" s="985" t="s">
        <v>133</v>
      </c>
      <c r="E113" s="82" t="s">
        <v>37</v>
      </c>
      <c r="F113" s="81" t="s">
        <v>37</v>
      </c>
      <c r="G113" s="971"/>
      <c r="H113" s="971"/>
      <c r="I113" s="971"/>
    </row>
    <row r="114" spans="2:9" ht="15.75" thickBot="1" x14ac:dyDescent="0.3">
      <c r="B114" s="984"/>
      <c r="C114" s="986"/>
      <c r="D114" s="986"/>
      <c r="E114" s="73" t="s">
        <v>36</v>
      </c>
      <c r="F114" s="80" t="s">
        <v>145</v>
      </c>
      <c r="G114" s="972"/>
      <c r="H114" s="972"/>
      <c r="I114" s="972"/>
    </row>
    <row r="115" spans="2:9" ht="15.75" thickBot="1" x14ac:dyDescent="0.3">
      <c r="B115" s="75">
        <v>1</v>
      </c>
      <c r="C115" s="74" t="s">
        <v>144</v>
      </c>
      <c r="D115" s="73">
        <v>1</v>
      </c>
      <c r="E115" s="61">
        <v>2180</v>
      </c>
      <c r="F115" s="72">
        <f>D115*E115</f>
        <v>2180</v>
      </c>
      <c r="G115" s="65"/>
      <c r="H115" s="59"/>
      <c r="I115" s="58"/>
    </row>
    <row r="116" spans="2:9" s="70" customFormat="1" ht="13.5" thickBot="1" x14ac:dyDescent="0.25">
      <c r="B116" s="977" t="s">
        <v>130</v>
      </c>
      <c r="C116" s="978"/>
      <c r="D116" s="978"/>
      <c r="E116" s="979"/>
      <c r="F116" s="79">
        <f>F115</f>
        <v>2180</v>
      </c>
      <c r="G116" s="78"/>
      <c r="H116" s="77"/>
      <c r="I116" s="77"/>
    </row>
    <row r="117" spans="2:9" ht="15.75" thickBot="1" x14ac:dyDescent="0.3">
      <c r="B117" s="75">
        <v>1</v>
      </c>
      <c r="C117" s="74" t="s">
        <v>129</v>
      </c>
      <c r="D117" s="73">
        <v>4</v>
      </c>
      <c r="E117" s="61">
        <v>3000</v>
      </c>
      <c r="F117" s="72">
        <f t="shared" ref="F117:F132" si="2">D117*E117</f>
        <v>12000</v>
      </c>
      <c r="G117" s="65" t="s">
        <v>127</v>
      </c>
      <c r="H117" s="59">
        <v>5</v>
      </c>
      <c r="I117" s="58">
        <f t="shared" ref="I117:I132" si="3">F117/H117</f>
        <v>2400</v>
      </c>
    </row>
    <row r="118" spans="2:9" ht="29.25" customHeight="1" thickBot="1" x14ac:dyDescent="0.3">
      <c r="B118" s="75">
        <v>2</v>
      </c>
      <c r="C118" s="74" t="s">
        <v>128</v>
      </c>
      <c r="D118" s="73">
        <v>10</v>
      </c>
      <c r="E118" s="61">
        <v>2700</v>
      </c>
      <c r="F118" s="72">
        <f t="shared" si="2"/>
        <v>27000</v>
      </c>
      <c r="G118" s="65" t="s">
        <v>127</v>
      </c>
      <c r="H118" s="59">
        <v>5</v>
      </c>
      <c r="I118" s="58">
        <f t="shared" si="3"/>
        <v>5400</v>
      </c>
    </row>
    <row r="119" spans="2:9" ht="15.75" thickBot="1" x14ac:dyDescent="0.3">
      <c r="B119" s="75">
        <v>3</v>
      </c>
      <c r="C119" s="74" t="s">
        <v>126</v>
      </c>
      <c r="D119" s="73">
        <v>1</v>
      </c>
      <c r="E119" s="61">
        <v>900</v>
      </c>
      <c r="F119" s="72">
        <f t="shared" si="2"/>
        <v>900</v>
      </c>
      <c r="G119" s="65">
        <v>8443</v>
      </c>
      <c r="H119" s="59">
        <v>10</v>
      </c>
      <c r="I119" s="58">
        <f t="shared" si="3"/>
        <v>90</v>
      </c>
    </row>
    <row r="120" spans="2:9" ht="15.75" thickBot="1" x14ac:dyDescent="0.3">
      <c r="B120" s="75">
        <v>4</v>
      </c>
      <c r="C120" s="74" t="s">
        <v>125</v>
      </c>
      <c r="D120" s="73">
        <v>2</v>
      </c>
      <c r="E120" s="61">
        <v>850</v>
      </c>
      <c r="F120" s="72">
        <f t="shared" si="2"/>
        <v>1700</v>
      </c>
      <c r="G120" s="65">
        <v>9007</v>
      </c>
      <c r="H120" s="59">
        <v>10</v>
      </c>
      <c r="I120" s="58">
        <f t="shared" si="3"/>
        <v>170</v>
      </c>
    </row>
    <row r="121" spans="2:9" ht="15.75" thickBot="1" x14ac:dyDescent="0.3">
      <c r="B121" s="75">
        <v>5</v>
      </c>
      <c r="C121" s="74" t="s">
        <v>143</v>
      </c>
      <c r="D121" s="73">
        <v>54</v>
      </c>
      <c r="E121" s="61">
        <v>287</v>
      </c>
      <c r="F121" s="76">
        <f t="shared" si="2"/>
        <v>15498</v>
      </c>
      <c r="G121" s="65">
        <v>8517</v>
      </c>
      <c r="H121" s="59">
        <v>5</v>
      </c>
      <c r="I121" s="58">
        <f t="shared" si="3"/>
        <v>3099.6</v>
      </c>
    </row>
    <row r="122" spans="2:9" ht="15.75" thickBot="1" x14ac:dyDescent="0.3">
      <c r="B122" s="75">
        <v>6</v>
      </c>
      <c r="C122" s="74" t="s">
        <v>123</v>
      </c>
      <c r="D122" s="73">
        <v>2</v>
      </c>
      <c r="E122" s="61">
        <v>1500</v>
      </c>
      <c r="F122" s="72">
        <f t="shared" si="2"/>
        <v>3000</v>
      </c>
      <c r="G122" s="65">
        <v>9014</v>
      </c>
      <c r="H122" s="59">
        <v>10</v>
      </c>
      <c r="I122" s="58">
        <f t="shared" si="3"/>
        <v>300</v>
      </c>
    </row>
    <row r="123" spans="2:9" ht="15.75" thickBot="1" x14ac:dyDescent="0.3">
      <c r="B123" s="75">
        <v>7</v>
      </c>
      <c r="C123" s="74" t="s">
        <v>122</v>
      </c>
      <c r="D123" s="73">
        <v>1</v>
      </c>
      <c r="E123" s="61">
        <v>1900</v>
      </c>
      <c r="F123" s="72">
        <f t="shared" si="2"/>
        <v>1900</v>
      </c>
      <c r="G123" s="65">
        <v>8418</v>
      </c>
      <c r="H123" s="59">
        <v>10</v>
      </c>
      <c r="I123" s="58">
        <f t="shared" si="3"/>
        <v>190</v>
      </c>
    </row>
    <row r="124" spans="2:9" ht="15.75" thickBot="1" x14ac:dyDescent="0.3">
      <c r="B124" s="75">
        <v>8</v>
      </c>
      <c r="C124" s="74" t="s">
        <v>121</v>
      </c>
      <c r="D124" s="73">
        <v>1</v>
      </c>
      <c r="E124" s="61">
        <v>1000</v>
      </c>
      <c r="F124" s="72">
        <f t="shared" si="2"/>
        <v>1000</v>
      </c>
      <c r="G124" s="65">
        <v>7321</v>
      </c>
      <c r="H124" s="59">
        <v>10</v>
      </c>
      <c r="I124" s="58">
        <f t="shared" si="3"/>
        <v>100</v>
      </c>
    </row>
    <row r="125" spans="2:9" ht="15.75" thickBot="1" x14ac:dyDescent="0.3">
      <c r="B125" s="75">
        <v>9</v>
      </c>
      <c r="C125" s="74" t="s">
        <v>120</v>
      </c>
      <c r="D125" s="73">
        <v>1</v>
      </c>
      <c r="E125" s="61">
        <v>500</v>
      </c>
      <c r="F125" s="72">
        <f t="shared" si="2"/>
        <v>500</v>
      </c>
      <c r="G125" s="65">
        <v>8514</v>
      </c>
      <c r="H125" s="59">
        <v>10</v>
      </c>
      <c r="I125" s="58">
        <f t="shared" si="3"/>
        <v>50</v>
      </c>
    </row>
    <row r="126" spans="2:9" ht="15.75" thickBot="1" x14ac:dyDescent="0.3">
      <c r="B126" s="75">
        <v>10</v>
      </c>
      <c r="C126" s="74" t="s">
        <v>142</v>
      </c>
      <c r="D126" s="73">
        <v>1</v>
      </c>
      <c r="E126" s="61">
        <v>1300</v>
      </c>
      <c r="F126" s="72">
        <f t="shared" si="2"/>
        <v>1300</v>
      </c>
      <c r="G126" s="65">
        <v>9403</v>
      </c>
      <c r="H126" s="59">
        <v>10</v>
      </c>
      <c r="I126" s="58">
        <f t="shared" si="3"/>
        <v>130</v>
      </c>
    </row>
    <row r="127" spans="2:9" ht="15.75" thickBot="1" x14ac:dyDescent="0.3">
      <c r="B127" s="75">
        <v>11</v>
      </c>
      <c r="C127" s="74" t="s">
        <v>117</v>
      </c>
      <c r="D127" s="73">
        <v>1</v>
      </c>
      <c r="E127" s="61">
        <v>650</v>
      </c>
      <c r="F127" s="72">
        <f t="shared" si="2"/>
        <v>650</v>
      </c>
      <c r="G127" s="65">
        <v>9403</v>
      </c>
      <c r="H127" s="59">
        <v>10</v>
      </c>
      <c r="I127" s="58">
        <f t="shared" si="3"/>
        <v>65</v>
      </c>
    </row>
    <row r="128" spans="2:9" ht="15.75" thickBot="1" x14ac:dyDescent="0.3">
      <c r="B128" s="75">
        <v>12</v>
      </c>
      <c r="C128" s="74" t="s">
        <v>116</v>
      </c>
      <c r="D128" s="73">
        <v>10</v>
      </c>
      <c r="E128" s="61">
        <v>250</v>
      </c>
      <c r="F128" s="72">
        <f t="shared" si="2"/>
        <v>2500</v>
      </c>
      <c r="G128" s="65">
        <v>9403</v>
      </c>
      <c r="H128" s="59">
        <v>10</v>
      </c>
      <c r="I128" s="58">
        <f t="shared" si="3"/>
        <v>250</v>
      </c>
    </row>
    <row r="129" spans="2:9" ht="15.75" thickBot="1" x14ac:dyDescent="0.3">
      <c r="B129" s="75">
        <v>13</v>
      </c>
      <c r="C129" s="74" t="s">
        <v>115</v>
      </c>
      <c r="D129" s="73">
        <v>2</v>
      </c>
      <c r="E129" s="61">
        <v>400</v>
      </c>
      <c r="F129" s="72">
        <f t="shared" si="2"/>
        <v>800</v>
      </c>
      <c r="G129" s="65">
        <v>9403</v>
      </c>
      <c r="H129" s="59">
        <v>10</v>
      </c>
      <c r="I129" s="58">
        <f t="shared" si="3"/>
        <v>80</v>
      </c>
    </row>
    <row r="130" spans="2:9" ht="15.75" thickBot="1" x14ac:dyDescent="0.3">
      <c r="B130" s="75">
        <v>14</v>
      </c>
      <c r="C130" s="74" t="s">
        <v>114</v>
      </c>
      <c r="D130" s="73">
        <v>4</v>
      </c>
      <c r="E130" s="61">
        <v>670</v>
      </c>
      <c r="F130" s="72">
        <f t="shared" si="2"/>
        <v>2680</v>
      </c>
      <c r="G130" s="65">
        <v>9403</v>
      </c>
      <c r="H130" s="59">
        <v>10</v>
      </c>
      <c r="I130" s="58">
        <f t="shared" si="3"/>
        <v>268</v>
      </c>
    </row>
    <row r="131" spans="2:9" ht="15.75" thickBot="1" x14ac:dyDescent="0.3">
      <c r="B131" s="75">
        <v>15</v>
      </c>
      <c r="C131" s="74" t="s">
        <v>141</v>
      </c>
      <c r="D131" s="73">
        <v>4</v>
      </c>
      <c r="E131" s="61">
        <v>750</v>
      </c>
      <c r="F131" s="72">
        <f t="shared" si="2"/>
        <v>3000</v>
      </c>
      <c r="G131" s="65">
        <v>9403</v>
      </c>
      <c r="H131" s="59">
        <v>10</v>
      </c>
      <c r="I131" s="58">
        <f t="shared" si="3"/>
        <v>300</v>
      </c>
    </row>
    <row r="132" spans="2:9" ht="15.75" thickBot="1" x14ac:dyDescent="0.3">
      <c r="B132" s="75">
        <v>16</v>
      </c>
      <c r="C132" s="74" t="s">
        <v>112</v>
      </c>
      <c r="D132" s="73">
        <v>1</v>
      </c>
      <c r="E132" s="61">
        <v>3000</v>
      </c>
      <c r="F132" s="72">
        <f t="shared" si="2"/>
        <v>3000</v>
      </c>
      <c r="G132" s="65"/>
      <c r="H132" s="59">
        <v>10</v>
      </c>
      <c r="I132" s="58">
        <f t="shared" si="3"/>
        <v>300</v>
      </c>
    </row>
    <row r="133" spans="2:9" s="70" customFormat="1" ht="13.5" thickBot="1" x14ac:dyDescent="0.25">
      <c r="B133" s="962" t="s">
        <v>111</v>
      </c>
      <c r="C133" s="963"/>
      <c r="D133" s="963"/>
      <c r="E133" s="964"/>
      <c r="F133" s="71">
        <f>SUM(F117:F132)</f>
        <v>77428</v>
      </c>
      <c r="G133" s="965" t="s">
        <v>110</v>
      </c>
      <c r="H133" s="966"/>
      <c r="I133" s="56">
        <f>SUM(I115:I132)</f>
        <v>13192.6</v>
      </c>
    </row>
    <row r="134" spans="2:9" ht="15.75" thickBot="1" x14ac:dyDescent="0.3">
      <c r="B134" s="977" t="s">
        <v>140</v>
      </c>
      <c r="C134" s="978"/>
      <c r="D134" s="978"/>
      <c r="E134" s="979"/>
      <c r="F134" s="69">
        <f>F133+F116</f>
        <v>79608</v>
      </c>
      <c r="G134" s="65"/>
      <c r="H134" s="59"/>
      <c r="I134" s="59"/>
    </row>
    <row r="135" spans="2:9" x14ac:dyDescent="0.25">
      <c r="B135" s="53" t="s">
        <v>108</v>
      </c>
      <c r="C135" s="52" t="s">
        <v>107</v>
      </c>
      <c r="D135" s="53"/>
      <c r="E135" s="53"/>
      <c r="F135" s="53"/>
    </row>
    <row r="137" spans="2:9" ht="15.75" thickBot="1" x14ac:dyDescent="0.3"/>
    <row r="138" spans="2:9" ht="31.5" customHeight="1" thickBot="1" x14ac:dyDescent="0.3">
      <c r="B138" s="980" t="s">
        <v>139</v>
      </c>
      <c r="C138" s="981"/>
      <c r="D138" s="981"/>
      <c r="E138" s="981"/>
      <c r="F138" s="982"/>
      <c r="G138" s="970" t="s">
        <v>138</v>
      </c>
      <c r="H138" s="970" t="s">
        <v>137</v>
      </c>
      <c r="I138" s="970" t="s">
        <v>136</v>
      </c>
    </row>
    <row r="139" spans="2:9" x14ac:dyDescent="0.25">
      <c r="B139" s="973" t="s">
        <v>135</v>
      </c>
      <c r="C139" s="975" t="s">
        <v>134</v>
      </c>
      <c r="D139" s="975" t="s">
        <v>133</v>
      </c>
      <c r="E139" s="68" t="s">
        <v>37</v>
      </c>
      <c r="F139" s="68" t="s">
        <v>37</v>
      </c>
      <c r="G139" s="971"/>
      <c r="H139" s="971"/>
      <c r="I139" s="971"/>
    </row>
    <row r="140" spans="2:9" ht="15.75" thickBot="1" x14ac:dyDescent="0.3">
      <c r="B140" s="974"/>
      <c r="C140" s="976"/>
      <c r="D140" s="976"/>
      <c r="E140" s="62" t="s">
        <v>36</v>
      </c>
      <c r="F140" s="62" t="s">
        <v>132</v>
      </c>
      <c r="G140" s="972"/>
      <c r="H140" s="972"/>
      <c r="I140" s="972"/>
    </row>
    <row r="141" spans="2:9" ht="15.75" thickBot="1" x14ac:dyDescent="0.3">
      <c r="B141" s="64">
        <v>1</v>
      </c>
      <c r="C141" s="63" t="s">
        <v>131</v>
      </c>
      <c r="D141" s="62">
        <v>1</v>
      </c>
      <c r="E141" s="61">
        <v>2180</v>
      </c>
      <c r="F141" s="60">
        <f>D141*E141</f>
        <v>2180</v>
      </c>
      <c r="G141" s="54"/>
      <c r="H141" s="59"/>
      <c r="I141" s="58"/>
    </row>
    <row r="142" spans="2:9" ht="15.75" thickBot="1" x14ac:dyDescent="0.3">
      <c r="B142" s="977" t="s">
        <v>130</v>
      </c>
      <c r="C142" s="978"/>
      <c r="D142" s="978"/>
      <c r="E142" s="979"/>
      <c r="F142" s="67">
        <f>F141</f>
        <v>2180</v>
      </c>
      <c r="G142" s="66"/>
      <c r="H142" s="66"/>
      <c r="I142" s="66"/>
    </row>
    <row r="143" spans="2:9" ht="15.75" thickBot="1" x14ac:dyDescent="0.3">
      <c r="B143" s="64">
        <v>1</v>
      </c>
      <c r="C143" s="63" t="s">
        <v>129</v>
      </c>
      <c r="D143" s="62">
        <v>4</v>
      </c>
      <c r="E143" s="61">
        <v>3000</v>
      </c>
      <c r="F143" s="60">
        <f t="shared" ref="F143:F159" si="4">D143*E143</f>
        <v>12000</v>
      </c>
      <c r="G143" s="65" t="s">
        <v>127</v>
      </c>
      <c r="H143" s="59">
        <v>5</v>
      </c>
      <c r="I143" s="58">
        <f t="shared" ref="I143:I159" si="5">F143/H143</f>
        <v>2400</v>
      </c>
    </row>
    <row r="144" spans="2:9" ht="25.5" customHeight="1" thickBot="1" x14ac:dyDescent="0.3">
      <c r="B144" s="64">
        <v>2</v>
      </c>
      <c r="C144" s="63" t="s">
        <v>128</v>
      </c>
      <c r="D144" s="62">
        <v>5</v>
      </c>
      <c r="E144" s="61">
        <v>2700</v>
      </c>
      <c r="F144" s="60">
        <f t="shared" si="4"/>
        <v>13500</v>
      </c>
      <c r="G144" s="65" t="s">
        <v>127</v>
      </c>
      <c r="H144" s="59">
        <v>5</v>
      </c>
      <c r="I144" s="58">
        <f t="shared" si="5"/>
        <v>2700</v>
      </c>
    </row>
    <row r="145" spans="2:9" ht="15.75" thickBot="1" x14ac:dyDescent="0.3">
      <c r="B145" s="64">
        <v>3</v>
      </c>
      <c r="C145" s="63" t="s">
        <v>126</v>
      </c>
      <c r="D145" s="62">
        <v>1</v>
      </c>
      <c r="E145" s="61">
        <v>900</v>
      </c>
      <c r="F145" s="60">
        <f t="shared" si="4"/>
        <v>900</v>
      </c>
      <c r="G145" s="65">
        <v>8443</v>
      </c>
      <c r="H145" s="59">
        <v>10</v>
      </c>
      <c r="I145" s="58">
        <f t="shared" si="5"/>
        <v>90</v>
      </c>
    </row>
    <row r="146" spans="2:9" ht="15.75" thickBot="1" x14ac:dyDescent="0.3">
      <c r="B146" s="64">
        <v>4</v>
      </c>
      <c r="C146" s="63" t="s">
        <v>125</v>
      </c>
      <c r="D146" s="62">
        <v>2</v>
      </c>
      <c r="E146" s="61">
        <v>850</v>
      </c>
      <c r="F146" s="60">
        <f t="shared" si="4"/>
        <v>1700</v>
      </c>
      <c r="G146" s="65">
        <v>9007</v>
      </c>
      <c r="H146" s="59">
        <v>10</v>
      </c>
      <c r="I146" s="58">
        <f t="shared" si="5"/>
        <v>170</v>
      </c>
    </row>
    <row r="147" spans="2:9" ht="15.75" thickBot="1" x14ac:dyDescent="0.3">
      <c r="B147" s="64">
        <v>5</v>
      </c>
      <c r="C147" s="63" t="s">
        <v>124</v>
      </c>
      <c r="D147" s="62">
        <v>30</v>
      </c>
      <c r="E147" s="61">
        <v>287</v>
      </c>
      <c r="F147" s="60">
        <f t="shared" si="4"/>
        <v>8610</v>
      </c>
      <c r="G147" s="65">
        <v>8517</v>
      </c>
      <c r="H147" s="59">
        <v>5</v>
      </c>
      <c r="I147" s="58">
        <f t="shared" si="5"/>
        <v>1722</v>
      </c>
    </row>
    <row r="148" spans="2:9" ht="15.75" thickBot="1" x14ac:dyDescent="0.3">
      <c r="B148" s="64">
        <v>6</v>
      </c>
      <c r="C148" s="63" t="s">
        <v>123</v>
      </c>
      <c r="D148" s="62">
        <v>2</v>
      </c>
      <c r="E148" s="61">
        <v>1500</v>
      </c>
      <c r="F148" s="60">
        <f t="shared" si="4"/>
        <v>3000</v>
      </c>
      <c r="G148" s="65">
        <v>9014</v>
      </c>
      <c r="H148" s="59">
        <v>10</v>
      </c>
      <c r="I148" s="58">
        <f t="shared" si="5"/>
        <v>300</v>
      </c>
    </row>
    <row r="149" spans="2:9" ht="15.75" thickBot="1" x14ac:dyDescent="0.3">
      <c r="B149" s="64">
        <v>7</v>
      </c>
      <c r="C149" s="63" t="s">
        <v>122</v>
      </c>
      <c r="D149" s="62">
        <v>1</v>
      </c>
      <c r="E149" s="61">
        <v>1900</v>
      </c>
      <c r="F149" s="60">
        <f t="shared" si="4"/>
        <v>1900</v>
      </c>
      <c r="G149" s="65">
        <v>8418</v>
      </c>
      <c r="H149" s="59">
        <v>10</v>
      </c>
      <c r="I149" s="58">
        <f t="shared" si="5"/>
        <v>190</v>
      </c>
    </row>
    <row r="150" spans="2:9" ht="15.75" thickBot="1" x14ac:dyDescent="0.3">
      <c r="B150" s="64">
        <v>8</v>
      </c>
      <c r="C150" s="63" t="s">
        <v>121</v>
      </c>
      <c r="D150" s="62">
        <v>1</v>
      </c>
      <c r="E150" s="61">
        <v>1000</v>
      </c>
      <c r="F150" s="60">
        <f t="shared" si="4"/>
        <v>1000</v>
      </c>
      <c r="G150" s="65">
        <v>7321</v>
      </c>
      <c r="H150" s="59">
        <v>10</v>
      </c>
      <c r="I150" s="58">
        <f t="shared" si="5"/>
        <v>100</v>
      </c>
    </row>
    <row r="151" spans="2:9" ht="15.75" thickBot="1" x14ac:dyDescent="0.3">
      <c r="B151" s="64">
        <v>9</v>
      </c>
      <c r="C151" s="63" t="s">
        <v>120</v>
      </c>
      <c r="D151" s="62">
        <v>1</v>
      </c>
      <c r="E151" s="61">
        <v>500</v>
      </c>
      <c r="F151" s="60">
        <f t="shared" si="4"/>
        <v>500</v>
      </c>
      <c r="G151" s="65">
        <v>8514</v>
      </c>
      <c r="H151" s="59">
        <v>10</v>
      </c>
      <c r="I151" s="58">
        <f t="shared" si="5"/>
        <v>50</v>
      </c>
    </row>
    <row r="152" spans="2:9" ht="15.75" thickBot="1" x14ac:dyDescent="0.3">
      <c r="B152" s="64">
        <v>10</v>
      </c>
      <c r="C152" s="63" t="s">
        <v>119</v>
      </c>
      <c r="D152" s="62">
        <v>4</v>
      </c>
      <c r="E152" s="61">
        <v>1300</v>
      </c>
      <c r="F152" s="60">
        <f t="shared" si="4"/>
        <v>5200</v>
      </c>
      <c r="G152" s="65">
        <v>9403</v>
      </c>
      <c r="H152" s="59">
        <v>10</v>
      </c>
      <c r="I152" s="58">
        <f t="shared" si="5"/>
        <v>520</v>
      </c>
    </row>
    <row r="153" spans="2:9" ht="15.75" thickBot="1" x14ac:dyDescent="0.3">
      <c r="B153" s="64">
        <v>11</v>
      </c>
      <c r="C153" s="63" t="s">
        <v>118</v>
      </c>
      <c r="D153" s="62">
        <v>6</v>
      </c>
      <c r="E153" s="61">
        <v>2100</v>
      </c>
      <c r="F153" s="60">
        <f t="shared" si="4"/>
        <v>12600</v>
      </c>
      <c r="G153" s="65">
        <v>8415</v>
      </c>
      <c r="H153" s="59">
        <v>10</v>
      </c>
      <c r="I153" s="58">
        <f t="shared" si="5"/>
        <v>1260</v>
      </c>
    </row>
    <row r="154" spans="2:9" ht="15.75" thickBot="1" x14ac:dyDescent="0.3">
      <c r="B154" s="64">
        <v>12</v>
      </c>
      <c r="C154" s="63" t="s">
        <v>117</v>
      </c>
      <c r="D154" s="62">
        <v>1</v>
      </c>
      <c r="E154" s="61">
        <v>650</v>
      </c>
      <c r="F154" s="60">
        <f t="shared" si="4"/>
        <v>650</v>
      </c>
      <c r="G154" s="65">
        <v>9403</v>
      </c>
      <c r="H154" s="59">
        <v>10</v>
      </c>
      <c r="I154" s="58">
        <f t="shared" si="5"/>
        <v>65</v>
      </c>
    </row>
    <row r="155" spans="2:9" ht="15.75" thickBot="1" x14ac:dyDescent="0.3">
      <c r="B155" s="64">
        <v>13</v>
      </c>
      <c r="C155" s="63" t="s">
        <v>116</v>
      </c>
      <c r="D155" s="62">
        <v>10</v>
      </c>
      <c r="E155" s="61">
        <v>250</v>
      </c>
      <c r="F155" s="60">
        <f t="shared" si="4"/>
        <v>2500</v>
      </c>
      <c r="G155" s="65">
        <v>9403</v>
      </c>
      <c r="H155" s="59">
        <v>10</v>
      </c>
      <c r="I155" s="58">
        <f t="shared" si="5"/>
        <v>250</v>
      </c>
    </row>
    <row r="156" spans="2:9" ht="15.75" thickBot="1" x14ac:dyDescent="0.3">
      <c r="B156" s="64">
        <v>14</v>
      </c>
      <c r="C156" s="63" t="s">
        <v>115</v>
      </c>
      <c r="D156" s="62">
        <v>6</v>
      </c>
      <c r="E156" s="61">
        <v>400</v>
      </c>
      <c r="F156" s="60">
        <f t="shared" si="4"/>
        <v>2400</v>
      </c>
      <c r="G156" s="65">
        <v>9403</v>
      </c>
      <c r="H156" s="59">
        <v>10</v>
      </c>
      <c r="I156" s="58">
        <f t="shared" si="5"/>
        <v>240</v>
      </c>
    </row>
    <row r="157" spans="2:9" ht="15.75" thickBot="1" x14ac:dyDescent="0.3">
      <c r="B157" s="64">
        <v>15</v>
      </c>
      <c r="C157" s="63" t="s">
        <v>114</v>
      </c>
      <c r="D157" s="62">
        <v>6</v>
      </c>
      <c r="E157" s="61">
        <v>670</v>
      </c>
      <c r="F157" s="60">
        <f t="shared" si="4"/>
        <v>4020</v>
      </c>
      <c r="G157" s="65">
        <v>9403</v>
      </c>
      <c r="H157" s="59">
        <v>10</v>
      </c>
      <c r="I157" s="58">
        <f t="shared" si="5"/>
        <v>402</v>
      </c>
    </row>
    <row r="158" spans="2:9" ht="15.75" thickBot="1" x14ac:dyDescent="0.3">
      <c r="B158" s="64">
        <v>16</v>
      </c>
      <c r="C158" s="63" t="s">
        <v>113</v>
      </c>
      <c r="D158" s="62">
        <v>4</v>
      </c>
      <c r="E158" s="61">
        <v>750</v>
      </c>
      <c r="F158" s="60">
        <f t="shared" si="4"/>
        <v>3000</v>
      </c>
      <c r="G158" s="65">
        <v>9403</v>
      </c>
      <c r="H158" s="59">
        <v>10</v>
      </c>
      <c r="I158" s="58">
        <f t="shared" si="5"/>
        <v>300</v>
      </c>
    </row>
    <row r="159" spans="2:9" ht="15.75" thickBot="1" x14ac:dyDescent="0.3">
      <c r="B159" s="64">
        <v>17</v>
      </c>
      <c r="C159" s="63" t="s">
        <v>112</v>
      </c>
      <c r="D159" s="62">
        <v>2</v>
      </c>
      <c r="E159" s="61">
        <v>3000</v>
      </c>
      <c r="F159" s="60">
        <f t="shared" si="4"/>
        <v>6000</v>
      </c>
      <c r="G159" s="54"/>
      <c r="H159" s="59">
        <v>10</v>
      </c>
      <c r="I159" s="58">
        <f t="shared" si="5"/>
        <v>600</v>
      </c>
    </row>
    <row r="160" spans="2:9" ht="15.75" thickBot="1" x14ac:dyDescent="0.3">
      <c r="B160" s="962" t="s">
        <v>111</v>
      </c>
      <c r="C160" s="963"/>
      <c r="D160" s="963"/>
      <c r="E160" s="964"/>
      <c r="F160" s="57">
        <f>SUM(F143:F159)</f>
        <v>79480</v>
      </c>
      <c r="G160" s="965" t="s">
        <v>110</v>
      </c>
      <c r="H160" s="966"/>
      <c r="I160" s="56">
        <f>SUM(I141:I159)</f>
        <v>11359</v>
      </c>
    </row>
    <row r="161" spans="2:9" ht="15.75" thickBot="1" x14ac:dyDescent="0.3">
      <c r="B161" s="967" t="s">
        <v>109</v>
      </c>
      <c r="C161" s="968"/>
      <c r="D161" s="968"/>
      <c r="E161" s="969"/>
      <c r="F161" s="55">
        <f>F142+F160</f>
        <v>81660</v>
      </c>
      <c r="G161" s="54"/>
      <c r="H161" s="54"/>
      <c r="I161" s="54"/>
    </row>
    <row r="162" spans="2:9" x14ac:dyDescent="0.25">
      <c r="B162" s="53" t="s">
        <v>108</v>
      </c>
      <c r="C162" s="52" t="s">
        <v>107</v>
      </c>
    </row>
    <row r="163" spans="2:9" x14ac:dyDescent="0.25">
      <c r="B163" s="53"/>
      <c r="C163" s="52"/>
    </row>
  </sheetData>
  <mergeCells count="34">
    <mergeCell ref="B116:E116"/>
    <mergeCell ref="D62:D63"/>
    <mergeCell ref="E62:E63"/>
    <mergeCell ref="B109:E109"/>
    <mergeCell ref="B112:F112"/>
    <mergeCell ref="B10:G10"/>
    <mergeCell ref="B11:B12"/>
    <mergeCell ref="C11:C12"/>
    <mergeCell ref="D11:D12"/>
    <mergeCell ref="E11:E12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G133:H133"/>
    <mergeCell ref="B134:E134"/>
    <mergeCell ref="B138:F138"/>
    <mergeCell ref="G138:G140"/>
    <mergeCell ref="H138:H140"/>
    <mergeCell ref="B133:E133"/>
    <mergeCell ref="B160:E160"/>
    <mergeCell ref="G160:H160"/>
    <mergeCell ref="B161:E161"/>
    <mergeCell ref="I138:I140"/>
    <mergeCell ref="B139:B140"/>
    <mergeCell ref="C139:C140"/>
    <mergeCell ref="D139:D140"/>
    <mergeCell ref="B142:E14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topLeftCell="A85" workbookViewId="0">
      <selection activeCell="H7" sqref="H7"/>
    </sheetView>
  </sheetViews>
  <sheetFormatPr defaultColWidth="12.5703125" defaultRowHeight="15" x14ac:dyDescent="0.25"/>
  <cols>
    <col min="1" max="1" width="12.5703125" style="13"/>
    <col min="2" max="2" width="5.7109375" style="13" customWidth="1"/>
    <col min="3" max="3" width="43.28515625" style="104" customWidth="1"/>
    <col min="4" max="4" width="8.85546875" style="13" customWidth="1"/>
    <col min="5" max="5" width="11.5703125" style="103" customWidth="1"/>
    <col min="6" max="6" width="12.5703125" style="102"/>
    <col min="7" max="7" width="40.28515625" style="13" customWidth="1"/>
    <col min="8" max="8" width="16.28515625" style="101" customWidth="1"/>
    <col min="9" max="9" width="11.28515625" style="100" customWidth="1"/>
    <col min="10" max="16384" width="12.5703125" style="13"/>
  </cols>
  <sheetData>
    <row r="1" spans="2:16" x14ac:dyDescent="0.25">
      <c r="B1" s="134"/>
    </row>
    <row r="2" spans="2:16" x14ac:dyDescent="0.25">
      <c r="C2" s="380" t="s">
        <v>292</v>
      </c>
      <c r="D2" s="1022">
        <f>F25</f>
        <v>3750.4600000000005</v>
      </c>
      <c r="E2" s="1022"/>
    </row>
    <row r="3" spans="2:16" x14ac:dyDescent="0.25">
      <c r="C3" s="380" t="s">
        <v>291</v>
      </c>
      <c r="D3" s="1022">
        <f>F80</f>
        <v>44513.950000000004</v>
      </c>
      <c r="E3" s="1022"/>
    </row>
    <row r="4" spans="2:16" x14ac:dyDescent="0.25">
      <c r="C4" s="380" t="s">
        <v>290</v>
      </c>
      <c r="D4" s="1022">
        <f>I52</f>
        <v>9618.9810000000016</v>
      </c>
      <c r="E4" s="1022"/>
    </row>
    <row r="5" spans="2:16" x14ac:dyDescent="0.25">
      <c r="C5" s="380" t="s">
        <v>289</v>
      </c>
      <c r="D5" s="1022">
        <f>I116</f>
        <v>82156.172500000015</v>
      </c>
      <c r="E5" s="1022"/>
      <c r="F5" s="378"/>
      <c r="G5" s="188"/>
    </row>
    <row r="6" spans="2:16" x14ac:dyDescent="0.25">
      <c r="C6" s="381" t="s">
        <v>288</v>
      </c>
      <c r="D6" s="1023">
        <f>D2+D3</f>
        <v>48264.41</v>
      </c>
      <c r="E6" s="1023"/>
      <c r="F6" s="379"/>
      <c r="G6" s="91" t="s">
        <v>286</v>
      </c>
      <c r="H6" s="486">
        <f>D4+D5</f>
        <v>91775.153500000015</v>
      </c>
      <c r="I6" s="487"/>
    </row>
    <row r="7" spans="2:16" x14ac:dyDescent="0.25">
      <c r="C7" s="95" t="s">
        <v>1216</v>
      </c>
      <c r="D7" s="1025">
        <v>9.2618000000000006E-2</v>
      </c>
      <c r="E7" s="1026"/>
      <c r="F7" s="379"/>
      <c r="G7" s="91" t="s">
        <v>1216</v>
      </c>
      <c r="H7" s="467">
        <f>'custos unitários para atualizar'!$B$4</f>
        <v>0.12956699999999999</v>
      </c>
      <c r="I7" s="488"/>
    </row>
    <row r="8" spans="2:16" x14ac:dyDescent="0.25">
      <c r="C8" s="95" t="s">
        <v>1217</v>
      </c>
      <c r="D8" s="1027">
        <f>D6*(1+D7)</f>
        <v>52734.563125380009</v>
      </c>
      <c r="E8" s="1028"/>
      <c r="F8" s="379"/>
      <c r="G8" s="91" t="s">
        <v>1217</v>
      </c>
      <c r="H8" s="484">
        <f>H6*(1+H7)</f>
        <v>103666.18481353452</v>
      </c>
      <c r="I8" s="485"/>
    </row>
    <row r="9" spans="2:16" x14ac:dyDescent="0.25">
      <c r="C9" s="382" t="s">
        <v>287</v>
      </c>
      <c r="D9" s="1024">
        <f>F52+F116</f>
        <v>755255.85999999975</v>
      </c>
      <c r="E9" s="1024"/>
      <c r="F9" s="379"/>
      <c r="G9" s="184"/>
      <c r="H9" s="133"/>
    </row>
    <row r="10" spans="2:16" x14ac:dyDescent="0.25">
      <c r="C10" s="13"/>
      <c r="E10" s="13"/>
      <c r="F10" s="378"/>
      <c r="G10" s="188"/>
    </row>
    <row r="11" spans="2:16" ht="15.75" thickBot="1" x14ac:dyDescent="0.3"/>
    <row r="12" spans="2:16" ht="15.75" thickBot="1" x14ac:dyDescent="0.3">
      <c r="B12" s="980" t="s">
        <v>285</v>
      </c>
      <c r="C12" s="981"/>
      <c r="D12" s="981"/>
      <c r="E12" s="981"/>
      <c r="F12" s="981"/>
      <c r="G12" s="1019" t="s">
        <v>284</v>
      </c>
      <c r="H12" s="1019"/>
      <c r="I12" s="1019"/>
      <c r="P12" s="444">
        <f>24551.6</f>
        <v>24551.599999999999</v>
      </c>
    </row>
    <row r="13" spans="2:16" ht="15.75" thickBot="1" x14ac:dyDescent="0.3">
      <c r="B13" s="1012" t="s">
        <v>135</v>
      </c>
      <c r="C13" s="1020" t="s">
        <v>134</v>
      </c>
      <c r="D13" s="1014" t="s">
        <v>133</v>
      </c>
      <c r="E13" s="125" t="s">
        <v>37</v>
      </c>
      <c r="F13" s="132" t="s">
        <v>37</v>
      </c>
      <c r="G13" s="1019"/>
      <c r="H13" s="1019"/>
      <c r="I13" s="1019"/>
      <c r="P13" s="444">
        <v>92900.15</v>
      </c>
    </row>
    <row r="14" spans="2:16" ht="16.5" customHeight="1" thickBot="1" x14ac:dyDescent="0.3">
      <c r="B14" s="1013"/>
      <c r="C14" s="1021"/>
      <c r="D14" s="1015"/>
      <c r="E14" s="123" t="s">
        <v>36</v>
      </c>
      <c r="F14" s="131" t="s">
        <v>132</v>
      </c>
      <c r="G14" s="1019"/>
      <c r="H14" s="1019"/>
      <c r="I14" s="1019"/>
    </row>
    <row r="15" spans="2:16" ht="15.75" thickBot="1" x14ac:dyDescent="0.3">
      <c r="B15" s="117">
        <v>1</v>
      </c>
      <c r="C15" s="116" t="s">
        <v>274</v>
      </c>
      <c r="D15" s="115">
        <v>1</v>
      </c>
      <c r="E15" s="114">
        <v>35.880000000000003</v>
      </c>
      <c r="F15" s="130">
        <v>35.880000000000003</v>
      </c>
      <c r="G15" s="1019"/>
      <c r="H15" s="1019"/>
      <c r="I15" s="1019"/>
    </row>
    <row r="16" spans="2:16" ht="15.75" thickBot="1" x14ac:dyDescent="0.3">
      <c r="B16" s="117">
        <v>2</v>
      </c>
      <c r="C16" s="116" t="s">
        <v>273</v>
      </c>
      <c r="D16" s="115">
        <v>1</v>
      </c>
      <c r="E16" s="114">
        <v>35.880000000000003</v>
      </c>
      <c r="F16" s="130">
        <v>35.880000000000003</v>
      </c>
      <c r="G16" s="1019"/>
      <c r="H16" s="1019"/>
      <c r="I16" s="1019"/>
    </row>
    <row r="17" spans="2:9" ht="15.75" thickBot="1" x14ac:dyDescent="0.3">
      <c r="B17" s="117">
        <v>3</v>
      </c>
      <c r="C17" s="116" t="s">
        <v>248</v>
      </c>
      <c r="D17" s="115">
        <v>1</v>
      </c>
      <c r="E17" s="114">
        <v>332.25</v>
      </c>
      <c r="F17" s="130">
        <v>332.25</v>
      </c>
      <c r="G17" s="1019"/>
      <c r="H17" s="1019"/>
      <c r="I17" s="1019"/>
    </row>
    <row r="18" spans="2:9" ht="15.75" thickBot="1" x14ac:dyDescent="0.3">
      <c r="B18" s="117">
        <v>4</v>
      </c>
      <c r="C18" s="116" t="s">
        <v>272</v>
      </c>
      <c r="D18" s="115">
        <v>1</v>
      </c>
      <c r="E18" s="114">
        <v>35.880000000000003</v>
      </c>
      <c r="F18" s="130">
        <v>35.880000000000003</v>
      </c>
      <c r="G18" s="1019"/>
      <c r="H18" s="1019"/>
      <c r="I18" s="1019"/>
    </row>
    <row r="19" spans="2:9" ht="15.75" thickBot="1" x14ac:dyDescent="0.3">
      <c r="B19" s="117">
        <v>5</v>
      </c>
      <c r="C19" s="116" t="s">
        <v>261</v>
      </c>
      <c r="D19" s="115">
        <v>1</v>
      </c>
      <c r="E19" s="114">
        <v>517.35</v>
      </c>
      <c r="F19" s="130">
        <v>517.35</v>
      </c>
      <c r="G19" s="1019"/>
      <c r="H19" s="1019"/>
      <c r="I19" s="1019"/>
    </row>
    <row r="20" spans="2:9" ht="15.75" thickBot="1" x14ac:dyDescent="0.3">
      <c r="B20" s="117">
        <v>6</v>
      </c>
      <c r="C20" s="116" t="s">
        <v>258</v>
      </c>
      <c r="D20" s="115">
        <v>1</v>
      </c>
      <c r="E20" s="114">
        <v>998.98</v>
      </c>
      <c r="F20" s="130">
        <v>998.98</v>
      </c>
      <c r="G20" s="1019"/>
      <c r="H20" s="1019"/>
      <c r="I20" s="1019"/>
    </row>
    <row r="21" spans="2:9" ht="15.75" thickBot="1" x14ac:dyDescent="0.3">
      <c r="B21" s="117">
        <v>7</v>
      </c>
      <c r="C21" s="116" t="s">
        <v>259</v>
      </c>
      <c r="D21" s="115">
        <v>1</v>
      </c>
      <c r="E21" s="114">
        <v>600</v>
      </c>
      <c r="F21" s="130">
        <v>600</v>
      </c>
      <c r="G21" s="1019"/>
      <c r="H21" s="1019"/>
      <c r="I21" s="1019"/>
    </row>
    <row r="22" spans="2:9" ht="13.5" customHeight="1" thickBot="1" x14ac:dyDescent="0.3">
      <c r="B22" s="117">
        <v>8</v>
      </c>
      <c r="C22" s="116" t="s">
        <v>260</v>
      </c>
      <c r="D22" s="115">
        <v>1</v>
      </c>
      <c r="E22" s="114">
        <v>573.75</v>
      </c>
      <c r="F22" s="130">
        <v>573.75</v>
      </c>
      <c r="G22" s="1019"/>
      <c r="H22" s="1019"/>
      <c r="I22" s="1019"/>
    </row>
    <row r="23" spans="2:9" ht="23.25" thickBot="1" x14ac:dyDescent="0.3">
      <c r="B23" s="117">
        <v>9</v>
      </c>
      <c r="C23" s="116" t="s">
        <v>262</v>
      </c>
      <c r="D23" s="115">
        <v>1</v>
      </c>
      <c r="E23" s="114">
        <v>382.9</v>
      </c>
      <c r="F23" s="114">
        <v>382.9</v>
      </c>
      <c r="G23" s="970" t="s">
        <v>146</v>
      </c>
      <c r="H23" s="970" t="s">
        <v>137</v>
      </c>
      <c r="I23" s="970" t="s">
        <v>136</v>
      </c>
    </row>
    <row r="24" spans="2:9" ht="15.75" thickBot="1" x14ac:dyDescent="0.3">
      <c r="B24" s="117">
        <v>10</v>
      </c>
      <c r="C24" s="116" t="s">
        <v>283</v>
      </c>
      <c r="D24" s="115">
        <v>1</v>
      </c>
      <c r="E24" s="114">
        <v>237.59</v>
      </c>
      <c r="F24" s="114">
        <v>237.59</v>
      </c>
      <c r="G24" s="971"/>
      <c r="H24" s="971"/>
      <c r="I24" s="971"/>
    </row>
    <row r="25" spans="2:9" ht="13.5" customHeight="1" thickBot="1" x14ac:dyDescent="0.3">
      <c r="B25" s="997" t="s">
        <v>257</v>
      </c>
      <c r="C25" s="998"/>
      <c r="D25" s="998"/>
      <c r="E25" s="999"/>
      <c r="F25" s="121">
        <f>SUM(F15:F24)</f>
        <v>3750.4600000000005</v>
      </c>
      <c r="G25" s="972"/>
      <c r="H25" s="972"/>
      <c r="I25" s="972"/>
    </row>
    <row r="26" spans="2:9" ht="15.75" thickBot="1" x14ac:dyDescent="0.3">
      <c r="B26" s="117">
        <v>1</v>
      </c>
      <c r="C26" s="116" t="s">
        <v>255</v>
      </c>
      <c r="D26" s="115">
        <v>1</v>
      </c>
      <c r="E26" s="114">
        <v>575</v>
      </c>
      <c r="F26" s="114">
        <v>575</v>
      </c>
      <c r="G26" s="108">
        <v>82</v>
      </c>
      <c r="H26" s="129">
        <v>5</v>
      </c>
      <c r="I26" s="112">
        <f t="shared" ref="I26:I51" si="0">F26/H26</f>
        <v>115</v>
      </c>
    </row>
    <row r="27" spans="2:9" ht="15.75" thickBot="1" x14ac:dyDescent="0.3">
      <c r="B27" s="117">
        <v>2</v>
      </c>
      <c r="C27" s="116" t="s">
        <v>256</v>
      </c>
      <c r="D27" s="115">
        <v>1</v>
      </c>
      <c r="E27" s="114">
        <v>600</v>
      </c>
      <c r="F27" s="114">
        <v>600</v>
      </c>
      <c r="G27" s="108">
        <v>82</v>
      </c>
      <c r="H27" s="129">
        <v>5</v>
      </c>
      <c r="I27" s="112">
        <f t="shared" si="0"/>
        <v>120</v>
      </c>
    </row>
    <row r="28" spans="2:9" ht="15.75" thickBot="1" x14ac:dyDescent="0.3">
      <c r="B28" s="117">
        <v>3</v>
      </c>
      <c r="C28" s="116" t="s">
        <v>254</v>
      </c>
      <c r="D28" s="115">
        <v>1</v>
      </c>
      <c r="E28" s="114">
        <v>332.25</v>
      </c>
      <c r="F28" s="114">
        <v>332.25</v>
      </c>
      <c r="G28" s="108">
        <v>84</v>
      </c>
      <c r="H28" s="129">
        <v>10</v>
      </c>
      <c r="I28" s="112">
        <f t="shared" si="0"/>
        <v>33.225000000000001</v>
      </c>
    </row>
    <row r="29" spans="2:9" ht="15.75" thickBot="1" x14ac:dyDescent="0.3">
      <c r="B29" s="117">
        <v>4</v>
      </c>
      <c r="C29" s="116" t="s">
        <v>253</v>
      </c>
      <c r="D29" s="115">
        <v>1</v>
      </c>
      <c r="E29" s="114">
        <v>3927</v>
      </c>
      <c r="F29" s="114">
        <v>3927</v>
      </c>
      <c r="G29" s="108"/>
      <c r="H29" s="129">
        <v>5</v>
      </c>
      <c r="I29" s="112">
        <f t="shared" si="0"/>
        <v>785.4</v>
      </c>
    </row>
    <row r="30" spans="2:9" ht="15.75" thickBot="1" x14ac:dyDescent="0.3">
      <c r="B30" s="117">
        <v>5</v>
      </c>
      <c r="C30" s="116" t="s">
        <v>250</v>
      </c>
      <c r="D30" s="115">
        <v>1</v>
      </c>
      <c r="E30" s="114">
        <v>332.25</v>
      </c>
      <c r="F30" s="114">
        <v>332.25</v>
      </c>
      <c r="G30" s="108"/>
      <c r="H30" s="129">
        <v>5</v>
      </c>
      <c r="I30" s="112">
        <f t="shared" si="0"/>
        <v>66.45</v>
      </c>
    </row>
    <row r="31" spans="2:9" ht="15.75" thickBot="1" x14ac:dyDescent="0.3">
      <c r="B31" s="117">
        <v>6</v>
      </c>
      <c r="C31" s="116" t="s">
        <v>282</v>
      </c>
      <c r="D31" s="115">
        <v>1</v>
      </c>
      <c r="E31" s="114">
        <v>3927</v>
      </c>
      <c r="F31" s="114">
        <v>3927</v>
      </c>
      <c r="G31" s="108">
        <v>84</v>
      </c>
      <c r="H31" s="129">
        <v>10</v>
      </c>
      <c r="I31" s="112">
        <f t="shared" si="0"/>
        <v>392.7</v>
      </c>
    </row>
    <row r="32" spans="2:9" ht="15.75" thickBot="1" x14ac:dyDescent="0.3">
      <c r="B32" s="117">
        <v>7</v>
      </c>
      <c r="C32" s="116" t="s">
        <v>247</v>
      </c>
      <c r="D32" s="115">
        <v>1</v>
      </c>
      <c r="E32" s="114">
        <v>1315</v>
      </c>
      <c r="F32" s="114">
        <v>1315</v>
      </c>
      <c r="G32" s="108">
        <v>84</v>
      </c>
      <c r="H32" s="129">
        <v>10</v>
      </c>
      <c r="I32" s="112">
        <f t="shared" si="0"/>
        <v>131.5</v>
      </c>
    </row>
    <row r="33" spans="2:10" ht="15.75" thickBot="1" x14ac:dyDescent="0.3">
      <c r="B33" s="117">
        <v>8</v>
      </c>
      <c r="C33" s="116" t="s">
        <v>246</v>
      </c>
      <c r="D33" s="115">
        <v>1</v>
      </c>
      <c r="E33" s="114">
        <v>307.99</v>
      </c>
      <c r="F33" s="114">
        <v>307.99</v>
      </c>
      <c r="G33" s="108"/>
      <c r="H33" s="129">
        <v>10</v>
      </c>
      <c r="I33" s="112">
        <f t="shared" si="0"/>
        <v>30.798999999999999</v>
      </c>
    </row>
    <row r="34" spans="2:10" ht="15.75" thickBot="1" x14ac:dyDescent="0.3">
      <c r="B34" s="117">
        <v>9</v>
      </c>
      <c r="C34" s="116" t="s">
        <v>245</v>
      </c>
      <c r="D34" s="115">
        <v>1</v>
      </c>
      <c r="E34" s="114">
        <v>288.8</v>
      </c>
      <c r="F34" s="114">
        <v>288.8</v>
      </c>
      <c r="G34" s="108"/>
      <c r="H34" s="129">
        <v>10</v>
      </c>
      <c r="I34" s="112">
        <f t="shared" si="0"/>
        <v>28.880000000000003</v>
      </c>
    </row>
    <row r="35" spans="2:10" ht="15.75" thickBot="1" x14ac:dyDescent="0.3">
      <c r="B35" s="117">
        <v>10</v>
      </c>
      <c r="C35" s="116" t="s">
        <v>243</v>
      </c>
      <c r="D35" s="115">
        <v>1</v>
      </c>
      <c r="E35" s="114">
        <v>387.19</v>
      </c>
      <c r="F35" s="114">
        <v>387.19</v>
      </c>
      <c r="G35" s="108">
        <v>84</v>
      </c>
      <c r="H35" s="129">
        <v>10</v>
      </c>
      <c r="I35" s="112">
        <f t="shared" si="0"/>
        <v>38.719000000000001</v>
      </c>
    </row>
    <row r="36" spans="2:10" ht="15.75" thickBot="1" x14ac:dyDescent="0.3">
      <c r="B36" s="117">
        <v>11</v>
      </c>
      <c r="C36" s="116" t="s">
        <v>241</v>
      </c>
      <c r="D36" s="115">
        <v>1</v>
      </c>
      <c r="E36" s="114">
        <v>3499</v>
      </c>
      <c r="F36" s="114">
        <v>3499</v>
      </c>
      <c r="G36" s="108"/>
      <c r="H36" s="129">
        <v>5</v>
      </c>
      <c r="I36" s="112">
        <f t="shared" si="0"/>
        <v>699.8</v>
      </c>
    </row>
    <row r="37" spans="2:10" ht="15.75" thickBot="1" x14ac:dyDescent="0.3">
      <c r="B37" s="117">
        <v>12</v>
      </c>
      <c r="C37" s="116" t="s">
        <v>240</v>
      </c>
      <c r="D37" s="115">
        <v>1</v>
      </c>
      <c r="E37" s="114">
        <v>241.2</v>
      </c>
      <c r="F37" s="114">
        <v>241.2</v>
      </c>
      <c r="G37" s="108"/>
      <c r="H37" s="129">
        <v>5</v>
      </c>
      <c r="I37" s="112">
        <f t="shared" si="0"/>
        <v>48.239999999999995</v>
      </c>
    </row>
    <row r="38" spans="2:10" ht="15.75" thickBot="1" x14ac:dyDescent="0.3">
      <c r="B38" s="117">
        <v>13</v>
      </c>
      <c r="C38" s="116" t="s">
        <v>239</v>
      </c>
      <c r="D38" s="115">
        <v>1</v>
      </c>
      <c r="E38" s="114">
        <v>566.32000000000005</v>
      </c>
      <c r="F38" s="114">
        <v>566.32000000000005</v>
      </c>
      <c r="G38" s="108"/>
      <c r="H38" s="129">
        <v>5</v>
      </c>
      <c r="I38" s="112">
        <f t="shared" si="0"/>
        <v>113.26400000000001</v>
      </c>
    </row>
    <row r="39" spans="2:10" ht="15.75" thickBot="1" x14ac:dyDescent="0.3">
      <c r="B39" s="117">
        <v>14</v>
      </c>
      <c r="C39" s="116" t="s">
        <v>238</v>
      </c>
      <c r="D39" s="115">
        <v>1</v>
      </c>
      <c r="E39" s="114">
        <v>79</v>
      </c>
      <c r="F39" s="114">
        <v>79</v>
      </c>
      <c r="G39" s="108">
        <v>84</v>
      </c>
      <c r="H39" s="129">
        <v>10</v>
      </c>
      <c r="I39" s="112">
        <f t="shared" si="0"/>
        <v>7.9</v>
      </c>
    </row>
    <row r="40" spans="2:10" ht="15.75" thickBot="1" x14ac:dyDescent="0.3">
      <c r="B40" s="117">
        <v>15</v>
      </c>
      <c r="C40" s="116" t="s">
        <v>236</v>
      </c>
      <c r="D40" s="115">
        <v>1</v>
      </c>
      <c r="E40" s="114">
        <v>8325</v>
      </c>
      <c r="F40" s="114">
        <v>8325</v>
      </c>
      <c r="G40" s="108"/>
      <c r="H40" s="129">
        <v>5</v>
      </c>
      <c r="I40" s="112">
        <f t="shared" si="0"/>
        <v>1665</v>
      </c>
    </row>
    <row r="41" spans="2:10" ht="15.75" thickBot="1" x14ac:dyDescent="0.3">
      <c r="B41" s="117">
        <v>16</v>
      </c>
      <c r="C41" s="116" t="s">
        <v>235</v>
      </c>
      <c r="D41" s="115">
        <v>1</v>
      </c>
      <c r="E41" s="114">
        <v>2953</v>
      </c>
      <c r="F41" s="114">
        <v>2953</v>
      </c>
      <c r="G41" s="108"/>
      <c r="H41" s="129">
        <v>5</v>
      </c>
      <c r="I41" s="112">
        <f t="shared" si="0"/>
        <v>590.6</v>
      </c>
    </row>
    <row r="42" spans="2:10" ht="15.75" thickBot="1" x14ac:dyDescent="0.3">
      <c r="B42" s="117">
        <v>17</v>
      </c>
      <c r="C42" s="116" t="s">
        <v>234</v>
      </c>
      <c r="D42" s="115">
        <v>1</v>
      </c>
      <c r="E42" s="114">
        <v>18466.29</v>
      </c>
      <c r="F42" s="114">
        <v>18466.29</v>
      </c>
      <c r="G42" s="108"/>
      <c r="H42" s="129">
        <v>5</v>
      </c>
      <c r="I42" s="112">
        <f t="shared" si="0"/>
        <v>3693.2580000000003</v>
      </c>
      <c r="J42" s="118">
        <f>F42/$D$9</f>
        <v>2.4450376326772237E-2</v>
      </c>
    </row>
    <row r="43" spans="2:10" ht="15.75" thickBot="1" x14ac:dyDescent="0.3">
      <c r="B43" s="117">
        <v>18</v>
      </c>
      <c r="C43" s="116" t="s">
        <v>233</v>
      </c>
      <c r="D43" s="115">
        <v>1</v>
      </c>
      <c r="E43" s="114">
        <v>972.91</v>
      </c>
      <c r="F43" s="114">
        <v>972.91</v>
      </c>
      <c r="G43" s="108">
        <v>82</v>
      </c>
      <c r="H43" s="129">
        <v>5</v>
      </c>
      <c r="I43" s="112">
        <f t="shared" si="0"/>
        <v>194.58199999999999</v>
      </c>
    </row>
    <row r="44" spans="2:10" ht="15.75" thickBot="1" x14ac:dyDescent="0.3">
      <c r="B44" s="117">
        <v>19</v>
      </c>
      <c r="C44" s="116" t="s">
        <v>230</v>
      </c>
      <c r="D44" s="115">
        <v>1</v>
      </c>
      <c r="E44" s="114">
        <v>979.99</v>
      </c>
      <c r="F44" s="114">
        <v>979.99</v>
      </c>
      <c r="G44" s="108"/>
      <c r="H44" s="129">
        <v>5</v>
      </c>
      <c r="I44" s="112">
        <f t="shared" si="0"/>
        <v>195.99799999999999</v>
      </c>
    </row>
    <row r="45" spans="2:10" ht="15.75" thickBot="1" x14ac:dyDescent="0.3">
      <c r="B45" s="117">
        <v>20</v>
      </c>
      <c r="C45" s="116" t="s">
        <v>229</v>
      </c>
      <c r="D45" s="115">
        <v>1</v>
      </c>
      <c r="E45" s="114">
        <v>603.99</v>
      </c>
      <c r="F45" s="114">
        <v>603.99</v>
      </c>
      <c r="G45" s="108"/>
      <c r="H45" s="129">
        <v>5</v>
      </c>
      <c r="I45" s="112">
        <f t="shared" si="0"/>
        <v>120.798</v>
      </c>
    </row>
    <row r="46" spans="2:10" ht="15.75" thickBot="1" x14ac:dyDescent="0.3">
      <c r="B46" s="117">
        <v>21</v>
      </c>
      <c r="C46" s="116" t="s">
        <v>228</v>
      </c>
      <c r="D46" s="115">
        <v>1</v>
      </c>
      <c r="E46" s="114">
        <v>1100</v>
      </c>
      <c r="F46" s="114">
        <v>1100</v>
      </c>
      <c r="G46" s="108">
        <v>90</v>
      </c>
      <c r="H46" s="129">
        <v>10</v>
      </c>
      <c r="I46" s="112">
        <f t="shared" si="0"/>
        <v>110</v>
      </c>
    </row>
    <row r="47" spans="2:10" ht="15.75" thickBot="1" x14ac:dyDescent="0.3">
      <c r="B47" s="117">
        <v>22</v>
      </c>
      <c r="C47" s="116" t="s">
        <v>227</v>
      </c>
      <c r="D47" s="115">
        <v>1</v>
      </c>
      <c r="E47" s="114">
        <v>209.9</v>
      </c>
      <c r="F47" s="114">
        <v>209.9</v>
      </c>
      <c r="G47" s="108"/>
      <c r="H47" s="129">
        <v>5</v>
      </c>
      <c r="I47" s="112">
        <f t="shared" si="0"/>
        <v>41.980000000000004</v>
      </c>
    </row>
    <row r="48" spans="2:10" ht="15.75" thickBot="1" x14ac:dyDescent="0.3">
      <c r="B48" s="117">
        <v>23</v>
      </c>
      <c r="C48" s="116" t="s">
        <v>226</v>
      </c>
      <c r="D48" s="115">
        <v>1</v>
      </c>
      <c r="E48" s="114">
        <v>420</v>
      </c>
      <c r="F48" s="114">
        <v>420</v>
      </c>
      <c r="G48" s="108"/>
      <c r="H48" s="129">
        <v>5</v>
      </c>
      <c r="I48" s="112">
        <f t="shared" si="0"/>
        <v>84</v>
      </c>
    </row>
    <row r="49" spans="2:9" ht="15.75" thickBot="1" x14ac:dyDescent="0.3">
      <c r="B49" s="117">
        <v>24</v>
      </c>
      <c r="C49" s="116" t="s">
        <v>224</v>
      </c>
      <c r="D49" s="115">
        <v>1</v>
      </c>
      <c r="E49" s="114">
        <v>169.1</v>
      </c>
      <c r="F49" s="114">
        <v>169.1</v>
      </c>
      <c r="G49" s="108">
        <v>90</v>
      </c>
      <c r="H49" s="129">
        <v>10</v>
      </c>
      <c r="I49" s="112">
        <f t="shared" si="0"/>
        <v>16.91</v>
      </c>
    </row>
    <row r="50" spans="2:9" ht="15.75" thickBot="1" x14ac:dyDescent="0.3">
      <c r="B50" s="117">
        <v>25</v>
      </c>
      <c r="C50" s="116" t="s">
        <v>223</v>
      </c>
      <c r="D50" s="115">
        <v>1</v>
      </c>
      <c r="E50" s="114">
        <v>1857.99</v>
      </c>
      <c r="F50" s="114">
        <v>1857.99</v>
      </c>
      <c r="G50" s="108">
        <v>84</v>
      </c>
      <c r="H50" s="129">
        <v>10</v>
      </c>
      <c r="I50" s="112">
        <f t="shared" si="0"/>
        <v>185.79900000000001</v>
      </c>
    </row>
    <row r="51" spans="2:9" ht="15.75" thickBot="1" x14ac:dyDescent="0.3">
      <c r="B51" s="117">
        <v>26</v>
      </c>
      <c r="C51" s="116" t="s">
        <v>222</v>
      </c>
      <c r="D51" s="115">
        <v>1</v>
      </c>
      <c r="E51" s="114">
        <v>1081.79</v>
      </c>
      <c r="F51" s="114">
        <v>1081.79</v>
      </c>
      <c r="G51" s="128">
        <v>84</v>
      </c>
      <c r="H51" s="127">
        <v>10</v>
      </c>
      <c r="I51" s="112">
        <f t="shared" si="0"/>
        <v>108.179</v>
      </c>
    </row>
    <row r="52" spans="2:9" ht="15.75" thickBot="1" x14ac:dyDescent="0.3">
      <c r="B52" s="1016" t="s">
        <v>221</v>
      </c>
      <c r="C52" s="1017"/>
      <c r="D52" s="1017"/>
      <c r="E52" s="1018"/>
      <c r="F52" s="126">
        <f>SUM(F26:F51)</f>
        <v>53517.96</v>
      </c>
      <c r="G52" s="965" t="s">
        <v>110</v>
      </c>
      <c r="H52" s="966"/>
      <c r="I52" s="110">
        <f>SUM(I26:I51)</f>
        <v>9618.9810000000016</v>
      </c>
    </row>
    <row r="53" spans="2:9" ht="15.75" thickBot="1" x14ac:dyDescent="0.3">
      <c r="B53" s="1000" t="s">
        <v>281</v>
      </c>
      <c r="C53" s="1001"/>
      <c r="D53" s="1001"/>
      <c r="E53" s="1002"/>
      <c r="F53" s="109">
        <f>F25+F52</f>
        <v>57268.42</v>
      </c>
    </row>
    <row r="54" spans="2:9" x14ac:dyDescent="0.25">
      <c r="B54" s="85" t="s">
        <v>108</v>
      </c>
      <c r="C54" s="105" t="s">
        <v>219</v>
      </c>
    </row>
    <row r="55" spans="2:9" ht="15.75" thickBot="1" x14ac:dyDescent="0.3"/>
    <row r="56" spans="2:9" ht="13.5" customHeight="1" thickBot="1" x14ac:dyDescent="0.3">
      <c r="B56" s="980" t="s">
        <v>280</v>
      </c>
      <c r="C56" s="981"/>
      <c r="D56" s="981"/>
      <c r="E56" s="981"/>
      <c r="F56" s="982"/>
      <c r="G56" s="1003" t="s">
        <v>279</v>
      </c>
      <c r="H56" s="1004"/>
      <c r="I56" s="1005"/>
    </row>
    <row r="57" spans="2:9" x14ac:dyDescent="0.25">
      <c r="B57" s="1012" t="s">
        <v>135</v>
      </c>
      <c r="C57" s="1014" t="s">
        <v>134</v>
      </c>
      <c r="D57" s="1014" t="s">
        <v>133</v>
      </c>
      <c r="E57" s="125" t="s">
        <v>37</v>
      </c>
      <c r="F57" s="124" t="s">
        <v>37</v>
      </c>
      <c r="G57" s="1006"/>
      <c r="H57" s="1007"/>
      <c r="I57" s="1008"/>
    </row>
    <row r="58" spans="2:9" ht="15.75" thickBot="1" x14ac:dyDescent="0.3">
      <c r="B58" s="1013"/>
      <c r="C58" s="1015"/>
      <c r="D58" s="1015"/>
      <c r="E58" s="123" t="s">
        <v>36</v>
      </c>
      <c r="F58" s="122" t="s">
        <v>132</v>
      </c>
      <c r="G58" s="1006"/>
      <c r="H58" s="1007"/>
      <c r="I58" s="1008"/>
    </row>
    <row r="59" spans="2:9" ht="15.75" thickBot="1" x14ac:dyDescent="0.3">
      <c r="B59" s="117">
        <v>1</v>
      </c>
      <c r="C59" s="116" t="s">
        <v>278</v>
      </c>
      <c r="D59" s="115">
        <v>5</v>
      </c>
      <c r="E59" s="114">
        <v>22.41</v>
      </c>
      <c r="F59" s="113">
        <v>112.05</v>
      </c>
      <c r="G59" s="1006"/>
      <c r="H59" s="1007"/>
      <c r="I59" s="1008"/>
    </row>
    <row r="60" spans="2:9" ht="15.75" thickBot="1" x14ac:dyDescent="0.3">
      <c r="B60" s="117">
        <v>2</v>
      </c>
      <c r="C60" s="116" t="s">
        <v>277</v>
      </c>
      <c r="D60" s="115">
        <v>50</v>
      </c>
      <c r="E60" s="114">
        <v>25.46</v>
      </c>
      <c r="F60" s="113">
        <v>1273</v>
      </c>
      <c r="G60" s="1006"/>
      <c r="H60" s="1007"/>
      <c r="I60" s="1008"/>
    </row>
    <row r="61" spans="2:9" ht="15.75" thickBot="1" x14ac:dyDescent="0.3">
      <c r="B61" s="117">
        <v>3</v>
      </c>
      <c r="C61" s="116" t="s">
        <v>276</v>
      </c>
      <c r="D61" s="115">
        <v>50</v>
      </c>
      <c r="E61" s="114">
        <v>29.2</v>
      </c>
      <c r="F61" s="113">
        <v>1460</v>
      </c>
      <c r="G61" s="1006"/>
      <c r="H61" s="1007"/>
      <c r="I61" s="1008"/>
    </row>
    <row r="62" spans="2:9" ht="15.75" thickBot="1" x14ac:dyDescent="0.3">
      <c r="B62" s="117">
        <v>4</v>
      </c>
      <c r="C62" s="116" t="s">
        <v>275</v>
      </c>
      <c r="D62" s="115">
        <v>50</v>
      </c>
      <c r="E62" s="114">
        <v>30.18</v>
      </c>
      <c r="F62" s="113">
        <v>1509</v>
      </c>
      <c r="G62" s="1006"/>
      <c r="H62" s="1007"/>
      <c r="I62" s="1008"/>
    </row>
    <row r="63" spans="2:9" ht="15.75" thickBot="1" x14ac:dyDescent="0.3">
      <c r="B63" s="117">
        <v>5</v>
      </c>
      <c r="C63" s="116" t="s">
        <v>274</v>
      </c>
      <c r="D63" s="115">
        <v>5</v>
      </c>
      <c r="E63" s="114">
        <v>35.880000000000003</v>
      </c>
      <c r="F63" s="113">
        <v>179.4</v>
      </c>
      <c r="G63" s="1006"/>
      <c r="H63" s="1007"/>
      <c r="I63" s="1008"/>
    </row>
    <row r="64" spans="2:9" ht="15.75" thickBot="1" x14ac:dyDescent="0.3">
      <c r="B64" s="117">
        <v>6</v>
      </c>
      <c r="C64" s="116" t="s">
        <v>273</v>
      </c>
      <c r="D64" s="115">
        <v>5</v>
      </c>
      <c r="E64" s="114">
        <v>35.880000000000003</v>
      </c>
      <c r="F64" s="113">
        <v>179.4</v>
      </c>
      <c r="G64" s="1006"/>
      <c r="H64" s="1007"/>
      <c r="I64" s="1008"/>
    </row>
    <row r="65" spans="2:9" ht="15.75" thickBot="1" x14ac:dyDescent="0.3">
      <c r="B65" s="117">
        <v>7</v>
      </c>
      <c r="C65" s="116" t="s">
        <v>272</v>
      </c>
      <c r="D65" s="115">
        <v>5</v>
      </c>
      <c r="E65" s="114">
        <v>35.880000000000003</v>
      </c>
      <c r="F65" s="113">
        <v>179.4</v>
      </c>
      <c r="G65" s="1006"/>
      <c r="H65" s="1007"/>
      <c r="I65" s="1008"/>
    </row>
    <row r="66" spans="2:9" ht="15.75" thickBot="1" x14ac:dyDescent="0.3">
      <c r="B66" s="117">
        <v>8</v>
      </c>
      <c r="C66" s="116" t="s">
        <v>271</v>
      </c>
      <c r="D66" s="115">
        <v>50</v>
      </c>
      <c r="E66" s="114">
        <v>42.21</v>
      </c>
      <c r="F66" s="113">
        <v>2110.5</v>
      </c>
      <c r="G66" s="1006"/>
      <c r="H66" s="1007"/>
      <c r="I66" s="1008"/>
    </row>
    <row r="67" spans="2:9" ht="15.75" thickBot="1" x14ac:dyDescent="0.3">
      <c r="B67" s="117">
        <v>9</v>
      </c>
      <c r="C67" s="116" t="s">
        <v>270</v>
      </c>
      <c r="D67" s="115">
        <v>50</v>
      </c>
      <c r="E67" s="114">
        <v>49.9</v>
      </c>
      <c r="F67" s="113">
        <v>2495</v>
      </c>
      <c r="G67" s="1006"/>
      <c r="H67" s="1007"/>
      <c r="I67" s="1008"/>
    </row>
    <row r="68" spans="2:9" ht="15.75" thickBot="1" x14ac:dyDescent="0.3">
      <c r="B68" s="117">
        <v>10</v>
      </c>
      <c r="C68" s="116" t="s">
        <v>269</v>
      </c>
      <c r="D68" s="115">
        <v>25</v>
      </c>
      <c r="E68" s="114">
        <v>60.12</v>
      </c>
      <c r="F68" s="113">
        <v>1503</v>
      </c>
      <c r="G68" s="1006"/>
      <c r="H68" s="1007"/>
      <c r="I68" s="1008"/>
    </row>
    <row r="69" spans="2:9" ht="15.75" thickBot="1" x14ac:dyDescent="0.3">
      <c r="B69" s="117">
        <v>11</v>
      </c>
      <c r="C69" s="116" t="s">
        <v>268</v>
      </c>
      <c r="D69" s="115">
        <v>50</v>
      </c>
      <c r="E69" s="114">
        <v>62</v>
      </c>
      <c r="F69" s="113">
        <v>3100</v>
      </c>
      <c r="G69" s="1006"/>
      <c r="H69" s="1007"/>
      <c r="I69" s="1008"/>
    </row>
    <row r="70" spans="2:9" ht="15.75" thickBot="1" x14ac:dyDescent="0.3">
      <c r="B70" s="117">
        <v>12</v>
      </c>
      <c r="C70" s="116" t="s">
        <v>267</v>
      </c>
      <c r="D70" s="115">
        <v>25</v>
      </c>
      <c r="E70" s="114">
        <v>188.56</v>
      </c>
      <c r="F70" s="113">
        <v>4714</v>
      </c>
      <c r="G70" s="1006"/>
      <c r="H70" s="1007"/>
      <c r="I70" s="1008"/>
    </row>
    <row r="71" spans="2:9" ht="15.75" thickBot="1" x14ac:dyDescent="0.3">
      <c r="B71" s="117">
        <v>13</v>
      </c>
      <c r="C71" s="116" t="s">
        <v>266</v>
      </c>
      <c r="D71" s="115">
        <v>15</v>
      </c>
      <c r="E71" s="114">
        <v>209.99</v>
      </c>
      <c r="F71" s="113">
        <v>3149.8500000000004</v>
      </c>
      <c r="G71" s="1006"/>
      <c r="H71" s="1007"/>
      <c r="I71" s="1008"/>
    </row>
    <row r="72" spans="2:9" ht="15.75" thickBot="1" x14ac:dyDescent="0.3">
      <c r="B72" s="117">
        <v>14</v>
      </c>
      <c r="C72" s="116" t="s">
        <v>265</v>
      </c>
      <c r="D72" s="115">
        <v>5</v>
      </c>
      <c r="E72" s="114">
        <v>214.5</v>
      </c>
      <c r="F72" s="113">
        <v>1072.5</v>
      </c>
      <c r="G72" s="1006"/>
      <c r="H72" s="1007"/>
      <c r="I72" s="1008"/>
    </row>
    <row r="73" spans="2:9" s="21" customFormat="1" ht="15.75" thickBot="1" x14ac:dyDescent="0.3">
      <c r="B73" s="117">
        <v>15</v>
      </c>
      <c r="C73" s="116" t="s">
        <v>264</v>
      </c>
      <c r="D73" s="115">
        <v>5</v>
      </c>
      <c r="E73" s="114">
        <v>219</v>
      </c>
      <c r="F73" s="113">
        <v>1095</v>
      </c>
      <c r="G73" s="1006"/>
      <c r="H73" s="1007"/>
      <c r="I73" s="1008"/>
    </row>
    <row r="74" spans="2:9" ht="15.75" thickBot="1" x14ac:dyDescent="0.3">
      <c r="B74" s="117">
        <v>16</v>
      </c>
      <c r="C74" s="116" t="s">
        <v>263</v>
      </c>
      <c r="D74" s="115">
        <v>5</v>
      </c>
      <c r="E74" s="114">
        <v>237.59</v>
      </c>
      <c r="F74" s="113">
        <v>1187.95</v>
      </c>
      <c r="G74" s="1006"/>
      <c r="H74" s="1007"/>
      <c r="I74" s="1008"/>
    </row>
    <row r="75" spans="2:9" ht="23.25" thickBot="1" x14ac:dyDescent="0.3">
      <c r="B75" s="117">
        <v>17</v>
      </c>
      <c r="C75" s="116" t="s">
        <v>262</v>
      </c>
      <c r="D75" s="115">
        <v>15</v>
      </c>
      <c r="E75" s="114">
        <v>382.9</v>
      </c>
      <c r="F75" s="113">
        <v>5743.5</v>
      </c>
      <c r="G75" s="1006"/>
      <c r="H75" s="1007"/>
      <c r="I75" s="1008"/>
    </row>
    <row r="76" spans="2:9" ht="15.75" thickBot="1" x14ac:dyDescent="0.3">
      <c r="B76" s="117">
        <v>18</v>
      </c>
      <c r="C76" s="116" t="s">
        <v>261</v>
      </c>
      <c r="D76" s="115">
        <v>5</v>
      </c>
      <c r="E76" s="114">
        <v>517.35</v>
      </c>
      <c r="F76" s="113">
        <v>2586.75</v>
      </c>
      <c r="G76" s="1006"/>
      <c r="H76" s="1007"/>
      <c r="I76" s="1008"/>
    </row>
    <row r="77" spans="2:9" ht="15.75" thickBot="1" x14ac:dyDescent="0.3">
      <c r="B77" s="117">
        <v>19</v>
      </c>
      <c r="C77" s="116" t="s">
        <v>260</v>
      </c>
      <c r="D77" s="115">
        <v>5</v>
      </c>
      <c r="E77" s="114">
        <v>573.75</v>
      </c>
      <c r="F77" s="113">
        <v>2868.75</v>
      </c>
      <c r="G77" s="1009"/>
      <c r="H77" s="1010"/>
      <c r="I77" s="1011"/>
    </row>
    <row r="78" spans="2:9" ht="15.75" thickBot="1" x14ac:dyDescent="0.3">
      <c r="B78" s="117">
        <v>20</v>
      </c>
      <c r="C78" s="116" t="s">
        <v>259</v>
      </c>
      <c r="D78" s="115">
        <v>5</v>
      </c>
      <c r="E78" s="114">
        <v>600</v>
      </c>
      <c r="F78" s="113">
        <v>3000</v>
      </c>
      <c r="G78" s="970" t="s">
        <v>146</v>
      </c>
      <c r="H78" s="970" t="s">
        <v>137</v>
      </c>
      <c r="I78" s="970" t="s">
        <v>136</v>
      </c>
    </row>
    <row r="79" spans="2:9" ht="13.5" customHeight="1" thickBot="1" x14ac:dyDescent="0.3">
      <c r="B79" s="117">
        <v>21</v>
      </c>
      <c r="C79" s="116" t="s">
        <v>258</v>
      </c>
      <c r="D79" s="115">
        <v>5</v>
      </c>
      <c r="E79" s="114">
        <v>998.98</v>
      </c>
      <c r="F79" s="113">
        <v>4994.8999999999996</v>
      </c>
      <c r="G79" s="971"/>
      <c r="H79" s="971"/>
      <c r="I79" s="971"/>
    </row>
    <row r="80" spans="2:9" ht="15.75" thickBot="1" x14ac:dyDescent="0.3">
      <c r="B80" s="997" t="s">
        <v>257</v>
      </c>
      <c r="C80" s="998"/>
      <c r="D80" s="998"/>
      <c r="E80" s="999"/>
      <c r="F80" s="121">
        <f>SUM(F59:F79)</f>
        <v>44513.950000000004</v>
      </c>
      <c r="G80" s="972"/>
      <c r="H80" s="972"/>
      <c r="I80" s="972"/>
    </row>
    <row r="81" spans="2:10" ht="15.75" thickBot="1" x14ac:dyDescent="0.3">
      <c r="B81" s="117">
        <v>1</v>
      </c>
      <c r="C81" s="116" t="s">
        <v>256</v>
      </c>
      <c r="D81" s="115">
        <v>5</v>
      </c>
      <c r="E81" s="114">
        <v>600</v>
      </c>
      <c r="F81" s="113">
        <v>3000</v>
      </c>
      <c r="G81" s="108">
        <v>82</v>
      </c>
      <c r="H81" s="107">
        <v>5</v>
      </c>
      <c r="I81" s="112">
        <f t="shared" ref="I81:I115" si="1">F81/H81</f>
        <v>600</v>
      </c>
    </row>
    <row r="82" spans="2:10" ht="15.75" thickBot="1" x14ac:dyDescent="0.3">
      <c r="B82" s="117">
        <v>2</v>
      </c>
      <c r="C82" s="116" t="s">
        <v>255</v>
      </c>
      <c r="D82" s="115">
        <v>5</v>
      </c>
      <c r="E82" s="114">
        <v>575</v>
      </c>
      <c r="F82" s="113">
        <v>2875</v>
      </c>
      <c r="G82" s="108">
        <v>82</v>
      </c>
      <c r="H82" s="107">
        <v>5</v>
      </c>
      <c r="I82" s="112">
        <f t="shared" si="1"/>
        <v>575</v>
      </c>
    </row>
    <row r="83" spans="2:10" ht="15.75" thickBot="1" x14ac:dyDescent="0.3">
      <c r="B83" s="117">
        <v>3</v>
      </c>
      <c r="C83" s="116" t="s">
        <v>254</v>
      </c>
      <c r="D83" s="115">
        <v>5</v>
      </c>
      <c r="E83" s="114">
        <v>332.25</v>
      </c>
      <c r="F83" s="113">
        <v>1661.25</v>
      </c>
      <c r="G83" s="108"/>
      <c r="H83" s="107">
        <v>5</v>
      </c>
      <c r="I83" s="112">
        <f t="shared" si="1"/>
        <v>332.25</v>
      </c>
    </row>
    <row r="84" spans="2:10" ht="15.75" thickBot="1" x14ac:dyDescent="0.3">
      <c r="B84" s="117">
        <v>4</v>
      </c>
      <c r="C84" s="116" t="s">
        <v>253</v>
      </c>
      <c r="D84" s="115">
        <v>5</v>
      </c>
      <c r="E84" s="114">
        <v>3927</v>
      </c>
      <c r="F84" s="113">
        <v>19635</v>
      </c>
      <c r="G84" s="108"/>
      <c r="H84" s="107">
        <v>5</v>
      </c>
      <c r="I84" s="112">
        <f t="shared" si="1"/>
        <v>3927</v>
      </c>
    </row>
    <row r="85" spans="2:10" ht="15.75" thickBot="1" x14ac:dyDescent="0.3">
      <c r="B85" s="117">
        <v>5</v>
      </c>
      <c r="C85" s="116" t="s">
        <v>252</v>
      </c>
      <c r="D85" s="115">
        <v>5</v>
      </c>
      <c r="E85" s="114">
        <v>1053.1500000000001</v>
      </c>
      <c r="F85" s="113">
        <v>5265.75</v>
      </c>
      <c r="G85" s="108"/>
      <c r="H85" s="107">
        <v>20</v>
      </c>
      <c r="I85" s="112">
        <f t="shared" si="1"/>
        <v>263.28750000000002</v>
      </c>
    </row>
    <row r="86" spans="2:10" ht="15.75" thickBot="1" x14ac:dyDescent="0.3">
      <c r="B86" s="117">
        <v>6</v>
      </c>
      <c r="C86" s="120" t="s">
        <v>251</v>
      </c>
      <c r="D86" s="119">
        <v>28</v>
      </c>
      <c r="E86" s="113">
        <v>6500</v>
      </c>
      <c r="F86" s="113">
        <f>D86*E86</f>
        <v>182000</v>
      </c>
      <c r="G86" s="108">
        <v>89</v>
      </c>
      <c r="H86" s="107">
        <v>20</v>
      </c>
      <c r="I86" s="112">
        <f t="shared" si="1"/>
        <v>9100</v>
      </c>
      <c r="J86" s="118">
        <f>F86/$D$9</f>
        <v>0.24097793825790384</v>
      </c>
    </row>
    <row r="87" spans="2:10" ht="15.75" thickBot="1" x14ac:dyDescent="0.3">
      <c r="B87" s="117">
        <v>7</v>
      </c>
      <c r="C87" s="116" t="s">
        <v>250</v>
      </c>
      <c r="D87" s="115">
        <v>5</v>
      </c>
      <c r="E87" s="114">
        <v>332.25</v>
      </c>
      <c r="F87" s="113">
        <v>1661.25</v>
      </c>
      <c r="G87" s="108"/>
      <c r="H87" s="107">
        <v>5</v>
      </c>
      <c r="I87" s="112">
        <f t="shared" si="1"/>
        <v>332.25</v>
      </c>
    </row>
    <row r="88" spans="2:10" ht="15.75" thickBot="1" x14ac:dyDescent="0.3">
      <c r="B88" s="117">
        <v>8</v>
      </c>
      <c r="C88" s="116" t="s">
        <v>249</v>
      </c>
      <c r="D88" s="115">
        <v>5</v>
      </c>
      <c r="E88" s="114">
        <v>3927</v>
      </c>
      <c r="F88" s="113">
        <v>19635</v>
      </c>
      <c r="G88" s="108">
        <v>84</v>
      </c>
      <c r="H88" s="107">
        <v>10</v>
      </c>
      <c r="I88" s="112">
        <f t="shared" si="1"/>
        <v>1963.5</v>
      </c>
    </row>
    <row r="89" spans="2:10" ht="15.75" thickBot="1" x14ac:dyDescent="0.3">
      <c r="B89" s="117">
        <v>9</v>
      </c>
      <c r="C89" s="116" t="s">
        <v>248</v>
      </c>
      <c r="D89" s="115">
        <v>5</v>
      </c>
      <c r="E89" s="114">
        <v>332.25</v>
      </c>
      <c r="F89" s="113">
        <v>1661.25</v>
      </c>
      <c r="G89" s="108"/>
      <c r="H89" s="107">
        <v>10</v>
      </c>
      <c r="I89" s="112">
        <f t="shared" si="1"/>
        <v>166.125</v>
      </c>
    </row>
    <row r="90" spans="2:10" ht="15.75" thickBot="1" x14ac:dyDescent="0.3">
      <c r="B90" s="117">
        <v>10</v>
      </c>
      <c r="C90" s="116" t="s">
        <v>247</v>
      </c>
      <c r="D90" s="115">
        <v>5</v>
      </c>
      <c r="E90" s="114">
        <v>1315</v>
      </c>
      <c r="F90" s="113">
        <v>6575</v>
      </c>
      <c r="G90" s="108">
        <v>84</v>
      </c>
      <c r="H90" s="107">
        <v>10</v>
      </c>
      <c r="I90" s="112">
        <f t="shared" si="1"/>
        <v>657.5</v>
      </c>
    </row>
    <row r="91" spans="2:10" ht="15.75" thickBot="1" x14ac:dyDescent="0.3">
      <c r="B91" s="117">
        <v>11</v>
      </c>
      <c r="C91" s="116" t="s">
        <v>246</v>
      </c>
      <c r="D91" s="115">
        <v>5</v>
      </c>
      <c r="E91" s="114">
        <v>307.99</v>
      </c>
      <c r="F91" s="113">
        <v>1539.95</v>
      </c>
      <c r="G91" s="108"/>
      <c r="H91" s="107">
        <v>10</v>
      </c>
      <c r="I91" s="112">
        <f t="shared" si="1"/>
        <v>153.995</v>
      </c>
    </row>
    <row r="92" spans="2:10" ht="15.75" thickBot="1" x14ac:dyDescent="0.3">
      <c r="B92" s="117">
        <v>12</v>
      </c>
      <c r="C92" s="116" t="s">
        <v>245</v>
      </c>
      <c r="D92" s="115">
        <v>5</v>
      </c>
      <c r="E92" s="114">
        <v>288.8</v>
      </c>
      <c r="F92" s="113">
        <v>1444</v>
      </c>
      <c r="G92" s="108"/>
      <c r="H92" s="107">
        <v>10</v>
      </c>
      <c r="I92" s="112">
        <f t="shared" si="1"/>
        <v>144.4</v>
      </c>
    </row>
    <row r="93" spans="2:10" ht="15.75" thickBot="1" x14ac:dyDescent="0.3">
      <c r="B93" s="117">
        <v>13</v>
      </c>
      <c r="C93" s="116" t="s">
        <v>244</v>
      </c>
      <c r="D93" s="115">
        <v>5</v>
      </c>
      <c r="E93" s="114">
        <v>1016.41</v>
      </c>
      <c r="F93" s="113">
        <v>5082.05</v>
      </c>
      <c r="G93" s="108">
        <v>84</v>
      </c>
      <c r="H93" s="107">
        <v>10</v>
      </c>
      <c r="I93" s="112">
        <f t="shared" si="1"/>
        <v>508.20500000000004</v>
      </c>
    </row>
    <row r="94" spans="2:10" ht="15.75" thickBot="1" x14ac:dyDescent="0.3">
      <c r="B94" s="117">
        <v>14</v>
      </c>
      <c r="C94" s="116" t="s">
        <v>243</v>
      </c>
      <c r="D94" s="115">
        <v>5</v>
      </c>
      <c r="E94" s="114">
        <v>387.19</v>
      </c>
      <c r="F94" s="113">
        <v>1935.95</v>
      </c>
      <c r="G94" s="108"/>
      <c r="H94" s="107">
        <v>10</v>
      </c>
      <c r="I94" s="112">
        <f t="shared" si="1"/>
        <v>193.595</v>
      </c>
    </row>
    <row r="95" spans="2:10" ht="15.75" thickBot="1" x14ac:dyDescent="0.3">
      <c r="B95" s="117">
        <v>15</v>
      </c>
      <c r="C95" s="116" t="s">
        <v>242</v>
      </c>
      <c r="D95" s="115">
        <v>5</v>
      </c>
      <c r="E95" s="114">
        <v>1311.15</v>
      </c>
      <c r="F95" s="113">
        <v>6555.75</v>
      </c>
      <c r="G95" s="108">
        <v>84</v>
      </c>
      <c r="H95" s="107">
        <v>10</v>
      </c>
      <c r="I95" s="112">
        <f t="shared" si="1"/>
        <v>655.57500000000005</v>
      </c>
    </row>
    <row r="96" spans="2:10" ht="15.75" thickBot="1" x14ac:dyDescent="0.3">
      <c r="B96" s="117">
        <v>16</v>
      </c>
      <c r="C96" s="116" t="s">
        <v>241</v>
      </c>
      <c r="D96" s="115">
        <v>5</v>
      </c>
      <c r="E96" s="114">
        <v>3499</v>
      </c>
      <c r="F96" s="113">
        <v>17495</v>
      </c>
      <c r="G96" s="108"/>
      <c r="H96" s="107">
        <v>5</v>
      </c>
      <c r="I96" s="112">
        <f t="shared" si="1"/>
        <v>3499</v>
      </c>
    </row>
    <row r="97" spans="2:10" ht="15.75" thickBot="1" x14ac:dyDescent="0.3">
      <c r="B97" s="117">
        <v>17</v>
      </c>
      <c r="C97" s="116" t="s">
        <v>240</v>
      </c>
      <c r="D97" s="115">
        <v>5</v>
      </c>
      <c r="E97" s="114">
        <v>241.2</v>
      </c>
      <c r="F97" s="113">
        <v>1206</v>
      </c>
      <c r="G97" s="108"/>
      <c r="H97" s="107">
        <v>5</v>
      </c>
      <c r="I97" s="112">
        <f t="shared" si="1"/>
        <v>241.2</v>
      </c>
    </row>
    <row r="98" spans="2:10" ht="15.75" thickBot="1" x14ac:dyDescent="0.3">
      <c r="B98" s="117">
        <v>18</v>
      </c>
      <c r="C98" s="116" t="s">
        <v>239</v>
      </c>
      <c r="D98" s="115">
        <v>5</v>
      </c>
      <c r="E98" s="114">
        <v>566.32000000000005</v>
      </c>
      <c r="F98" s="113">
        <v>2831.6000000000004</v>
      </c>
      <c r="G98" s="108">
        <v>82</v>
      </c>
      <c r="H98" s="107">
        <v>5</v>
      </c>
      <c r="I98" s="112">
        <f t="shared" si="1"/>
        <v>566.32000000000005</v>
      </c>
    </row>
    <row r="99" spans="2:10" ht="15.75" thickBot="1" x14ac:dyDescent="0.3">
      <c r="B99" s="117">
        <v>19</v>
      </c>
      <c r="C99" s="116" t="s">
        <v>238</v>
      </c>
      <c r="D99" s="115">
        <v>5</v>
      </c>
      <c r="E99" s="114">
        <v>79</v>
      </c>
      <c r="F99" s="113">
        <v>395</v>
      </c>
      <c r="G99" s="108">
        <v>84</v>
      </c>
      <c r="H99" s="107">
        <v>10</v>
      </c>
      <c r="I99" s="112">
        <f t="shared" si="1"/>
        <v>39.5</v>
      </c>
    </row>
    <row r="100" spans="2:10" ht="15.75" thickBot="1" x14ac:dyDescent="0.3">
      <c r="B100" s="117">
        <v>20</v>
      </c>
      <c r="C100" s="116" t="s">
        <v>237</v>
      </c>
      <c r="D100" s="115">
        <v>5</v>
      </c>
      <c r="E100" s="114">
        <v>384.8</v>
      </c>
      <c r="F100" s="113">
        <v>1924</v>
      </c>
      <c r="G100" s="108">
        <v>84</v>
      </c>
      <c r="H100" s="107">
        <v>10</v>
      </c>
      <c r="I100" s="112">
        <f t="shared" si="1"/>
        <v>192.4</v>
      </c>
    </row>
    <row r="101" spans="2:10" ht="15.75" thickBot="1" x14ac:dyDescent="0.3">
      <c r="B101" s="117">
        <v>21</v>
      </c>
      <c r="C101" s="116" t="s">
        <v>236</v>
      </c>
      <c r="D101" s="115">
        <v>5</v>
      </c>
      <c r="E101" s="114">
        <v>8325</v>
      </c>
      <c r="F101" s="113">
        <v>41625</v>
      </c>
      <c r="G101" s="108"/>
      <c r="H101" s="107">
        <v>5</v>
      </c>
      <c r="I101" s="112">
        <f t="shared" si="1"/>
        <v>8325</v>
      </c>
    </row>
    <row r="102" spans="2:10" ht="15.75" thickBot="1" x14ac:dyDescent="0.3">
      <c r="B102" s="117">
        <v>22</v>
      </c>
      <c r="C102" s="116" t="s">
        <v>235</v>
      </c>
      <c r="D102" s="115">
        <v>5</v>
      </c>
      <c r="E102" s="114">
        <v>2953</v>
      </c>
      <c r="F102" s="113">
        <v>14765</v>
      </c>
      <c r="G102" s="108"/>
      <c r="H102" s="107">
        <v>5</v>
      </c>
      <c r="I102" s="112">
        <f t="shared" si="1"/>
        <v>2953</v>
      </c>
    </row>
    <row r="103" spans="2:10" ht="15.75" thickBot="1" x14ac:dyDescent="0.3">
      <c r="B103" s="117">
        <v>23</v>
      </c>
      <c r="C103" s="116" t="s">
        <v>234</v>
      </c>
      <c r="D103" s="115">
        <v>5</v>
      </c>
      <c r="E103" s="114">
        <v>18466.29</v>
      </c>
      <c r="F103" s="113">
        <v>92331.450000000012</v>
      </c>
      <c r="G103" s="108"/>
      <c r="H103" s="107">
        <v>5</v>
      </c>
      <c r="I103" s="112">
        <f t="shared" si="1"/>
        <v>18466.29</v>
      </c>
      <c r="J103" s="118">
        <f>F103/$D$9</f>
        <v>0.12225188163386119</v>
      </c>
    </row>
    <row r="104" spans="2:10" ht="15.75" thickBot="1" x14ac:dyDescent="0.3">
      <c r="B104" s="117">
        <v>24</v>
      </c>
      <c r="C104" s="116" t="s">
        <v>233</v>
      </c>
      <c r="D104" s="115">
        <v>5</v>
      </c>
      <c r="E104" s="114">
        <v>972.91</v>
      </c>
      <c r="F104" s="113">
        <v>4864.55</v>
      </c>
      <c r="G104" s="108">
        <v>82</v>
      </c>
      <c r="H104" s="107">
        <v>5</v>
      </c>
      <c r="I104" s="112">
        <f t="shared" si="1"/>
        <v>972.91000000000008</v>
      </c>
    </row>
    <row r="105" spans="2:10" ht="15.75" thickBot="1" x14ac:dyDescent="0.3">
      <c r="B105" s="117">
        <v>25</v>
      </c>
      <c r="C105" s="116" t="s">
        <v>232</v>
      </c>
      <c r="D105" s="115">
        <v>5</v>
      </c>
      <c r="E105" s="114">
        <v>317.14</v>
      </c>
      <c r="F105" s="113">
        <v>1585.6999999999998</v>
      </c>
      <c r="G105" s="108"/>
      <c r="H105" s="107">
        <v>5</v>
      </c>
      <c r="I105" s="112">
        <f t="shared" si="1"/>
        <v>317.14</v>
      </c>
    </row>
    <row r="106" spans="2:10" ht="15.75" thickBot="1" x14ac:dyDescent="0.3">
      <c r="B106" s="117">
        <v>26</v>
      </c>
      <c r="C106" s="116" t="s">
        <v>231</v>
      </c>
      <c r="D106" s="115">
        <v>28</v>
      </c>
      <c r="E106" s="114">
        <v>8000</v>
      </c>
      <c r="F106" s="114">
        <f>D106*E106</f>
        <v>224000</v>
      </c>
      <c r="G106" s="108">
        <v>84</v>
      </c>
      <c r="H106" s="107">
        <v>10</v>
      </c>
      <c r="I106" s="112">
        <f t="shared" si="1"/>
        <v>22400</v>
      </c>
      <c r="J106" s="118">
        <f>F106/$D$9</f>
        <v>0.29658823170203547</v>
      </c>
    </row>
    <row r="107" spans="2:10" ht="15.75" thickBot="1" x14ac:dyDescent="0.3">
      <c r="B107" s="117">
        <v>27</v>
      </c>
      <c r="C107" s="116" t="s">
        <v>230</v>
      </c>
      <c r="D107" s="115">
        <v>5</v>
      </c>
      <c r="E107" s="114">
        <v>979.99</v>
      </c>
      <c r="F107" s="113">
        <v>4899.95</v>
      </c>
      <c r="G107" s="108"/>
      <c r="H107" s="107">
        <v>5</v>
      </c>
      <c r="I107" s="112">
        <f t="shared" si="1"/>
        <v>979.99</v>
      </c>
    </row>
    <row r="108" spans="2:10" ht="15.75" thickBot="1" x14ac:dyDescent="0.3">
      <c r="B108" s="117">
        <v>28</v>
      </c>
      <c r="C108" s="116" t="s">
        <v>229</v>
      </c>
      <c r="D108" s="115">
        <v>5</v>
      </c>
      <c r="E108" s="114">
        <v>603.99</v>
      </c>
      <c r="F108" s="113">
        <v>3019.95</v>
      </c>
      <c r="G108" s="108"/>
      <c r="H108" s="107">
        <v>5</v>
      </c>
      <c r="I108" s="112">
        <f t="shared" si="1"/>
        <v>603.99</v>
      </c>
    </row>
    <row r="109" spans="2:10" ht="15.75" thickBot="1" x14ac:dyDescent="0.3">
      <c r="B109" s="117">
        <v>29</v>
      </c>
      <c r="C109" s="116" t="s">
        <v>228</v>
      </c>
      <c r="D109" s="115">
        <v>5</v>
      </c>
      <c r="E109" s="114">
        <v>1100</v>
      </c>
      <c r="F109" s="113">
        <v>5500</v>
      </c>
      <c r="G109" s="108">
        <v>90</v>
      </c>
      <c r="H109" s="107">
        <v>10</v>
      </c>
      <c r="I109" s="112">
        <f t="shared" si="1"/>
        <v>550</v>
      </c>
    </row>
    <row r="110" spans="2:10" ht="15.75" thickBot="1" x14ac:dyDescent="0.3">
      <c r="B110" s="117">
        <v>30</v>
      </c>
      <c r="C110" s="116" t="s">
        <v>227</v>
      </c>
      <c r="D110" s="115">
        <v>5</v>
      </c>
      <c r="E110" s="114">
        <v>209.9</v>
      </c>
      <c r="F110" s="113">
        <v>1049.5</v>
      </c>
      <c r="G110" s="108">
        <v>90</v>
      </c>
      <c r="H110" s="107">
        <v>10</v>
      </c>
      <c r="I110" s="112">
        <f t="shared" si="1"/>
        <v>104.95</v>
      </c>
    </row>
    <row r="111" spans="2:10" ht="15.75" thickBot="1" x14ac:dyDescent="0.3">
      <c r="B111" s="117">
        <v>31</v>
      </c>
      <c r="C111" s="116" t="s">
        <v>226</v>
      </c>
      <c r="D111" s="115">
        <v>5</v>
      </c>
      <c r="E111" s="114">
        <v>420</v>
      </c>
      <c r="F111" s="113">
        <v>2100</v>
      </c>
      <c r="G111" s="108">
        <v>90</v>
      </c>
      <c r="H111" s="107">
        <v>10</v>
      </c>
      <c r="I111" s="112">
        <f t="shared" si="1"/>
        <v>210</v>
      </c>
    </row>
    <row r="112" spans="2:10" ht="15.75" thickBot="1" x14ac:dyDescent="0.3">
      <c r="B112" s="117">
        <v>32</v>
      </c>
      <c r="C112" s="116" t="s">
        <v>225</v>
      </c>
      <c r="D112" s="115">
        <v>5</v>
      </c>
      <c r="E112" s="114">
        <v>1214.72</v>
      </c>
      <c r="F112" s="113">
        <v>6073.6</v>
      </c>
      <c r="G112" s="108">
        <v>84</v>
      </c>
      <c r="H112" s="107">
        <v>10</v>
      </c>
      <c r="I112" s="112">
        <f t="shared" si="1"/>
        <v>607.36</v>
      </c>
    </row>
    <row r="113" spans="2:9" ht="15.75" thickBot="1" x14ac:dyDescent="0.3">
      <c r="B113" s="117">
        <v>33</v>
      </c>
      <c r="C113" s="116" t="s">
        <v>224</v>
      </c>
      <c r="D113" s="115">
        <v>5</v>
      </c>
      <c r="E113" s="114">
        <v>169.1</v>
      </c>
      <c r="F113" s="113">
        <v>845.5</v>
      </c>
      <c r="G113" s="108">
        <v>90</v>
      </c>
      <c r="H113" s="107">
        <v>10</v>
      </c>
      <c r="I113" s="112">
        <f t="shared" si="1"/>
        <v>84.55</v>
      </c>
    </row>
    <row r="114" spans="2:9" ht="15.75" thickBot="1" x14ac:dyDescent="0.3">
      <c r="B114" s="117">
        <v>34</v>
      </c>
      <c r="C114" s="116" t="s">
        <v>223</v>
      </c>
      <c r="D114" s="115">
        <v>5</v>
      </c>
      <c r="E114" s="114">
        <v>1857.99</v>
      </c>
      <c r="F114" s="113">
        <v>9289.9500000000007</v>
      </c>
      <c r="G114" s="108">
        <v>84</v>
      </c>
      <c r="H114" s="107">
        <v>10</v>
      </c>
      <c r="I114" s="112">
        <f t="shared" si="1"/>
        <v>928.99500000000012</v>
      </c>
    </row>
    <row r="115" spans="2:9" ht="15.75" thickBot="1" x14ac:dyDescent="0.3">
      <c r="B115" s="117">
        <v>35</v>
      </c>
      <c r="C115" s="116" t="s">
        <v>222</v>
      </c>
      <c r="D115" s="115">
        <v>5</v>
      </c>
      <c r="E115" s="114">
        <v>1081.79</v>
      </c>
      <c r="F115" s="113">
        <v>5408.95</v>
      </c>
      <c r="G115" s="108">
        <v>84</v>
      </c>
      <c r="H115" s="107">
        <v>10</v>
      </c>
      <c r="I115" s="112">
        <f t="shared" si="1"/>
        <v>540.89499999999998</v>
      </c>
    </row>
    <row r="116" spans="2:9" ht="15.75" thickBot="1" x14ac:dyDescent="0.3">
      <c r="B116" s="997" t="s">
        <v>221</v>
      </c>
      <c r="C116" s="998"/>
      <c r="D116" s="998"/>
      <c r="E116" s="999"/>
      <c r="F116" s="111">
        <f>SUM(F81:F115)</f>
        <v>701737.89999999979</v>
      </c>
      <c r="G116" s="965" t="s">
        <v>110</v>
      </c>
      <c r="H116" s="966"/>
      <c r="I116" s="110">
        <f>SUM(I81:I115)</f>
        <v>82156.172500000015</v>
      </c>
    </row>
    <row r="117" spans="2:9" ht="15.75" thickBot="1" x14ac:dyDescent="0.3">
      <c r="B117" s="994" t="s">
        <v>220</v>
      </c>
      <c r="C117" s="995"/>
      <c r="D117" s="995"/>
      <c r="E117" s="996"/>
      <c r="F117" s="109">
        <f>F80+F116</f>
        <v>746251.84999999974</v>
      </c>
      <c r="G117" s="108"/>
      <c r="H117" s="107"/>
      <c r="I117" s="106"/>
    </row>
    <row r="118" spans="2:9" x14ac:dyDescent="0.25">
      <c r="B118" s="85" t="s">
        <v>108</v>
      </c>
      <c r="C118" s="105" t="s">
        <v>219</v>
      </c>
    </row>
  </sheetData>
  <mergeCells count="32">
    <mergeCell ref="D2:E2"/>
    <mergeCell ref="D3:E3"/>
    <mergeCell ref="D6:E6"/>
    <mergeCell ref="D9:E9"/>
    <mergeCell ref="B12:F12"/>
    <mergeCell ref="D4:E4"/>
    <mergeCell ref="D5:E5"/>
    <mergeCell ref="D7:E7"/>
    <mergeCell ref="D8:E8"/>
    <mergeCell ref="G12:I22"/>
    <mergeCell ref="B13:B14"/>
    <mergeCell ref="C13:C14"/>
    <mergeCell ref="D13:D14"/>
    <mergeCell ref="G23:G25"/>
    <mergeCell ref="H23:H25"/>
    <mergeCell ref="I23:I25"/>
    <mergeCell ref="B25:E25"/>
    <mergeCell ref="G52:H52"/>
    <mergeCell ref="B53:E53"/>
    <mergeCell ref="B56:F56"/>
    <mergeCell ref="G56:I77"/>
    <mergeCell ref="B57:B58"/>
    <mergeCell ref="C57:C58"/>
    <mergeCell ref="D57:D58"/>
    <mergeCell ref="B52:E52"/>
    <mergeCell ref="B117:E117"/>
    <mergeCell ref="G78:G80"/>
    <mergeCell ref="H78:H80"/>
    <mergeCell ref="I78:I80"/>
    <mergeCell ref="B80:E80"/>
    <mergeCell ref="B116:E116"/>
    <mergeCell ref="G116:H116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70"/>
  <sheetViews>
    <sheetView showGridLines="0" topLeftCell="A37" workbookViewId="0">
      <selection activeCell="D5" sqref="D5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4.85546875" customWidth="1"/>
  </cols>
  <sheetData>
    <row r="1" spans="2:8" x14ac:dyDescent="0.25">
      <c r="C1" s="157" t="s">
        <v>460</v>
      </c>
      <c r="D1" s="156" t="s">
        <v>1</v>
      </c>
    </row>
    <row r="2" spans="2:8" x14ac:dyDescent="0.25">
      <c r="C2" s="19" t="s">
        <v>459</v>
      </c>
      <c r="D2" s="155">
        <f>G36</f>
        <v>230356</v>
      </c>
    </row>
    <row r="3" spans="2:8" x14ac:dyDescent="0.25">
      <c r="C3" s="20" t="s">
        <v>458</v>
      </c>
      <c r="D3" s="154">
        <f>G70</f>
        <v>369152</v>
      </c>
    </row>
    <row r="4" spans="2:8" x14ac:dyDescent="0.25">
      <c r="C4" s="153" t="s">
        <v>140</v>
      </c>
      <c r="D4" s="152">
        <f>SUM(D2:D3)</f>
        <v>599508</v>
      </c>
    </row>
    <row r="5" spans="2:8" x14ac:dyDescent="0.25">
      <c r="C5" s="95" t="s">
        <v>1216</v>
      </c>
      <c r="D5" s="467">
        <f>'custos unitários para atualizar'!$B$4</f>
        <v>0.12956699999999999</v>
      </c>
    </row>
    <row r="6" spans="2:8" x14ac:dyDescent="0.25">
      <c r="C6" s="95" t="s">
        <v>1217</v>
      </c>
      <c r="D6" s="94">
        <f>D4*(1+D5)</f>
        <v>677184.45303600002</v>
      </c>
    </row>
    <row r="8" spans="2:8" ht="16.5" thickBot="1" x14ac:dyDescent="0.3">
      <c r="B8" s="151" t="s">
        <v>457</v>
      </c>
    </row>
    <row r="9" spans="2:8" x14ac:dyDescent="0.25">
      <c r="B9" s="973" t="s">
        <v>135</v>
      </c>
      <c r="C9" s="975" t="s">
        <v>134</v>
      </c>
      <c r="D9" s="975" t="s">
        <v>210</v>
      </c>
      <c r="E9" s="975" t="s">
        <v>133</v>
      </c>
      <c r="F9" s="150" t="s">
        <v>37</v>
      </c>
      <c r="G9" s="150" t="s">
        <v>37</v>
      </c>
      <c r="H9" t="s">
        <v>456</v>
      </c>
    </row>
    <row r="10" spans="2:8" ht="15.75" thickBot="1" x14ac:dyDescent="0.3">
      <c r="B10" s="974"/>
      <c r="C10" s="976"/>
      <c r="D10" s="976"/>
      <c r="E10" s="976"/>
      <c r="F10" s="62" t="s">
        <v>36</v>
      </c>
      <c r="G10" s="62" t="s">
        <v>132</v>
      </c>
    </row>
    <row r="11" spans="2:8" ht="15.75" thickBot="1" x14ac:dyDescent="0.3">
      <c r="B11" s="64">
        <v>1</v>
      </c>
      <c r="C11" s="63" t="s">
        <v>450</v>
      </c>
      <c r="D11" s="62" t="s">
        <v>446</v>
      </c>
      <c r="E11" s="62">
        <v>1800</v>
      </c>
      <c r="F11" s="146">
        <v>30</v>
      </c>
      <c r="G11" s="60">
        <f t="shared" ref="G11:G35" si="0">E11*F11</f>
        <v>54000</v>
      </c>
    </row>
    <row r="12" spans="2:8" ht="15.75" thickBot="1" x14ac:dyDescent="0.3">
      <c r="B12" s="64">
        <v>2</v>
      </c>
      <c r="C12" s="63" t="s">
        <v>449</v>
      </c>
      <c r="D12" s="62" t="s">
        <v>448</v>
      </c>
      <c r="E12" s="62">
        <v>1800</v>
      </c>
      <c r="F12" s="146">
        <v>12</v>
      </c>
      <c r="G12" s="60">
        <f t="shared" si="0"/>
        <v>21600</v>
      </c>
    </row>
    <row r="13" spans="2:8" ht="15.75" thickBot="1" x14ac:dyDescent="0.3">
      <c r="B13" s="64">
        <v>3</v>
      </c>
      <c r="C13" s="63" t="s">
        <v>447</v>
      </c>
      <c r="D13" s="62" t="s">
        <v>446</v>
      </c>
      <c r="E13" s="62">
        <v>100</v>
      </c>
      <c r="F13" s="146">
        <v>10</v>
      </c>
      <c r="G13" s="60">
        <f t="shared" si="0"/>
        <v>1000</v>
      </c>
    </row>
    <row r="14" spans="2:8" ht="15.75" thickBot="1" x14ac:dyDescent="0.3">
      <c r="B14" s="64">
        <v>4</v>
      </c>
      <c r="C14" s="63" t="s">
        <v>445</v>
      </c>
      <c r="D14" s="62" t="s">
        <v>455</v>
      </c>
      <c r="E14" s="62">
        <v>200</v>
      </c>
      <c r="F14" s="146">
        <v>21</v>
      </c>
      <c r="G14" s="60">
        <f t="shared" si="0"/>
        <v>4200</v>
      </c>
    </row>
    <row r="15" spans="2:8" ht="15.75" thickBot="1" x14ac:dyDescent="0.3">
      <c r="B15" s="64">
        <v>5</v>
      </c>
      <c r="C15" s="63" t="s">
        <v>454</v>
      </c>
      <c r="D15" s="62" t="s">
        <v>149</v>
      </c>
      <c r="E15" s="62">
        <v>90</v>
      </c>
      <c r="F15" s="146">
        <v>15</v>
      </c>
      <c r="G15" s="60">
        <f t="shared" si="0"/>
        <v>1350</v>
      </c>
    </row>
    <row r="16" spans="2:8" ht="15.75" thickBot="1" x14ac:dyDescent="0.3">
      <c r="B16" s="64">
        <v>6</v>
      </c>
      <c r="C16" s="63" t="s">
        <v>443</v>
      </c>
      <c r="D16" s="62" t="s">
        <v>149</v>
      </c>
      <c r="E16" s="62">
        <v>90</v>
      </c>
      <c r="F16" s="146">
        <v>18</v>
      </c>
      <c r="G16" s="60">
        <f t="shared" si="0"/>
        <v>1620</v>
      </c>
    </row>
    <row r="17" spans="2:7" ht="15.75" thickBot="1" x14ac:dyDescent="0.3">
      <c r="B17" s="64">
        <v>7</v>
      </c>
      <c r="C17" s="63" t="s">
        <v>442</v>
      </c>
      <c r="D17" s="62" t="s">
        <v>149</v>
      </c>
      <c r="E17" s="62">
        <v>90</v>
      </c>
      <c r="F17" s="146">
        <v>22</v>
      </c>
      <c r="G17" s="60">
        <f t="shared" si="0"/>
        <v>1980</v>
      </c>
    </row>
    <row r="18" spans="2:7" ht="15.75" thickBot="1" x14ac:dyDescent="0.3">
      <c r="B18" s="64">
        <v>8</v>
      </c>
      <c r="C18" s="63" t="s">
        <v>441</v>
      </c>
      <c r="D18" s="62" t="s">
        <v>149</v>
      </c>
      <c r="E18" s="62">
        <v>90</v>
      </c>
      <c r="F18" s="146">
        <v>35</v>
      </c>
      <c r="G18" s="60">
        <f t="shared" si="0"/>
        <v>3150</v>
      </c>
    </row>
    <row r="19" spans="2:7" ht="15.75" thickBot="1" x14ac:dyDescent="0.3">
      <c r="B19" s="64">
        <v>9</v>
      </c>
      <c r="C19" s="63" t="s">
        <v>440</v>
      </c>
      <c r="D19" s="62" t="s">
        <v>149</v>
      </c>
      <c r="E19" s="62">
        <v>90</v>
      </c>
      <c r="F19" s="146">
        <v>25</v>
      </c>
      <c r="G19" s="60">
        <f t="shared" si="0"/>
        <v>2250</v>
      </c>
    </row>
    <row r="20" spans="2:7" ht="15.75" thickBot="1" x14ac:dyDescent="0.3">
      <c r="B20" s="64">
        <v>10</v>
      </c>
      <c r="C20" s="63" t="s">
        <v>439</v>
      </c>
      <c r="D20" s="62" t="s">
        <v>149</v>
      </c>
      <c r="E20" s="62">
        <v>90</v>
      </c>
      <c r="F20" s="146">
        <v>20</v>
      </c>
      <c r="G20" s="60">
        <f t="shared" si="0"/>
        <v>1800</v>
      </c>
    </row>
    <row r="21" spans="2:7" ht="15.75" thickBot="1" x14ac:dyDescent="0.3">
      <c r="B21" s="64">
        <v>11</v>
      </c>
      <c r="C21" s="63" t="s">
        <v>438</v>
      </c>
      <c r="D21" s="62" t="s">
        <v>149</v>
      </c>
      <c r="E21" s="62">
        <v>90</v>
      </c>
      <c r="F21" s="146">
        <v>40</v>
      </c>
      <c r="G21" s="60">
        <f t="shared" si="0"/>
        <v>3600</v>
      </c>
    </row>
    <row r="22" spans="2:7" ht="15.75" thickBot="1" x14ac:dyDescent="0.3">
      <c r="B22" s="64">
        <v>12</v>
      </c>
      <c r="C22" s="63" t="s">
        <v>437</v>
      </c>
      <c r="D22" s="62" t="s">
        <v>149</v>
      </c>
      <c r="E22" s="62">
        <v>270</v>
      </c>
      <c r="F22" s="146">
        <v>0.3</v>
      </c>
      <c r="G22" s="60">
        <f t="shared" si="0"/>
        <v>81</v>
      </c>
    </row>
    <row r="23" spans="2:7" ht="15.75" thickBot="1" x14ac:dyDescent="0.3">
      <c r="B23" s="64">
        <v>13</v>
      </c>
      <c r="C23" s="63" t="s">
        <v>436</v>
      </c>
      <c r="D23" s="62" t="s">
        <v>149</v>
      </c>
      <c r="E23" s="62">
        <v>270</v>
      </c>
      <c r="F23" s="146">
        <v>0.45</v>
      </c>
      <c r="G23" s="60">
        <f t="shared" si="0"/>
        <v>121.5</v>
      </c>
    </row>
    <row r="24" spans="2:7" ht="15.75" thickBot="1" x14ac:dyDescent="0.3">
      <c r="B24" s="64">
        <v>14</v>
      </c>
      <c r="C24" s="63" t="s">
        <v>435</v>
      </c>
      <c r="D24" s="62" t="s">
        <v>149</v>
      </c>
      <c r="E24" s="62">
        <v>270</v>
      </c>
      <c r="F24" s="146">
        <v>0.45</v>
      </c>
      <c r="G24" s="60">
        <f t="shared" si="0"/>
        <v>121.5</v>
      </c>
    </row>
    <row r="25" spans="2:7" ht="15.75" thickBot="1" x14ac:dyDescent="0.3">
      <c r="B25" s="64">
        <v>15</v>
      </c>
      <c r="C25" s="63" t="s">
        <v>434</v>
      </c>
      <c r="D25" s="62" t="s">
        <v>149</v>
      </c>
      <c r="E25" s="62">
        <v>90</v>
      </c>
      <c r="F25" s="146">
        <v>50</v>
      </c>
      <c r="G25" s="60">
        <f t="shared" si="0"/>
        <v>4500</v>
      </c>
    </row>
    <row r="26" spans="2:7" ht="15.75" thickBot="1" x14ac:dyDescent="0.3">
      <c r="B26" s="64">
        <v>16</v>
      </c>
      <c r="C26" s="63" t="s">
        <v>433</v>
      </c>
      <c r="D26" s="62" t="s">
        <v>149</v>
      </c>
      <c r="E26" s="62">
        <v>18</v>
      </c>
      <c r="F26" s="146">
        <v>85</v>
      </c>
      <c r="G26" s="60">
        <f t="shared" si="0"/>
        <v>1530</v>
      </c>
    </row>
    <row r="27" spans="2:7" ht="15.75" thickBot="1" x14ac:dyDescent="0.3">
      <c r="B27" s="64">
        <v>17</v>
      </c>
      <c r="C27" s="63" t="s">
        <v>432</v>
      </c>
      <c r="D27" s="62" t="s">
        <v>149</v>
      </c>
      <c r="E27" s="62">
        <v>24</v>
      </c>
      <c r="F27" s="146">
        <v>58</v>
      </c>
      <c r="G27" s="60">
        <f t="shared" si="0"/>
        <v>1392</v>
      </c>
    </row>
    <row r="28" spans="2:7" ht="15.75" thickBot="1" x14ac:dyDescent="0.3">
      <c r="B28" s="64">
        <v>18</v>
      </c>
      <c r="C28" s="63" t="s">
        <v>431</v>
      </c>
      <c r="D28" s="62" t="s">
        <v>149</v>
      </c>
      <c r="E28" s="62">
        <v>24</v>
      </c>
      <c r="F28" s="146">
        <v>984</v>
      </c>
      <c r="G28" s="60">
        <f t="shared" si="0"/>
        <v>23616</v>
      </c>
    </row>
    <row r="29" spans="2:7" ht="15.75" thickBot="1" x14ac:dyDescent="0.3">
      <c r="B29" s="64">
        <v>19</v>
      </c>
      <c r="C29" s="63" t="s">
        <v>430</v>
      </c>
      <c r="D29" s="62" t="s">
        <v>149</v>
      </c>
      <c r="E29" s="62">
        <v>24</v>
      </c>
      <c r="F29" s="146">
        <v>116</v>
      </c>
      <c r="G29" s="60">
        <f t="shared" si="0"/>
        <v>2784</v>
      </c>
    </row>
    <row r="30" spans="2:7" ht="15.75" thickBot="1" x14ac:dyDescent="0.3">
      <c r="B30" s="64">
        <v>20</v>
      </c>
      <c r="C30" s="63" t="s">
        <v>429</v>
      </c>
      <c r="D30" s="62" t="s">
        <v>149</v>
      </c>
      <c r="E30" s="62">
        <v>10</v>
      </c>
      <c r="F30" s="146">
        <v>54</v>
      </c>
      <c r="G30" s="60">
        <f t="shared" si="0"/>
        <v>540</v>
      </c>
    </row>
    <row r="31" spans="2:7" ht="15.75" thickBot="1" x14ac:dyDescent="0.3">
      <c r="B31" s="64">
        <v>21</v>
      </c>
      <c r="C31" s="63" t="s">
        <v>428</v>
      </c>
      <c r="D31" s="62" t="s">
        <v>149</v>
      </c>
      <c r="E31" s="62">
        <v>270</v>
      </c>
      <c r="F31" s="146">
        <v>21</v>
      </c>
      <c r="G31" s="60">
        <f t="shared" si="0"/>
        <v>5670</v>
      </c>
    </row>
    <row r="32" spans="2:7" ht="15.75" thickBot="1" x14ac:dyDescent="0.3">
      <c r="B32" s="64">
        <v>22</v>
      </c>
      <c r="C32" s="63" t="s">
        <v>427</v>
      </c>
      <c r="D32" s="62" t="s">
        <v>426</v>
      </c>
      <c r="E32" s="62">
        <v>900</v>
      </c>
      <c r="F32" s="146">
        <v>35</v>
      </c>
      <c r="G32" s="60">
        <f t="shared" si="0"/>
        <v>31500</v>
      </c>
    </row>
    <row r="33" spans="2:8" ht="15.75" thickBot="1" x14ac:dyDescent="0.3">
      <c r="B33" s="64">
        <v>23</v>
      </c>
      <c r="C33" s="63" t="s">
        <v>425</v>
      </c>
      <c r="D33" s="62" t="s">
        <v>149</v>
      </c>
      <c r="E33" s="62">
        <v>90</v>
      </c>
      <c r="F33" s="146">
        <v>40</v>
      </c>
      <c r="G33" s="60">
        <f t="shared" si="0"/>
        <v>3600</v>
      </c>
    </row>
    <row r="34" spans="2:8" ht="15.75" thickBot="1" x14ac:dyDescent="0.3">
      <c r="B34" s="64">
        <v>24</v>
      </c>
      <c r="C34" s="63" t="s">
        <v>424</v>
      </c>
      <c r="D34" s="62" t="s">
        <v>423</v>
      </c>
      <c r="E34" s="62">
        <v>27</v>
      </c>
      <c r="F34" s="60">
        <v>2000</v>
      </c>
      <c r="G34" s="60">
        <f t="shared" si="0"/>
        <v>54000</v>
      </c>
    </row>
    <row r="35" spans="2:8" ht="15.75" thickBot="1" x14ac:dyDescent="0.3">
      <c r="B35" s="64">
        <v>25</v>
      </c>
      <c r="C35" s="63" t="s">
        <v>453</v>
      </c>
      <c r="D35" s="62" t="s">
        <v>452</v>
      </c>
      <c r="E35" s="62">
        <v>50</v>
      </c>
      <c r="F35" s="146">
        <v>87</v>
      </c>
      <c r="G35" s="60">
        <f t="shared" si="0"/>
        <v>4350</v>
      </c>
    </row>
    <row r="36" spans="2:8" ht="15.75" thickBot="1" x14ac:dyDescent="0.3">
      <c r="B36" s="1029" t="s">
        <v>140</v>
      </c>
      <c r="C36" s="1030"/>
      <c r="D36" s="1030"/>
      <c r="E36" s="1031"/>
      <c r="F36" s="146">
        <f>SUM(F11:F35)</f>
        <v>3779.2</v>
      </c>
      <c r="G36" s="60">
        <f>SUM(G11:G35)</f>
        <v>230356</v>
      </c>
    </row>
    <row r="38" spans="2:8" ht="16.5" thickBot="1" x14ac:dyDescent="0.3">
      <c r="B38" s="151" t="s">
        <v>451</v>
      </c>
    </row>
    <row r="39" spans="2:8" x14ac:dyDescent="0.25">
      <c r="B39" s="973" t="s">
        <v>135</v>
      </c>
      <c r="C39" s="975" t="s">
        <v>134</v>
      </c>
      <c r="D39" s="975" t="s">
        <v>210</v>
      </c>
      <c r="E39" s="975" t="s">
        <v>133</v>
      </c>
      <c r="F39" s="150" t="s">
        <v>37</v>
      </c>
      <c r="G39" s="150" t="s">
        <v>37</v>
      </c>
    </row>
    <row r="40" spans="2:8" ht="15.75" thickBot="1" x14ac:dyDescent="0.3">
      <c r="B40" s="974"/>
      <c r="C40" s="976"/>
      <c r="D40" s="976"/>
      <c r="E40" s="976"/>
      <c r="F40" s="62" t="s">
        <v>36</v>
      </c>
      <c r="G40" s="62" t="s">
        <v>132</v>
      </c>
    </row>
    <row r="41" spans="2:8" ht="15.75" thickBot="1" x14ac:dyDescent="0.3">
      <c r="B41" s="64">
        <v>1</v>
      </c>
      <c r="C41" s="63" t="s">
        <v>450</v>
      </c>
      <c r="D41" s="62" t="s">
        <v>446</v>
      </c>
      <c r="E41" s="62">
        <v>1800</v>
      </c>
      <c r="F41" s="146">
        <v>30</v>
      </c>
      <c r="G41" s="149">
        <f t="shared" ref="G41:G69" si="1">E41*F41</f>
        <v>54000</v>
      </c>
      <c r="H41">
        <v>19.82</v>
      </c>
    </row>
    <row r="42" spans="2:8" ht="15.75" thickBot="1" x14ac:dyDescent="0.3">
      <c r="B42" s="64">
        <v>2</v>
      </c>
      <c r="C42" s="63" t="s">
        <v>449</v>
      </c>
      <c r="D42" s="62" t="s">
        <v>448</v>
      </c>
      <c r="E42" s="62">
        <v>1800</v>
      </c>
      <c r="F42" s="146">
        <v>12</v>
      </c>
      <c r="G42" s="148">
        <f t="shared" si="1"/>
        <v>21600</v>
      </c>
      <c r="H42">
        <v>13.5</v>
      </c>
    </row>
    <row r="43" spans="2:8" ht="15.75" thickBot="1" x14ac:dyDescent="0.3">
      <c r="B43" s="64">
        <v>3</v>
      </c>
      <c r="C43" s="63" t="s">
        <v>447</v>
      </c>
      <c r="D43" s="62" t="s">
        <v>446</v>
      </c>
      <c r="E43" s="62">
        <v>100</v>
      </c>
      <c r="F43" s="146">
        <v>10</v>
      </c>
      <c r="G43" s="148">
        <f t="shared" si="1"/>
        <v>1000</v>
      </c>
    </row>
    <row r="44" spans="2:8" ht="15.75" thickBot="1" x14ac:dyDescent="0.3">
      <c r="B44" s="64">
        <v>4</v>
      </c>
      <c r="C44" s="63" t="s">
        <v>445</v>
      </c>
      <c r="D44" s="62" t="s">
        <v>149</v>
      </c>
      <c r="E44" s="62">
        <v>200</v>
      </c>
      <c r="F44" s="146">
        <v>21</v>
      </c>
      <c r="G44" s="148">
        <f t="shared" si="1"/>
        <v>4200</v>
      </c>
    </row>
    <row r="45" spans="2:8" ht="15.75" thickBot="1" x14ac:dyDescent="0.3">
      <c r="B45" s="64">
        <v>5</v>
      </c>
      <c r="C45" s="63" t="s">
        <v>444</v>
      </c>
      <c r="D45" s="62" t="s">
        <v>149</v>
      </c>
      <c r="E45" s="62">
        <v>90</v>
      </c>
      <c r="F45" s="146">
        <v>15</v>
      </c>
      <c r="G45" s="148">
        <f t="shared" si="1"/>
        <v>1350</v>
      </c>
    </row>
    <row r="46" spans="2:8" ht="15.75" thickBot="1" x14ac:dyDescent="0.3">
      <c r="B46" s="64">
        <v>6</v>
      </c>
      <c r="C46" s="63" t="s">
        <v>443</v>
      </c>
      <c r="D46" s="62" t="s">
        <v>149</v>
      </c>
      <c r="E46" s="62">
        <v>90</v>
      </c>
      <c r="F46" s="146">
        <v>18</v>
      </c>
      <c r="G46" s="148">
        <f t="shared" si="1"/>
        <v>1620</v>
      </c>
    </row>
    <row r="47" spans="2:8" ht="15.75" thickBot="1" x14ac:dyDescent="0.3">
      <c r="B47" s="64">
        <v>7</v>
      </c>
      <c r="C47" s="63" t="s">
        <v>442</v>
      </c>
      <c r="D47" s="62" t="s">
        <v>149</v>
      </c>
      <c r="E47" s="62">
        <v>90</v>
      </c>
      <c r="F47" s="146">
        <v>22</v>
      </c>
      <c r="G47" s="148">
        <f t="shared" si="1"/>
        <v>1980</v>
      </c>
    </row>
    <row r="48" spans="2:8" ht="15.75" thickBot="1" x14ac:dyDescent="0.3">
      <c r="B48" s="64">
        <v>8</v>
      </c>
      <c r="C48" s="63" t="s">
        <v>441</v>
      </c>
      <c r="D48" s="62" t="s">
        <v>149</v>
      </c>
      <c r="E48" s="62">
        <v>90</v>
      </c>
      <c r="F48" s="146">
        <v>35</v>
      </c>
      <c r="G48" s="148">
        <f t="shared" si="1"/>
        <v>3150</v>
      </c>
    </row>
    <row r="49" spans="2:8" ht="15.75" thickBot="1" x14ac:dyDescent="0.3">
      <c r="B49" s="64">
        <v>9</v>
      </c>
      <c r="C49" s="63" t="s">
        <v>440</v>
      </c>
      <c r="D49" s="62" t="s">
        <v>149</v>
      </c>
      <c r="E49" s="62">
        <v>90</v>
      </c>
      <c r="F49" s="146">
        <v>25</v>
      </c>
      <c r="G49" s="148">
        <f t="shared" si="1"/>
        <v>2250</v>
      </c>
    </row>
    <row r="50" spans="2:8" ht="15.75" thickBot="1" x14ac:dyDescent="0.3">
      <c r="B50" s="64">
        <v>10</v>
      </c>
      <c r="C50" s="63" t="s">
        <v>439</v>
      </c>
      <c r="D50" s="62" t="s">
        <v>149</v>
      </c>
      <c r="E50" s="62">
        <v>90</v>
      </c>
      <c r="F50" s="146">
        <v>20</v>
      </c>
      <c r="G50" s="148">
        <f t="shared" si="1"/>
        <v>1800</v>
      </c>
    </row>
    <row r="51" spans="2:8" ht="15.75" thickBot="1" x14ac:dyDescent="0.3">
      <c r="B51" s="64">
        <v>11</v>
      </c>
      <c r="C51" s="63" t="s">
        <v>438</v>
      </c>
      <c r="D51" s="62" t="s">
        <v>149</v>
      </c>
      <c r="E51" s="62">
        <v>90</v>
      </c>
      <c r="F51" s="146">
        <v>40</v>
      </c>
      <c r="G51" s="148">
        <f t="shared" si="1"/>
        <v>3600</v>
      </c>
    </row>
    <row r="52" spans="2:8" ht="15.75" thickBot="1" x14ac:dyDescent="0.3">
      <c r="B52" s="64">
        <v>12</v>
      </c>
      <c r="C52" s="63" t="s">
        <v>437</v>
      </c>
      <c r="D52" s="62" t="s">
        <v>149</v>
      </c>
      <c r="E52" s="62">
        <v>270</v>
      </c>
      <c r="F52" s="146">
        <v>0.3</v>
      </c>
      <c r="G52" s="148">
        <f t="shared" si="1"/>
        <v>81</v>
      </c>
    </row>
    <row r="53" spans="2:8" ht="15.75" thickBot="1" x14ac:dyDescent="0.3">
      <c r="B53" s="64">
        <v>13</v>
      </c>
      <c r="C53" s="63" t="s">
        <v>436</v>
      </c>
      <c r="D53" s="62" t="s">
        <v>149</v>
      </c>
      <c r="E53" s="62">
        <v>270</v>
      </c>
      <c r="F53" s="146">
        <v>0.45</v>
      </c>
      <c r="G53" s="148">
        <f t="shared" si="1"/>
        <v>121.5</v>
      </c>
    </row>
    <row r="54" spans="2:8" ht="15.75" thickBot="1" x14ac:dyDescent="0.3">
      <c r="B54" s="64">
        <v>14</v>
      </c>
      <c r="C54" s="63" t="s">
        <v>435</v>
      </c>
      <c r="D54" s="62" t="s">
        <v>149</v>
      </c>
      <c r="E54" s="62">
        <v>270</v>
      </c>
      <c r="F54" s="146">
        <v>0.45</v>
      </c>
      <c r="G54" s="148">
        <f t="shared" si="1"/>
        <v>121.5</v>
      </c>
    </row>
    <row r="55" spans="2:8" ht="15.75" thickBot="1" x14ac:dyDescent="0.3">
      <c r="B55" s="64">
        <v>15</v>
      </c>
      <c r="C55" s="63" t="s">
        <v>434</v>
      </c>
      <c r="D55" s="62" t="s">
        <v>149</v>
      </c>
      <c r="E55" s="62">
        <v>90</v>
      </c>
      <c r="F55" s="146">
        <v>50</v>
      </c>
      <c r="G55" s="148">
        <f t="shared" si="1"/>
        <v>4500</v>
      </c>
    </row>
    <row r="56" spans="2:8" ht="15.75" thickBot="1" x14ac:dyDescent="0.3">
      <c r="B56" s="64">
        <v>16</v>
      </c>
      <c r="C56" s="63" t="s">
        <v>433</v>
      </c>
      <c r="D56" s="62" t="s">
        <v>149</v>
      </c>
      <c r="E56" s="62">
        <v>18</v>
      </c>
      <c r="F56" s="146">
        <v>85</v>
      </c>
      <c r="G56" s="148">
        <f t="shared" si="1"/>
        <v>1530</v>
      </c>
    </row>
    <row r="57" spans="2:8" ht="15.75" thickBot="1" x14ac:dyDescent="0.3">
      <c r="B57" s="64">
        <v>17</v>
      </c>
      <c r="C57" s="63" t="s">
        <v>432</v>
      </c>
      <c r="D57" s="62" t="s">
        <v>149</v>
      </c>
      <c r="E57" s="62">
        <v>24</v>
      </c>
      <c r="F57" s="146">
        <v>58</v>
      </c>
      <c r="G57" s="148">
        <f t="shared" si="1"/>
        <v>1392</v>
      </c>
    </row>
    <row r="58" spans="2:8" ht="15.75" thickBot="1" x14ac:dyDescent="0.3">
      <c r="B58" s="64">
        <v>18</v>
      </c>
      <c r="C58" s="63" t="s">
        <v>431</v>
      </c>
      <c r="D58" s="62" t="s">
        <v>149</v>
      </c>
      <c r="E58" s="62">
        <v>24</v>
      </c>
      <c r="F58" s="146">
        <v>984</v>
      </c>
      <c r="G58" s="148">
        <f t="shared" si="1"/>
        <v>23616</v>
      </c>
    </row>
    <row r="59" spans="2:8" ht="15.75" thickBot="1" x14ac:dyDescent="0.3">
      <c r="B59" s="64">
        <v>19</v>
      </c>
      <c r="C59" s="63" t="s">
        <v>430</v>
      </c>
      <c r="D59" s="62" t="s">
        <v>149</v>
      </c>
      <c r="E59" s="62">
        <v>24</v>
      </c>
      <c r="F59" s="146">
        <v>116</v>
      </c>
      <c r="G59" s="148">
        <f t="shared" si="1"/>
        <v>2784</v>
      </c>
    </row>
    <row r="60" spans="2:8" ht="15.75" thickBot="1" x14ac:dyDescent="0.3">
      <c r="B60" s="64">
        <v>20</v>
      </c>
      <c r="C60" s="63" t="s">
        <v>429</v>
      </c>
      <c r="D60" s="62" t="s">
        <v>149</v>
      </c>
      <c r="E60" s="62">
        <v>9</v>
      </c>
      <c r="F60" s="146">
        <v>54</v>
      </c>
      <c r="G60" s="148">
        <f t="shared" si="1"/>
        <v>486</v>
      </c>
    </row>
    <row r="61" spans="2:8" ht="15.75" thickBot="1" x14ac:dyDescent="0.3">
      <c r="B61" s="64">
        <v>21</v>
      </c>
      <c r="C61" s="63" t="s">
        <v>428</v>
      </c>
      <c r="D61" s="62" t="s">
        <v>149</v>
      </c>
      <c r="E61" s="62">
        <v>270</v>
      </c>
      <c r="F61" s="146">
        <v>21</v>
      </c>
      <c r="G61" s="148">
        <f t="shared" si="1"/>
        <v>5670</v>
      </c>
    </row>
    <row r="62" spans="2:8" ht="15.75" thickBot="1" x14ac:dyDescent="0.3">
      <c r="B62" s="64">
        <v>22</v>
      </c>
      <c r="C62" s="63" t="s">
        <v>427</v>
      </c>
      <c r="D62" s="62" t="s">
        <v>426</v>
      </c>
      <c r="E62" s="62">
        <v>900</v>
      </c>
      <c r="F62" s="146">
        <v>35</v>
      </c>
      <c r="G62" s="148">
        <f t="shared" si="1"/>
        <v>31500</v>
      </c>
      <c r="H62">
        <v>127.74</v>
      </c>
    </row>
    <row r="63" spans="2:8" ht="15.75" thickBot="1" x14ac:dyDescent="0.3">
      <c r="B63" s="64">
        <v>23</v>
      </c>
      <c r="C63" s="63" t="s">
        <v>425</v>
      </c>
      <c r="D63" s="62" t="s">
        <v>149</v>
      </c>
      <c r="E63" s="62">
        <v>90</v>
      </c>
      <c r="F63" s="146">
        <v>40</v>
      </c>
      <c r="G63" s="148">
        <f t="shared" si="1"/>
        <v>3600</v>
      </c>
    </row>
    <row r="64" spans="2:8" ht="15.75" thickBot="1" x14ac:dyDescent="0.3">
      <c r="B64" s="64">
        <v>24</v>
      </c>
      <c r="C64" s="63" t="s">
        <v>424</v>
      </c>
      <c r="D64" s="62" t="s">
        <v>423</v>
      </c>
      <c r="E64" s="62">
        <v>27</v>
      </c>
      <c r="F64" s="60">
        <v>2000</v>
      </c>
      <c r="G64" s="148">
        <f t="shared" si="1"/>
        <v>54000</v>
      </c>
    </row>
    <row r="65" spans="2:8" ht="15.75" thickBot="1" x14ac:dyDescent="0.3">
      <c r="B65" s="64">
        <v>25</v>
      </c>
      <c r="C65" s="63" t="s">
        <v>422</v>
      </c>
      <c r="D65" s="62" t="s">
        <v>420</v>
      </c>
      <c r="E65" s="62">
        <v>1200</v>
      </c>
      <c r="F65" s="146">
        <v>35</v>
      </c>
      <c r="G65" s="148">
        <f t="shared" si="1"/>
        <v>42000</v>
      </c>
      <c r="H65">
        <v>50</v>
      </c>
    </row>
    <row r="66" spans="2:8" ht="15.75" thickBot="1" x14ac:dyDescent="0.3">
      <c r="B66" s="64">
        <v>26</v>
      </c>
      <c r="C66" s="63" t="s">
        <v>421</v>
      </c>
      <c r="D66" s="62" t="s">
        <v>420</v>
      </c>
      <c r="E66" s="62">
        <v>600</v>
      </c>
      <c r="F66" s="146">
        <v>56</v>
      </c>
      <c r="G66" s="148">
        <f t="shared" si="1"/>
        <v>33600</v>
      </c>
      <c r="H66">
        <v>60.52</v>
      </c>
    </row>
    <row r="67" spans="2:8" ht="15.75" thickBot="1" x14ac:dyDescent="0.3">
      <c r="B67" s="64">
        <v>27</v>
      </c>
      <c r="C67" s="63" t="s">
        <v>419</v>
      </c>
      <c r="D67" s="62" t="s">
        <v>418</v>
      </c>
      <c r="E67" s="62">
        <v>500</v>
      </c>
      <c r="F67" s="146">
        <v>23</v>
      </c>
      <c r="G67" s="148">
        <f t="shared" si="1"/>
        <v>11500</v>
      </c>
    </row>
    <row r="68" spans="2:8" ht="15.75" thickBot="1" x14ac:dyDescent="0.3">
      <c r="B68" s="64">
        <v>28</v>
      </c>
      <c r="C68" s="63" t="s">
        <v>417</v>
      </c>
      <c r="D68" s="62" t="s">
        <v>416</v>
      </c>
      <c r="E68" s="62">
        <v>300</v>
      </c>
      <c r="F68" s="146">
        <v>130</v>
      </c>
      <c r="G68" s="148">
        <f t="shared" si="1"/>
        <v>39000</v>
      </c>
      <c r="H68">
        <f>40.43*3.6</f>
        <v>145.548</v>
      </c>
    </row>
    <row r="69" spans="2:8" ht="15.75" thickBot="1" x14ac:dyDescent="0.3">
      <c r="B69" s="64">
        <v>29</v>
      </c>
      <c r="C69" s="63" t="s">
        <v>415</v>
      </c>
      <c r="D69" s="62" t="s">
        <v>414</v>
      </c>
      <c r="E69" s="62">
        <v>3000</v>
      </c>
      <c r="F69" s="146">
        <v>5.7</v>
      </c>
      <c r="G69" s="148">
        <f t="shared" si="1"/>
        <v>17100</v>
      </c>
    </row>
    <row r="70" spans="2:8" ht="15.75" thickBot="1" x14ac:dyDescent="0.3">
      <c r="B70" s="1029" t="s">
        <v>140</v>
      </c>
      <c r="C70" s="1030"/>
      <c r="D70" s="1030"/>
      <c r="E70" s="1031"/>
      <c r="F70" s="148">
        <f>SUM(F41:F69)</f>
        <v>3941.8999999999996</v>
      </c>
      <c r="G70" s="55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G7" sqref="G7:H7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1032" t="s">
        <v>476</v>
      </c>
      <c r="B1" s="1032"/>
      <c r="C1" s="1032"/>
      <c r="D1" s="1032"/>
    </row>
    <row r="2" spans="1:8" ht="15.75" thickBot="1" x14ac:dyDescent="0.3"/>
    <row r="3" spans="1:8" x14ac:dyDescent="0.25">
      <c r="A3" s="44" t="s">
        <v>475</v>
      </c>
      <c r="B3" s="43"/>
      <c r="C3" s="43"/>
      <c r="D3" s="43"/>
      <c r="E3" s="43"/>
      <c r="F3" s="43"/>
      <c r="G3" s="43"/>
      <c r="H3" s="180"/>
    </row>
    <row r="4" spans="1:8" x14ac:dyDescent="0.25">
      <c r="A4" s="41" t="s">
        <v>474</v>
      </c>
      <c r="B4" s="177">
        <v>500000</v>
      </c>
      <c r="C4" s="17" t="s">
        <v>473</v>
      </c>
      <c r="D4" s="17"/>
      <c r="E4" s="17"/>
      <c r="F4" s="179" t="s">
        <v>9</v>
      </c>
      <c r="G4" s="179" t="s">
        <v>10</v>
      </c>
      <c r="H4" s="178" t="s">
        <v>23</v>
      </c>
    </row>
    <row r="5" spans="1:8" x14ac:dyDescent="0.25">
      <c r="A5" s="41" t="s">
        <v>472</v>
      </c>
      <c r="B5" s="177">
        <v>9</v>
      </c>
      <c r="C5" s="17" t="s">
        <v>471</v>
      </c>
      <c r="D5" s="17"/>
      <c r="E5" s="17"/>
      <c r="F5" s="25" t="s">
        <v>1</v>
      </c>
      <c r="G5" s="25" t="s">
        <v>1</v>
      </c>
      <c r="H5" s="166" t="s">
        <v>1</v>
      </c>
    </row>
    <row r="6" spans="1:8" x14ac:dyDescent="0.25">
      <c r="A6" s="176" t="s">
        <v>470</v>
      </c>
      <c r="B6" s="175">
        <f>B4*B5</f>
        <v>4500000</v>
      </c>
      <c r="C6" s="17"/>
      <c r="D6" s="17"/>
      <c r="E6" s="17"/>
      <c r="F6" s="174">
        <f>B8*(6/9)</f>
        <v>300000</v>
      </c>
      <c r="G6" s="174">
        <f>B8*(3/9)</f>
        <v>150000</v>
      </c>
      <c r="H6" s="173">
        <f>F6+G6</f>
        <v>450000</v>
      </c>
    </row>
    <row r="7" spans="1:8" x14ac:dyDescent="0.25">
      <c r="A7" s="41" t="s">
        <v>469</v>
      </c>
      <c r="B7" s="172">
        <v>0.1</v>
      </c>
      <c r="C7" s="17" t="s">
        <v>468</v>
      </c>
      <c r="D7" s="17"/>
      <c r="E7" s="17"/>
      <c r="F7" s="95" t="s">
        <v>1216</v>
      </c>
      <c r="G7" s="1025">
        <v>9.2618000000000006E-2</v>
      </c>
      <c r="H7" s="1026"/>
    </row>
    <row r="8" spans="1:8" ht="15.75" thickBot="1" x14ac:dyDescent="0.3">
      <c r="A8" s="39" t="s">
        <v>467</v>
      </c>
      <c r="B8" s="165">
        <f>B7*B6</f>
        <v>450000</v>
      </c>
      <c r="C8" s="38" t="s">
        <v>1</v>
      </c>
      <c r="D8" s="38"/>
      <c r="E8" s="38"/>
      <c r="F8" s="95" t="s">
        <v>1217</v>
      </c>
      <c r="G8" s="1027">
        <f>H6*(1+G7)</f>
        <v>491678.10000000003</v>
      </c>
      <c r="H8" s="1028"/>
    </row>
    <row r="10" spans="1:8" ht="15.75" thickBot="1" x14ac:dyDescent="0.3"/>
    <row r="11" spans="1:8" x14ac:dyDescent="0.25">
      <c r="A11" s="170" t="s">
        <v>466</v>
      </c>
      <c r="B11" s="43"/>
      <c r="C11" s="43"/>
      <c r="D11" s="43"/>
      <c r="E11" s="43"/>
      <c r="F11" s="169" t="s">
        <v>9</v>
      </c>
      <c r="G11" s="169" t="s">
        <v>10</v>
      </c>
      <c r="H11" s="168" t="s">
        <v>23</v>
      </c>
    </row>
    <row r="12" spans="1:8" x14ac:dyDescent="0.25">
      <c r="A12" s="41" t="s">
        <v>465</v>
      </c>
      <c r="B12" s="167">
        <v>20</v>
      </c>
      <c r="C12" s="17" t="s">
        <v>464</v>
      </c>
      <c r="D12" s="17"/>
      <c r="E12" s="17"/>
      <c r="F12" s="25" t="s">
        <v>1</v>
      </c>
      <c r="G12" s="25" t="s">
        <v>1</v>
      </c>
      <c r="H12" s="166" t="s">
        <v>1</v>
      </c>
    </row>
    <row r="13" spans="1:8" ht="15.75" thickBot="1" x14ac:dyDescent="0.3">
      <c r="A13" s="39" t="s">
        <v>463</v>
      </c>
      <c r="B13" s="165">
        <f>B6/B12</f>
        <v>225000</v>
      </c>
      <c r="C13" s="38" t="s">
        <v>1</v>
      </c>
      <c r="D13" s="38"/>
      <c r="E13" s="38"/>
      <c r="F13" s="164">
        <f>B13*(6/9)</f>
        <v>150000</v>
      </c>
      <c r="G13" s="164">
        <f>B13*(3/9)</f>
        <v>75000</v>
      </c>
      <c r="H13" s="163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38"/>
  <sheetViews>
    <sheetView showGridLines="0" workbookViewId="0">
      <selection activeCell="H5" sqref="H5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42578125" customWidth="1"/>
  </cols>
  <sheetData>
    <row r="2" spans="1:9" x14ac:dyDescent="0.25">
      <c r="A2" s="17"/>
      <c r="B2" s="17"/>
      <c r="C2" s="138"/>
      <c r="D2" s="17"/>
      <c r="E2" s="17"/>
      <c r="F2" s="179" t="s">
        <v>9</v>
      </c>
      <c r="G2" s="179" t="s">
        <v>10</v>
      </c>
      <c r="H2" s="204" t="s">
        <v>23</v>
      </c>
    </row>
    <row r="3" spans="1:9" x14ac:dyDescent="0.25">
      <c r="F3" s="15" t="s">
        <v>1</v>
      </c>
      <c r="G3" s="15" t="s">
        <v>1</v>
      </c>
      <c r="H3" s="15" t="s">
        <v>1</v>
      </c>
    </row>
    <row r="4" spans="1:9" x14ac:dyDescent="0.25">
      <c r="B4" s="1032" t="s">
        <v>491</v>
      </c>
      <c r="C4" s="1032"/>
      <c r="D4" s="1032"/>
      <c r="E4" s="1032"/>
      <c r="F4" s="203"/>
      <c r="G4" s="203"/>
      <c r="H4" s="203">
        <f>C15</f>
        <v>859552.22661190142</v>
      </c>
    </row>
    <row r="5" spans="1:9" x14ac:dyDescent="0.25">
      <c r="G5" s="95" t="s">
        <v>1216</v>
      </c>
      <c r="H5" s="467">
        <f>'custos unitários para atualizar'!$B$4</f>
        <v>0.12956699999999999</v>
      </c>
      <c r="I5" s="483"/>
    </row>
    <row r="6" spans="1:9" x14ac:dyDescent="0.25">
      <c r="G6" s="95" t="s">
        <v>1217</v>
      </c>
      <c r="H6" s="481">
        <f>H4*(1+H5)</f>
        <v>970921.82995732559</v>
      </c>
      <c r="I6" s="482"/>
    </row>
    <row r="7" spans="1:9" x14ac:dyDescent="0.25">
      <c r="B7" t="s">
        <v>490</v>
      </c>
      <c r="C7" s="138">
        <f>2720000*G11</f>
        <v>4810662.6674575554</v>
      </c>
    </row>
    <row r="8" spans="1:9" x14ac:dyDescent="0.25">
      <c r="B8" t="s">
        <v>489</v>
      </c>
      <c r="C8" s="138">
        <f>780000*G11</f>
        <v>1379528.2649326813</v>
      </c>
      <c r="F8" t="s">
        <v>488</v>
      </c>
    </row>
    <row r="9" spans="1:9" x14ac:dyDescent="0.25">
      <c r="B9" t="s">
        <v>487</v>
      </c>
      <c r="C9">
        <v>7.5</v>
      </c>
      <c r="D9" t="s">
        <v>464</v>
      </c>
      <c r="F9" s="162">
        <v>39295</v>
      </c>
      <c r="G9" s="161">
        <v>357.404</v>
      </c>
    </row>
    <row r="10" spans="1:9" x14ac:dyDescent="0.25">
      <c r="B10" t="s">
        <v>486</v>
      </c>
      <c r="C10">
        <v>6</v>
      </c>
      <c r="D10" t="s">
        <v>464</v>
      </c>
      <c r="F10" s="160">
        <v>42401</v>
      </c>
      <c r="G10" s="159">
        <v>632.11400000000003</v>
      </c>
    </row>
    <row r="11" spans="1:9" x14ac:dyDescent="0.25">
      <c r="B11" t="s">
        <v>485</v>
      </c>
      <c r="C11" s="5">
        <v>0.15</v>
      </c>
      <c r="D11" t="s">
        <v>483</v>
      </c>
      <c r="F11" s="158" t="s">
        <v>461</v>
      </c>
      <c r="G11" s="202">
        <f>G10/G9</f>
        <v>1.7686259806829248</v>
      </c>
    </row>
    <row r="12" spans="1:9" x14ac:dyDescent="0.25">
      <c r="B12" t="s">
        <v>484</v>
      </c>
      <c r="C12" s="5">
        <v>0.1</v>
      </c>
      <c r="D12" t="s">
        <v>483</v>
      </c>
    </row>
    <row r="13" spans="1:9" x14ac:dyDescent="0.25">
      <c r="B13" t="s">
        <v>482</v>
      </c>
      <c r="C13" s="138">
        <f>C7*C11</f>
        <v>721599.40011863329</v>
      </c>
      <c r="D13" t="s">
        <v>1</v>
      </c>
    </row>
    <row r="14" spans="1:9" x14ac:dyDescent="0.25">
      <c r="B14" t="s">
        <v>481</v>
      </c>
      <c r="C14" s="138">
        <f>C8*C12</f>
        <v>137952.82649326813</v>
      </c>
      <c r="D14" t="s">
        <v>1</v>
      </c>
    </row>
    <row r="15" spans="1:9" x14ac:dyDescent="0.25">
      <c r="B15" s="17" t="s">
        <v>480</v>
      </c>
      <c r="C15" s="138">
        <f>C13+C14</f>
        <v>859552.22661190142</v>
      </c>
      <c r="D15" t="s">
        <v>1</v>
      </c>
    </row>
    <row r="16" spans="1:9" x14ac:dyDescent="0.25">
      <c r="B16" s="46" t="s">
        <v>479</v>
      </c>
      <c r="C16" s="138">
        <f>C7/C9</f>
        <v>641421.68899434071</v>
      </c>
      <c r="D16" t="s">
        <v>1</v>
      </c>
      <c r="E16" t="s">
        <v>477</v>
      </c>
    </row>
    <row r="17" spans="1:11" x14ac:dyDescent="0.25">
      <c r="B17" s="46" t="s">
        <v>478</v>
      </c>
      <c r="C17" s="138">
        <f>C8/C10</f>
        <v>229921.37748878021</v>
      </c>
      <c r="D17" t="s">
        <v>1</v>
      </c>
      <c r="E17" t="s">
        <v>477</v>
      </c>
    </row>
    <row r="18" spans="1:11" x14ac:dyDescent="0.25">
      <c r="C18" s="4"/>
    </row>
    <row r="19" spans="1:11" x14ac:dyDescent="0.25">
      <c r="A19" s="18"/>
      <c r="B19" s="18"/>
      <c r="C19" s="201"/>
      <c r="D19" s="18"/>
      <c r="E19" s="18"/>
      <c r="F19" s="18"/>
      <c r="G19" s="18"/>
      <c r="H19" s="18"/>
    </row>
    <row r="24" spans="1:11" x14ac:dyDescent="0.25">
      <c r="F24" s="4">
        <f>1730895.29-C15</f>
        <v>871343.06338809861</v>
      </c>
    </row>
    <row r="29" spans="1:11" x14ac:dyDescent="0.25">
      <c r="A29" s="17"/>
      <c r="B29" s="46"/>
      <c r="C29" s="46"/>
      <c r="D29" s="46"/>
      <c r="E29" s="46"/>
      <c r="F29" s="46"/>
      <c r="G29" s="46"/>
      <c r="H29" s="46"/>
      <c r="I29" s="17"/>
      <c r="J29" s="17"/>
      <c r="K29" s="17"/>
    </row>
    <row r="30" spans="1:11" x14ac:dyDescent="0.25">
      <c r="A30" s="17"/>
      <c r="B30" s="46"/>
      <c r="C30" s="46"/>
      <c r="D30" s="46"/>
      <c r="E30" s="46"/>
      <c r="F30" s="46"/>
      <c r="G30" s="46"/>
      <c r="H30" s="46"/>
      <c r="I30" s="17"/>
      <c r="J30" s="17"/>
      <c r="K30" s="17"/>
    </row>
    <row r="31" spans="1:11" x14ac:dyDescent="0.25">
      <c r="A31" s="17"/>
      <c r="B31" s="46"/>
      <c r="C31" s="46"/>
      <c r="D31" s="46"/>
      <c r="E31" s="46"/>
      <c r="F31" s="46"/>
      <c r="G31" s="46"/>
      <c r="H31" s="46"/>
      <c r="I31" s="17"/>
      <c r="J31" s="17"/>
      <c r="K31" s="17"/>
    </row>
    <row r="32" spans="1:11" x14ac:dyDescent="0.25">
      <c r="A32" s="17"/>
      <c r="B32" s="46"/>
      <c r="C32" s="46"/>
      <c r="D32" s="46"/>
      <c r="E32" s="46"/>
      <c r="F32" s="46"/>
      <c r="G32" s="46"/>
      <c r="H32" s="46"/>
      <c r="I32" s="17"/>
      <c r="J32" s="17"/>
      <c r="K32" s="17"/>
    </row>
    <row r="33" spans="1:11" x14ac:dyDescent="0.25">
      <c r="A33" s="17"/>
      <c r="B33" s="46"/>
      <c r="C33" s="46"/>
      <c r="D33" s="46"/>
      <c r="E33" s="46"/>
      <c r="F33" s="46"/>
      <c r="G33" s="46"/>
      <c r="H33" s="46"/>
      <c r="I33" s="17"/>
      <c r="J33" s="17"/>
      <c r="K33" s="17"/>
    </row>
    <row r="34" spans="1:11" x14ac:dyDescent="0.25">
      <c r="A34" s="17"/>
      <c r="B34" s="46"/>
      <c r="C34" s="46"/>
      <c r="D34" s="46"/>
      <c r="E34" s="46"/>
      <c r="F34" s="46"/>
      <c r="G34" s="46"/>
      <c r="H34" s="46"/>
      <c r="I34" s="17"/>
      <c r="J34" s="17"/>
      <c r="K34" s="17"/>
    </row>
    <row r="35" spans="1:11" x14ac:dyDescent="0.25">
      <c r="A35" s="17"/>
      <c r="B35" s="46"/>
      <c r="C35" s="46"/>
      <c r="D35" s="46"/>
      <c r="E35" s="46"/>
      <c r="F35" s="46"/>
      <c r="G35" s="46"/>
      <c r="H35" s="46"/>
      <c r="I35" s="17"/>
      <c r="J35" s="17"/>
      <c r="K35" s="17"/>
    </row>
    <row r="36" spans="1:11" x14ac:dyDescent="0.25">
      <c r="A36" s="17"/>
      <c r="B36" s="46"/>
      <c r="C36" s="46"/>
      <c r="D36" s="46"/>
      <c r="E36" s="46"/>
      <c r="F36" s="46"/>
      <c r="G36" s="46"/>
      <c r="H36" s="46"/>
      <c r="I36" s="17"/>
      <c r="J36" s="17"/>
      <c r="K36" s="17"/>
    </row>
    <row r="37" spans="1:11" x14ac:dyDescent="0.25">
      <c r="A37" s="17"/>
      <c r="B37" s="46"/>
      <c r="C37" s="46"/>
      <c r="D37" s="46"/>
      <c r="E37" s="46"/>
      <c r="F37" s="198"/>
      <c r="G37" s="198"/>
      <c r="H37" s="198"/>
      <c r="I37" s="17"/>
      <c r="J37" s="17"/>
      <c r="K37" s="17"/>
    </row>
    <row r="38" spans="1:11" x14ac:dyDescent="0.25">
      <c r="A38" s="17"/>
      <c r="B38" s="46"/>
      <c r="C38" s="46"/>
      <c r="D38" s="46"/>
      <c r="E38" s="46"/>
      <c r="F38" s="195"/>
      <c r="G38" s="195"/>
      <c r="H38" s="195"/>
      <c r="I38" s="17"/>
      <c r="J38" s="17"/>
      <c r="K38" s="17"/>
    </row>
    <row r="39" spans="1:11" x14ac:dyDescent="0.25">
      <c r="A39" s="17"/>
      <c r="B39" s="1034"/>
      <c r="C39" s="1034"/>
      <c r="D39" s="1034"/>
      <c r="E39" s="1034"/>
      <c r="F39" s="137"/>
      <c r="G39" s="137"/>
      <c r="H39" s="137"/>
      <c r="I39" s="17"/>
      <c r="J39" s="17"/>
      <c r="K39" s="17"/>
    </row>
    <row r="40" spans="1:11" x14ac:dyDescent="0.25">
      <c r="A40" s="17"/>
      <c r="B40" s="46"/>
      <c r="C40" s="46"/>
      <c r="D40" s="46"/>
      <c r="E40" s="46"/>
      <c r="F40" s="46"/>
      <c r="G40" s="46"/>
      <c r="H40" s="46"/>
      <c r="I40" s="17"/>
      <c r="J40" s="17"/>
      <c r="K40" s="17"/>
    </row>
    <row r="41" spans="1:11" x14ac:dyDescent="0.25">
      <c r="A41" s="17"/>
      <c r="B41" s="46"/>
      <c r="C41" s="46"/>
      <c r="D41" s="46"/>
      <c r="E41" s="46"/>
      <c r="F41" s="46"/>
      <c r="G41" s="46"/>
      <c r="H41" s="46"/>
      <c r="I41" s="17"/>
      <c r="J41" s="17"/>
      <c r="K41" s="17"/>
    </row>
    <row r="42" spans="1:11" x14ac:dyDescent="0.25">
      <c r="A42" s="17"/>
      <c r="B42" s="182"/>
      <c r="C42" s="46"/>
      <c r="D42" s="46"/>
      <c r="E42" s="46"/>
      <c r="F42" s="46"/>
      <c r="G42" s="46"/>
      <c r="H42" s="46"/>
      <c r="I42" s="17"/>
      <c r="J42" s="17"/>
      <c r="K42" s="17"/>
    </row>
    <row r="43" spans="1:11" x14ac:dyDescent="0.25">
      <c r="A43" s="17"/>
      <c r="B43" s="46"/>
      <c r="C43" s="46"/>
      <c r="D43" s="46"/>
      <c r="E43" s="46"/>
      <c r="F43" s="46"/>
      <c r="G43" s="46"/>
      <c r="H43" s="46"/>
      <c r="I43" s="17"/>
      <c r="J43" s="17"/>
      <c r="K43" s="17"/>
    </row>
    <row r="44" spans="1:11" x14ac:dyDescent="0.25">
      <c r="A44" s="17"/>
      <c r="B44" s="46"/>
      <c r="C44" s="46"/>
      <c r="D44" s="46"/>
      <c r="E44" s="46"/>
      <c r="F44" s="46"/>
      <c r="G44" s="46"/>
      <c r="H44" s="46"/>
      <c r="I44" s="17"/>
      <c r="J44" s="17"/>
      <c r="K44" s="17"/>
    </row>
    <row r="45" spans="1:11" x14ac:dyDescent="0.25">
      <c r="A45" s="17"/>
      <c r="B45" s="46"/>
      <c r="C45" s="175"/>
      <c r="D45" s="46"/>
      <c r="E45" s="46"/>
      <c r="F45" s="46"/>
      <c r="G45" s="46"/>
      <c r="H45" s="46"/>
      <c r="I45" s="17"/>
      <c r="J45" s="17"/>
      <c r="K45" s="17"/>
    </row>
    <row r="46" spans="1:11" x14ac:dyDescent="0.25">
      <c r="A46" s="17"/>
      <c r="B46" s="46"/>
      <c r="C46" s="175"/>
      <c r="D46" s="46"/>
      <c r="E46" s="46"/>
      <c r="F46" s="46"/>
      <c r="G46" s="46"/>
      <c r="H46" s="46"/>
      <c r="I46" s="17"/>
      <c r="J46" s="17"/>
      <c r="K46" s="17"/>
    </row>
    <row r="47" spans="1:11" x14ac:dyDescent="0.25">
      <c r="A47" s="17"/>
      <c r="B47" s="46"/>
      <c r="C47" s="46"/>
      <c r="D47" s="46"/>
      <c r="E47" s="46"/>
      <c r="F47" s="46"/>
      <c r="G47" s="46"/>
      <c r="H47" s="46"/>
      <c r="I47" s="17"/>
      <c r="J47" s="17"/>
      <c r="K47" s="17"/>
    </row>
    <row r="48" spans="1:11" x14ac:dyDescent="0.25">
      <c r="A48" s="17"/>
      <c r="B48" s="46"/>
      <c r="C48" s="175"/>
      <c r="D48" s="46"/>
      <c r="E48" s="46"/>
      <c r="F48" s="46"/>
      <c r="G48" s="46"/>
      <c r="H48" s="46"/>
      <c r="I48" s="17"/>
      <c r="J48" s="17"/>
      <c r="K48" s="17"/>
    </row>
    <row r="49" spans="1:11" x14ac:dyDescent="0.25">
      <c r="A49" s="17"/>
      <c r="B49" s="46"/>
      <c r="C49" s="175"/>
      <c r="D49" s="46"/>
      <c r="E49" s="46"/>
      <c r="F49" s="46"/>
      <c r="G49" s="46"/>
      <c r="H49" s="46"/>
      <c r="I49" s="17"/>
      <c r="J49" s="17"/>
      <c r="K49" s="17"/>
    </row>
    <row r="50" spans="1:11" x14ac:dyDescent="0.25">
      <c r="A50" s="17"/>
      <c r="B50" s="46"/>
      <c r="C50" s="46"/>
      <c r="D50" s="46"/>
      <c r="E50" s="46"/>
      <c r="F50" s="46"/>
      <c r="G50" s="46"/>
      <c r="H50" s="46"/>
      <c r="I50" s="17"/>
      <c r="J50" s="17"/>
      <c r="K50" s="17"/>
    </row>
    <row r="51" spans="1:11" x14ac:dyDescent="0.25">
      <c r="A51" s="17"/>
      <c r="B51" s="46"/>
      <c r="C51" s="175"/>
      <c r="D51" s="46"/>
      <c r="E51" s="46"/>
      <c r="F51" s="46"/>
      <c r="G51" s="46"/>
      <c r="H51" s="46"/>
      <c r="I51" s="17"/>
      <c r="J51" s="17"/>
      <c r="K51" s="17"/>
    </row>
    <row r="52" spans="1:11" x14ac:dyDescent="0.25">
      <c r="A52" s="17"/>
      <c r="B52" s="199"/>
      <c r="C52" s="175"/>
      <c r="D52" s="46"/>
      <c r="E52" s="46"/>
      <c r="F52" s="46"/>
      <c r="G52" s="46"/>
      <c r="H52" s="46"/>
      <c r="I52" s="17"/>
      <c r="J52" s="17"/>
      <c r="K52" s="17"/>
    </row>
    <row r="53" spans="1:11" x14ac:dyDescent="0.25">
      <c r="A53" s="17"/>
      <c r="B53" s="46"/>
      <c r="C53" s="200"/>
      <c r="D53" s="46"/>
      <c r="E53" s="46"/>
      <c r="F53" s="46"/>
      <c r="G53" s="46"/>
      <c r="H53" s="46"/>
      <c r="I53" s="17"/>
      <c r="J53" s="17"/>
      <c r="K53" s="17"/>
    </row>
    <row r="54" spans="1:11" x14ac:dyDescent="0.25">
      <c r="A54" s="17"/>
      <c r="B54" s="46"/>
      <c r="C54" s="200"/>
      <c r="D54" s="46"/>
      <c r="E54" s="46"/>
      <c r="F54" s="46"/>
      <c r="G54" s="46"/>
      <c r="H54" s="46"/>
      <c r="I54" s="17"/>
      <c r="J54" s="17"/>
      <c r="K54" s="17"/>
    </row>
    <row r="55" spans="1:11" x14ac:dyDescent="0.25">
      <c r="A55" s="17"/>
      <c r="B55" s="46"/>
      <c r="C55" s="175"/>
      <c r="D55" s="46"/>
      <c r="E55" s="46"/>
      <c r="F55" s="46"/>
      <c r="G55" s="46"/>
      <c r="H55" s="46"/>
      <c r="I55" s="17"/>
      <c r="J55" s="17"/>
      <c r="K55" s="17"/>
    </row>
    <row r="56" spans="1:11" x14ac:dyDescent="0.25">
      <c r="A56" s="17"/>
      <c r="B56" s="46"/>
      <c r="C56" s="175"/>
      <c r="D56" s="46"/>
      <c r="E56" s="46"/>
      <c r="F56" s="46"/>
      <c r="G56" s="46"/>
      <c r="H56" s="46"/>
      <c r="I56" s="17"/>
      <c r="J56" s="17"/>
      <c r="K56" s="17"/>
    </row>
    <row r="57" spans="1:11" x14ac:dyDescent="0.25">
      <c r="A57" s="17"/>
      <c r="B57" s="46"/>
      <c r="C57" s="175"/>
      <c r="D57" s="46"/>
      <c r="E57" s="46"/>
      <c r="F57" s="46"/>
      <c r="G57" s="46"/>
      <c r="H57" s="46"/>
      <c r="I57" s="17"/>
      <c r="J57" s="17"/>
      <c r="K57" s="17"/>
    </row>
    <row r="58" spans="1:11" x14ac:dyDescent="0.25">
      <c r="A58" s="17"/>
      <c r="B58" s="46"/>
      <c r="C58" s="175"/>
      <c r="D58" s="46"/>
      <c r="E58" s="46"/>
      <c r="F58" s="198"/>
      <c r="G58" s="198"/>
      <c r="H58" s="198"/>
      <c r="I58" s="17"/>
      <c r="J58" s="17"/>
      <c r="K58" s="17"/>
    </row>
    <row r="59" spans="1:11" x14ac:dyDescent="0.25">
      <c r="A59" s="17"/>
      <c r="B59" s="46"/>
      <c r="C59" s="175"/>
      <c r="D59" s="46"/>
      <c r="E59" s="46"/>
      <c r="F59" s="46"/>
      <c r="G59" s="46"/>
      <c r="H59" s="46"/>
      <c r="I59" s="17"/>
      <c r="J59" s="17"/>
      <c r="K59" s="17"/>
    </row>
    <row r="60" spans="1:11" x14ac:dyDescent="0.25">
      <c r="A60" s="17"/>
      <c r="B60" s="46"/>
      <c r="C60" s="46"/>
      <c r="D60" s="46"/>
      <c r="E60" s="46"/>
      <c r="F60" s="46"/>
      <c r="G60" s="46"/>
      <c r="H60" s="46"/>
      <c r="I60" s="17"/>
      <c r="J60" s="17"/>
      <c r="K60" s="17"/>
    </row>
    <row r="61" spans="1:11" x14ac:dyDescent="0.25">
      <c r="A61" s="17"/>
      <c r="B61" s="199"/>
      <c r="C61" s="175"/>
      <c r="D61" s="46"/>
      <c r="E61" s="46"/>
      <c r="F61" s="46"/>
      <c r="G61" s="46"/>
      <c r="H61" s="46"/>
      <c r="I61" s="17"/>
      <c r="J61" s="17"/>
      <c r="K61" s="17"/>
    </row>
    <row r="62" spans="1:11" x14ac:dyDescent="0.25">
      <c r="A62" s="17"/>
      <c r="B62" s="46"/>
      <c r="C62" s="175"/>
      <c r="D62" s="46"/>
      <c r="E62" s="46"/>
      <c r="F62" s="46"/>
      <c r="G62" s="46"/>
      <c r="H62" s="46"/>
      <c r="I62" s="17"/>
      <c r="J62" s="17"/>
      <c r="K62" s="17"/>
    </row>
    <row r="63" spans="1:11" x14ac:dyDescent="0.25">
      <c r="A63" s="17"/>
      <c r="B63" s="46"/>
      <c r="C63" s="175"/>
      <c r="D63" s="46"/>
      <c r="E63" s="46"/>
      <c r="F63" s="46"/>
      <c r="G63" s="46"/>
      <c r="H63" s="46"/>
      <c r="I63" s="17"/>
      <c r="J63" s="17"/>
      <c r="K63" s="17"/>
    </row>
    <row r="64" spans="1:11" x14ac:dyDescent="0.25">
      <c r="A64" s="17"/>
      <c r="B64" s="46"/>
      <c r="C64" s="175"/>
      <c r="D64" s="46"/>
      <c r="E64" s="46"/>
      <c r="F64" s="46"/>
      <c r="G64" s="46"/>
      <c r="H64" s="46"/>
      <c r="I64" s="17"/>
      <c r="J64" s="17"/>
      <c r="K64" s="17"/>
    </row>
    <row r="65" spans="1:11" x14ac:dyDescent="0.25">
      <c r="A65" s="17"/>
      <c r="B65" s="46"/>
      <c r="C65" s="175"/>
      <c r="D65" s="46"/>
      <c r="E65" s="46"/>
      <c r="F65" s="46"/>
      <c r="G65" s="46"/>
      <c r="H65" s="46"/>
      <c r="I65" s="17"/>
      <c r="J65" s="17"/>
      <c r="K65" s="17"/>
    </row>
    <row r="66" spans="1:11" x14ac:dyDescent="0.25">
      <c r="A66" s="17"/>
      <c r="B66" s="46"/>
      <c r="C66" s="175"/>
      <c r="D66" s="46"/>
      <c r="E66" s="46"/>
      <c r="F66" s="46"/>
      <c r="G66" s="46"/>
      <c r="H66" s="46"/>
      <c r="I66" s="17"/>
      <c r="J66" s="17"/>
      <c r="K66" s="17"/>
    </row>
    <row r="67" spans="1:11" x14ac:dyDescent="0.25">
      <c r="A67" s="17"/>
      <c r="B67" s="46"/>
      <c r="C67" s="175"/>
      <c r="D67" s="46"/>
      <c r="E67" s="46"/>
      <c r="F67" s="46"/>
      <c r="G67" s="46"/>
      <c r="H67" s="46"/>
      <c r="I67" s="17"/>
      <c r="J67" s="17"/>
      <c r="K67" s="17"/>
    </row>
    <row r="68" spans="1:11" x14ac:dyDescent="0.25">
      <c r="A68" s="17"/>
      <c r="B68" s="46"/>
      <c r="C68" s="175"/>
      <c r="D68" s="46"/>
      <c r="E68" s="46"/>
      <c r="F68" s="46"/>
      <c r="G68" s="46"/>
      <c r="H68" s="46"/>
      <c r="I68" s="17"/>
      <c r="J68" s="17"/>
      <c r="K68" s="17"/>
    </row>
    <row r="69" spans="1:11" x14ac:dyDescent="0.25">
      <c r="A69" s="17"/>
      <c r="B69" s="46"/>
      <c r="C69" s="175"/>
      <c r="D69" s="46"/>
      <c r="E69" s="46"/>
      <c r="F69" s="46"/>
      <c r="G69" s="46"/>
      <c r="H69" s="46"/>
      <c r="I69" s="17"/>
      <c r="J69" s="17"/>
      <c r="K69" s="17"/>
    </row>
    <row r="70" spans="1:11" x14ac:dyDescent="0.25">
      <c r="A70" s="17"/>
      <c r="B70" s="46"/>
      <c r="C70" s="175"/>
      <c r="D70" s="46"/>
      <c r="E70" s="46"/>
      <c r="F70" s="46"/>
      <c r="G70" s="46"/>
      <c r="H70" s="46"/>
      <c r="I70" s="17"/>
      <c r="J70" s="17"/>
      <c r="K70" s="17"/>
    </row>
    <row r="71" spans="1:11" x14ac:dyDescent="0.25">
      <c r="A71" s="17"/>
      <c r="B71" s="46"/>
      <c r="C71" s="175"/>
      <c r="D71" s="46"/>
      <c r="E71" s="46"/>
      <c r="F71" s="46"/>
      <c r="G71" s="46"/>
      <c r="H71" s="46"/>
      <c r="I71" s="17"/>
      <c r="J71" s="17"/>
      <c r="K71" s="17"/>
    </row>
    <row r="72" spans="1:11" x14ac:dyDescent="0.25">
      <c r="A72" s="17"/>
      <c r="B72" s="199"/>
      <c r="C72" s="175"/>
      <c r="D72" s="46"/>
      <c r="E72" s="46"/>
      <c r="F72" s="46"/>
      <c r="G72" s="46"/>
      <c r="H72" s="46"/>
      <c r="I72" s="17"/>
      <c r="J72" s="17"/>
      <c r="K72" s="17"/>
    </row>
    <row r="73" spans="1:11" x14ac:dyDescent="0.25">
      <c r="A73" s="17"/>
      <c r="B73" s="46"/>
      <c r="C73" s="175"/>
      <c r="D73" s="46"/>
      <c r="E73" s="46"/>
      <c r="F73" s="46"/>
      <c r="G73" s="46"/>
      <c r="H73" s="46"/>
      <c r="I73" s="17"/>
      <c r="J73" s="17"/>
      <c r="K73" s="17"/>
    </row>
    <row r="74" spans="1:11" x14ac:dyDescent="0.25">
      <c r="A74" s="17"/>
      <c r="B74" s="46"/>
      <c r="C74" s="175"/>
      <c r="D74" s="46"/>
      <c r="E74" s="46"/>
      <c r="F74" s="46"/>
      <c r="G74" s="46"/>
      <c r="H74" s="46"/>
      <c r="I74" s="17"/>
      <c r="J74" s="17"/>
      <c r="K74" s="17"/>
    </row>
    <row r="75" spans="1:11" x14ac:dyDescent="0.25">
      <c r="A75" s="17"/>
      <c r="B75" s="46"/>
      <c r="C75" s="175"/>
      <c r="D75" s="46"/>
      <c r="E75" s="46"/>
      <c r="F75" s="46"/>
      <c r="G75" s="46"/>
      <c r="H75" s="46"/>
      <c r="I75" s="17"/>
      <c r="J75" s="17"/>
      <c r="K75" s="17"/>
    </row>
    <row r="76" spans="1:11" x14ac:dyDescent="0.25">
      <c r="A76" s="17"/>
      <c r="B76" s="46"/>
      <c r="C76" s="175"/>
      <c r="D76" s="46"/>
      <c r="E76" s="46"/>
      <c r="F76" s="46"/>
      <c r="G76" s="46"/>
      <c r="H76" s="46"/>
      <c r="I76" s="17"/>
      <c r="J76" s="17"/>
      <c r="K76" s="17"/>
    </row>
    <row r="77" spans="1:11" x14ac:dyDescent="0.25">
      <c r="A77" s="17"/>
      <c r="B77" s="46"/>
      <c r="C77" s="175"/>
      <c r="D77" s="46"/>
      <c r="E77" s="46"/>
      <c r="F77" s="46"/>
      <c r="G77" s="46"/>
      <c r="H77" s="46"/>
      <c r="I77" s="17"/>
      <c r="J77" s="17"/>
      <c r="K77" s="17"/>
    </row>
    <row r="78" spans="1:11" x14ac:dyDescent="0.25">
      <c r="A78" s="17"/>
      <c r="B78" s="46"/>
      <c r="C78" s="175"/>
      <c r="D78" s="46"/>
      <c r="E78" s="46"/>
      <c r="F78" s="46"/>
      <c r="G78" s="46"/>
      <c r="H78" s="46"/>
      <c r="I78" s="17"/>
      <c r="J78" s="17"/>
      <c r="K78" s="17"/>
    </row>
    <row r="79" spans="1:11" x14ac:dyDescent="0.25">
      <c r="A79" s="17"/>
      <c r="B79" s="46"/>
      <c r="C79" s="175"/>
      <c r="D79" s="46"/>
      <c r="E79" s="46"/>
      <c r="F79" s="46"/>
      <c r="G79" s="46"/>
      <c r="H79" s="46"/>
      <c r="I79" s="17"/>
      <c r="J79" s="17"/>
      <c r="K79" s="17"/>
    </row>
    <row r="80" spans="1:11" x14ac:dyDescent="0.25">
      <c r="A80" s="17"/>
      <c r="B80" s="46"/>
      <c r="C80" s="175"/>
      <c r="D80" s="46"/>
      <c r="E80" s="46"/>
      <c r="F80" s="46"/>
      <c r="G80" s="46"/>
      <c r="H80" s="46"/>
      <c r="I80" s="17"/>
      <c r="J80" s="17"/>
      <c r="K80" s="17"/>
    </row>
    <row r="81" spans="1:11" x14ac:dyDescent="0.25">
      <c r="A81" s="17"/>
      <c r="B81" s="46"/>
      <c r="C81" s="46"/>
      <c r="D81" s="46"/>
      <c r="E81" s="46"/>
      <c r="F81" s="198"/>
      <c r="G81" s="198"/>
      <c r="H81" s="198"/>
      <c r="I81" s="17"/>
      <c r="J81" s="17"/>
      <c r="K81" s="17"/>
    </row>
    <row r="82" spans="1:11" x14ac:dyDescent="0.25">
      <c r="A82" s="17"/>
      <c r="B82" s="46"/>
      <c r="C82" s="46"/>
      <c r="D82" s="46"/>
      <c r="E82" s="46"/>
      <c r="F82" s="195"/>
      <c r="G82" s="195"/>
      <c r="H82" s="195"/>
      <c r="I82" s="17"/>
      <c r="J82" s="17"/>
      <c r="K82" s="17"/>
    </row>
    <row r="83" spans="1:11" x14ac:dyDescent="0.25">
      <c r="A83" s="17"/>
      <c r="B83" s="1034"/>
      <c r="C83" s="1034"/>
      <c r="D83" s="1034"/>
      <c r="E83" s="1034"/>
      <c r="F83" s="137"/>
      <c r="G83" s="137"/>
      <c r="H83" s="137"/>
      <c r="I83" s="17"/>
      <c r="J83" s="17"/>
      <c r="K83" s="17"/>
    </row>
    <row r="84" spans="1:11" x14ac:dyDescent="0.25">
      <c r="A84" s="17"/>
      <c r="B84" s="46"/>
      <c r="C84" s="46"/>
      <c r="D84" s="46"/>
      <c r="E84" s="46"/>
      <c r="F84" s="46"/>
      <c r="G84" s="46"/>
      <c r="H84" s="46"/>
      <c r="I84" s="17"/>
      <c r="J84" s="17"/>
      <c r="K84" s="17"/>
    </row>
    <row r="85" spans="1:11" x14ac:dyDescent="0.25">
      <c r="A85" s="17"/>
      <c r="B85" s="46"/>
      <c r="C85" s="175"/>
      <c r="D85" s="46"/>
      <c r="E85" s="46"/>
      <c r="F85" s="46"/>
      <c r="G85" s="46"/>
      <c r="H85" s="46"/>
      <c r="I85" s="17"/>
      <c r="J85" s="17"/>
      <c r="K85" s="17"/>
    </row>
    <row r="86" spans="1:11" x14ac:dyDescent="0.25">
      <c r="A86" s="17"/>
      <c r="B86" s="46"/>
      <c r="C86" s="175"/>
      <c r="D86" s="46"/>
      <c r="E86" s="46"/>
      <c r="F86" s="46"/>
      <c r="G86" s="46"/>
      <c r="H86" s="46"/>
      <c r="I86" s="17"/>
      <c r="J86" s="17"/>
      <c r="K86" s="17"/>
    </row>
    <row r="87" spans="1:11" x14ac:dyDescent="0.25">
      <c r="A87" s="17"/>
      <c r="B87" s="46"/>
      <c r="C87" s="197"/>
      <c r="D87" s="46"/>
      <c r="E87" s="46"/>
      <c r="F87" s="46"/>
      <c r="G87" s="46"/>
      <c r="H87" s="46"/>
      <c r="I87" s="17"/>
      <c r="J87" s="17"/>
      <c r="K87" s="17"/>
    </row>
    <row r="88" spans="1:11" x14ac:dyDescent="0.25">
      <c r="A88" s="17"/>
      <c r="B88" s="46"/>
      <c r="C88" s="175"/>
      <c r="D88" s="46"/>
      <c r="E88" s="46"/>
      <c r="F88" s="46"/>
      <c r="G88" s="46"/>
      <c r="H88" s="46"/>
      <c r="I88" s="17"/>
      <c r="J88" s="17"/>
      <c r="K88" s="17"/>
    </row>
    <row r="89" spans="1:11" x14ac:dyDescent="0.25">
      <c r="A89" s="17"/>
      <c r="B89" s="46"/>
      <c r="C89" s="196"/>
      <c r="D89" s="46"/>
      <c r="E89" s="46"/>
      <c r="F89" s="46"/>
      <c r="G89" s="46"/>
      <c r="H89" s="46"/>
      <c r="I89" s="17"/>
      <c r="J89" s="17"/>
      <c r="K89" s="17"/>
    </row>
    <row r="90" spans="1:11" x14ac:dyDescent="0.25">
      <c r="A90" s="17"/>
      <c r="B90" s="46"/>
      <c r="C90" s="175"/>
      <c r="D90" s="46"/>
      <c r="E90" s="46"/>
      <c r="F90" s="46"/>
      <c r="G90" s="46"/>
      <c r="H90" s="46"/>
      <c r="I90" s="17"/>
      <c r="J90" s="17"/>
      <c r="K90" s="17"/>
    </row>
    <row r="91" spans="1:11" x14ac:dyDescent="0.25">
      <c r="A91" s="17"/>
      <c r="B91" s="46"/>
      <c r="C91" s="175"/>
      <c r="D91" s="46"/>
      <c r="E91" s="46"/>
      <c r="F91" s="46"/>
      <c r="G91" s="46"/>
      <c r="H91" s="46"/>
      <c r="I91" s="17"/>
      <c r="J91" s="17"/>
      <c r="K91" s="17"/>
    </row>
    <row r="92" spans="1:11" x14ac:dyDescent="0.25">
      <c r="A92" s="17"/>
      <c r="B92" s="46"/>
      <c r="C92" s="46"/>
      <c r="D92" s="46"/>
      <c r="E92" s="46"/>
      <c r="F92" s="195"/>
      <c r="G92" s="195"/>
      <c r="H92" s="195"/>
      <c r="I92" s="17"/>
      <c r="J92" s="17"/>
      <c r="K92" s="17"/>
    </row>
    <row r="93" spans="1:11" x14ac:dyDescent="0.25">
      <c r="A93" s="17"/>
      <c r="B93" s="1034"/>
      <c r="C93" s="1034"/>
      <c r="D93" s="1034"/>
      <c r="E93" s="1034"/>
      <c r="F93" s="137"/>
      <c r="G93" s="137"/>
      <c r="H93" s="137"/>
      <c r="I93" s="17"/>
      <c r="J93" s="17"/>
      <c r="K93" s="17"/>
    </row>
    <row r="94" spans="1:11" x14ac:dyDescent="0.25">
      <c r="A94" s="17"/>
      <c r="B94" s="46"/>
      <c r="C94" s="137"/>
      <c r="D94" s="46"/>
      <c r="E94" s="46"/>
      <c r="F94" s="46"/>
      <c r="G94" s="46"/>
      <c r="H94" s="46"/>
      <c r="I94" s="17"/>
      <c r="J94" s="17"/>
      <c r="K94" s="17"/>
    </row>
    <row r="95" spans="1:11" x14ac:dyDescent="0.25">
      <c r="A95" s="17"/>
      <c r="B95" s="46"/>
      <c r="C95" s="46"/>
      <c r="D95" s="46"/>
      <c r="E95" s="46"/>
      <c r="F95" s="46"/>
      <c r="G95" s="46"/>
      <c r="H95" s="46"/>
      <c r="I95" s="17"/>
      <c r="J95" s="17"/>
      <c r="K95" s="17"/>
    </row>
    <row r="96" spans="1:11" x14ac:dyDescent="0.25">
      <c r="A96" s="17"/>
      <c r="B96" s="46"/>
      <c r="C96" s="187"/>
      <c r="D96" s="46"/>
      <c r="E96" s="46"/>
      <c r="F96" s="46"/>
      <c r="G96" s="46"/>
      <c r="H96" s="46"/>
      <c r="I96" s="17"/>
      <c r="J96" s="17"/>
      <c r="K96" s="17"/>
    </row>
    <row r="97" spans="1:11" x14ac:dyDescent="0.25">
      <c r="A97" s="17"/>
      <c r="B97" s="46"/>
      <c r="C97" s="187"/>
      <c r="D97" s="46"/>
      <c r="E97" s="46"/>
      <c r="F97" s="46"/>
      <c r="G97" s="46"/>
      <c r="H97" s="46"/>
      <c r="I97" s="17"/>
      <c r="J97" s="17"/>
      <c r="K97" s="17"/>
    </row>
    <row r="98" spans="1:11" x14ac:dyDescent="0.25">
      <c r="A98" s="17"/>
      <c r="B98" s="46"/>
      <c r="C98" s="189"/>
      <c r="D98" s="46"/>
      <c r="E98" s="46"/>
      <c r="F98" s="189"/>
      <c r="G98" s="184"/>
      <c r="H98" s="46"/>
      <c r="I98" s="17"/>
      <c r="J98" s="17"/>
      <c r="K98" s="17"/>
    </row>
    <row r="99" spans="1:11" x14ac:dyDescent="0.25">
      <c r="A99" s="17"/>
      <c r="B99" s="46"/>
      <c r="C99" s="189"/>
      <c r="D99" s="46"/>
      <c r="E99" s="46"/>
      <c r="F99" s="46"/>
      <c r="G99" s="46"/>
      <c r="H99" s="46"/>
      <c r="I99" s="17"/>
      <c r="J99" s="17"/>
      <c r="K99" s="17"/>
    </row>
    <row r="100" spans="1:11" x14ac:dyDescent="0.25">
      <c r="A100" s="17"/>
      <c r="B100" s="46"/>
      <c r="C100" s="46"/>
      <c r="D100" s="46"/>
      <c r="E100" s="46"/>
      <c r="F100" s="46"/>
      <c r="G100" s="46"/>
      <c r="H100" s="46"/>
      <c r="I100" s="17"/>
      <c r="J100" s="17"/>
      <c r="K100" s="17"/>
    </row>
    <row r="101" spans="1:11" x14ac:dyDescent="0.25">
      <c r="A101" s="17"/>
      <c r="B101" s="46"/>
      <c r="C101" s="46"/>
      <c r="D101" s="46"/>
      <c r="E101" s="46"/>
      <c r="F101" s="46"/>
      <c r="G101" s="46"/>
      <c r="H101" s="46"/>
      <c r="I101" s="17"/>
      <c r="J101" s="17"/>
      <c r="K101" s="17"/>
    </row>
    <row r="102" spans="1:11" x14ac:dyDescent="0.25">
      <c r="A102" s="17"/>
      <c r="B102" s="46"/>
      <c r="C102" s="189"/>
      <c r="D102" s="46"/>
      <c r="E102" s="46"/>
      <c r="F102" s="46"/>
      <c r="G102" s="46"/>
      <c r="H102" s="46"/>
      <c r="I102" s="17"/>
      <c r="J102" s="17"/>
      <c r="K102" s="17"/>
    </row>
    <row r="103" spans="1:11" x14ac:dyDescent="0.25">
      <c r="A103" s="17"/>
      <c r="B103" s="46"/>
      <c r="C103" s="189"/>
      <c r="D103" s="46"/>
      <c r="E103" s="46"/>
      <c r="F103" s="46"/>
      <c r="G103" s="46"/>
      <c r="H103" s="46"/>
      <c r="I103" s="17"/>
      <c r="J103" s="17"/>
      <c r="K103" s="17"/>
    </row>
    <row r="104" spans="1:11" x14ac:dyDescent="0.25">
      <c r="A104" s="17"/>
      <c r="B104" s="46"/>
      <c r="C104" s="189"/>
      <c r="D104" s="46"/>
      <c r="E104" s="46"/>
      <c r="F104" s="46"/>
      <c r="G104" s="46"/>
      <c r="H104" s="46"/>
      <c r="I104" s="17"/>
      <c r="J104" s="17"/>
      <c r="K104" s="17"/>
    </row>
    <row r="105" spans="1:11" x14ac:dyDescent="0.25">
      <c r="A105" s="17"/>
      <c r="B105" s="46"/>
      <c r="C105" s="137"/>
      <c r="D105" s="46"/>
      <c r="E105" s="46"/>
      <c r="F105" s="46"/>
      <c r="G105" s="46"/>
      <c r="H105" s="46"/>
      <c r="I105" s="17"/>
      <c r="J105" s="17"/>
      <c r="K105" s="17"/>
    </row>
    <row r="106" spans="1:11" x14ac:dyDescent="0.25">
      <c r="A106" s="17"/>
      <c r="B106" s="46"/>
      <c r="C106" s="137"/>
      <c r="D106" s="46"/>
      <c r="E106" s="46"/>
      <c r="F106" s="46"/>
      <c r="G106" s="46"/>
      <c r="H106" s="46"/>
      <c r="I106" s="17"/>
      <c r="J106" s="17"/>
      <c r="K106" s="17"/>
    </row>
    <row r="107" spans="1:11" x14ac:dyDescent="0.25">
      <c r="A107" s="17"/>
      <c r="B107" s="46"/>
      <c r="C107" s="137"/>
      <c r="D107" s="46"/>
      <c r="E107" s="46"/>
      <c r="F107" s="46"/>
      <c r="G107" s="46"/>
      <c r="H107" s="46"/>
      <c r="I107" s="17"/>
      <c r="J107" s="17"/>
      <c r="K107" s="17"/>
    </row>
    <row r="108" spans="1:11" x14ac:dyDescent="0.25">
      <c r="A108" s="17"/>
      <c r="B108" s="46"/>
      <c r="C108" s="137"/>
      <c r="D108" s="46"/>
      <c r="E108" s="46"/>
      <c r="F108" s="46"/>
      <c r="G108" s="46"/>
      <c r="H108" s="46"/>
      <c r="I108" s="17"/>
      <c r="J108" s="17"/>
      <c r="K108" s="17"/>
    </row>
    <row r="109" spans="1:11" x14ac:dyDescent="0.25">
      <c r="A109" s="17"/>
      <c r="B109" s="46"/>
      <c r="C109" s="46"/>
      <c r="D109" s="46"/>
      <c r="E109" s="46"/>
      <c r="F109" s="46"/>
      <c r="G109" s="46"/>
      <c r="H109" s="46"/>
      <c r="I109" s="17"/>
      <c r="J109" s="17"/>
      <c r="K109" s="17"/>
    </row>
    <row r="110" spans="1:11" x14ac:dyDescent="0.25">
      <c r="A110" s="17"/>
      <c r="B110" s="1034"/>
      <c r="C110" s="1034"/>
      <c r="D110" s="1034"/>
      <c r="E110" s="1034"/>
      <c r="F110" s="195"/>
      <c r="G110" s="195"/>
      <c r="H110" s="195"/>
      <c r="I110" s="188"/>
      <c r="J110" s="17"/>
      <c r="K110" s="17"/>
    </row>
    <row r="111" spans="1:11" x14ac:dyDescent="0.25">
      <c r="A111" s="17"/>
      <c r="B111" s="46"/>
      <c r="C111" s="46"/>
      <c r="D111" s="46"/>
      <c r="E111" s="46"/>
      <c r="F111" s="137"/>
      <c r="G111" s="137"/>
      <c r="H111" s="137"/>
      <c r="I111" s="188"/>
      <c r="J111" s="17"/>
      <c r="K111" s="17"/>
    </row>
    <row r="112" spans="1:11" x14ac:dyDescent="0.25">
      <c r="A112" s="17"/>
      <c r="B112" s="46"/>
      <c r="C112" s="46"/>
      <c r="D112" s="46"/>
      <c r="E112" s="46"/>
      <c r="F112" s="46"/>
      <c r="G112" s="46"/>
      <c r="H112" s="46"/>
      <c r="I112" s="188"/>
      <c r="J112" s="17"/>
      <c r="K112" s="17"/>
    </row>
    <row r="113" spans="1:11" x14ac:dyDescent="0.25">
      <c r="A113" s="17"/>
      <c r="B113" s="194"/>
      <c r="C113" s="46"/>
      <c r="D113" s="46"/>
      <c r="E113" s="46"/>
      <c r="F113" s="46"/>
      <c r="G113" s="46"/>
      <c r="H113" s="46"/>
      <c r="I113" s="193"/>
      <c r="J113" s="17"/>
      <c r="K113" s="17"/>
    </row>
    <row r="114" spans="1:11" x14ac:dyDescent="0.25">
      <c r="A114" s="17"/>
      <c r="B114" s="184"/>
      <c r="C114" s="46"/>
      <c r="D114" s="184"/>
      <c r="E114" s="46"/>
      <c r="F114" s="46"/>
      <c r="G114" s="46"/>
      <c r="H114" s="46"/>
      <c r="I114" s="188"/>
      <c r="J114" s="17"/>
      <c r="K114" s="17"/>
    </row>
    <row r="115" spans="1:11" x14ac:dyDescent="0.25">
      <c r="A115" s="17"/>
      <c r="B115" s="184"/>
      <c r="C115" s="46"/>
      <c r="D115" s="184"/>
      <c r="E115" s="46"/>
      <c r="F115" s="46"/>
      <c r="G115" s="46"/>
      <c r="H115" s="46"/>
      <c r="I115" s="188"/>
      <c r="J115" s="17"/>
      <c r="K115" s="17"/>
    </row>
    <row r="116" spans="1:11" x14ac:dyDescent="0.25">
      <c r="A116" s="17"/>
      <c r="B116" s="190"/>
      <c r="C116" s="192"/>
      <c r="D116" s="46"/>
      <c r="E116" s="46"/>
      <c r="F116" s="46"/>
      <c r="G116" s="46"/>
      <c r="H116" s="46"/>
      <c r="I116" s="188"/>
      <c r="J116" s="17"/>
      <c r="K116" s="17"/>
    </row>
    <row r="117" spans="1:11" x14ac:dyDescent="0.25">
      <c r="A117" s="17"/>
      <c r="B117" s="190"/>
      <c r="C117" s="137"/>
      <c r="D117" s="184"/>
      <c r="E117" s="46"/>
      <c r="F117" s="46"/>
      <c r="G117" s="46"/>
      <c r="H117" s="46"/>
      <c r="I117" s="188"/>
      <c r="J117" s="17"/>
      <c r="K117" s="17"/>
    </row>
    <row r="118" spans="1:11" x14ac:dyDescent="0.25">
      <c r="A118" s="17"/>
      <c r="B118" s="190"/>
      <c r="C118" s="137"/>
      <c r="D118" s="184"/>
      <c r="E118" s="46"/>
      <c r="F118" s="46"/>
      <c r="G118" s="46"/>
      <c r="H118" s="46"/>
      <c r="I118" s="188"/>
      <c r="J118" s="17"/>
      <c r="K118" s="17"/>
    </row>
    <row r="119" spans="1:11" x14ac:dyDescent="0.25">
      <c r="A119" s="17"/>
      <c r="B119" s="190"/>
      <c r="C119" s="191"/>
      <c r="D119" s="184"/>
      <c r="E119" s="46"/>
      <c r="F119" s="46"/>
      <c r="G119" s="46"/>
      <c r="H119" s="46"/>
      <c r="I119" s="188"/>
      <c r="J119" s="17"/>
      <c r="K119" s="17"/>
    </row>
    <row r="120" spans="1:11" x14ac:dyDescent="0.25">
      <c r="A120" s="17"/>
      <c r="B120" s="190"/>
      <c r="C120" s="189"/>
      <c r="D120" s="184"/>
      <c r="E120" s="46"/>
      <c r="F120" s="46"/>
      <c r="G120" s="46"/>
      <c r="H120" s="46"/>
      <c r="I120" s="188"/>
      <c r="J120" s="17"/>
      <c r="K120" s="17"/>
    </row>
    <row r="121" spans="1:11" x14ac:dyDescent="0.25">
      <c r="A121" s="17"/>
      <c r="B121" s="184"/>
      <c r="C121" s="187"/>
      <c r="D121" s="46"/>
      <c r="E121" s="184"/>
      <c r="F121" s="46"/>
      <c r="G121" s="46"/>
      <c r="H121" s="46"/>
      <c r="I121" s="188"/>
      <c r="J121" s="17"/>
      <c r="K121" s="17"/>
    </row>
    <row r="122" spans="1:11" x14ac:dyDescent="0.25">
      <c r="A122" s="17"/>
      <c r="B122" s="184"/>
      <c r="C122" s="187"/>
      <c r="D122" s="46"/>
      <c r="E122" s="184"/>
      <c r="F122" s="46"/>
      <c r="G122" s="46"/>
      <c r="H122" s="46"/>
      <c r="I122" s="17"/>
      <c r="J122" s="17"/>
      <c r="K122" s="17"/>
    </row>
    <row r="123" spans="1:11" x14ac:dyDescent="0.25">
      <c r="A123" s="17"/>
      <c r="B123" s="184"/>
      <c r="C123" s="137"/>
      <c r="D123" s="184"/>
      <c r="E123" s="46"/>
      <c r="F123" s="46"/>
      <c r="G123" s="46"/>
      <c r="H123" s="46"/>
      <c r="I123" s="17"/>
      <c r="J123" s="17"/>
      <c r="K123" s="17"/>
    </row>
    <row r="124" spans="1:11" x14ac:dyDescent="0.25">
      <c r="A124" s="17"/>
      <c r="B124" s="184"/>
      <c r="C124" s="137"/>
      <c r="D124" s="184"/>
      <c r="E124" s="46"/>
      <c r="F124" s="46"/>
      <c r="G124" s="46"/>
      <c r="H124" s="46"/>
      <c r="I124" s="186"/>
      <c r="J124" s="17"/>
      <c r="K124" s="17"/>
    </row>
    <row r="125" spans="1:11" x14ac:dyDescent="0.25">
      <c r="A125" s="17"/>
      <c r="B125" s="46"/>
      <c r="C125" s="46"/>
      <c r="D125" s="46"/>
      <c r="E125" s="46"/>
      <c r="F125" s="46"/>
      <c r="G125" s="46"/>
      <c r="H125" s="46"/>
      <c r="I125" s="17"/>
      <c r="J125" s="17"/>
      <c r="K125" s="17"/>
    </row>
    <row r="126" spans="1:11" x14ac:dyDescent="0.25">
      <c r="A126" s="17"/>
      <c r="B126" s="1033"/>
      <c r="C126" s="1033"/>
      <c r="D126" s="1033"/>
      <c r="E126" s="1033"/>
      <c r="F126" s="185"/>
      <c r="G126" s="46"/>
      <c r="H126" s="46"/>
      <c r="I126" s="17"/>
      <c r="J126" s="17"/>
      <c r="K126" s="17"/>
    </row>
    <row r="127" spans="1:11" x14ac:dyDescent="0.25">
      <c r="A127" s="17"/>
      <c r="B127" s="46"/>
      <c r="C127" s="46"/>
      <c r="D127" s="46"/>
      <c r="E127" s="46"/>
      <c r="F127" s="137"/>
      <c r="G127" s="46"/>
      <c r="H127" s="46"/>
      <c r="I127" s="17"/>
      <c r="J127" s="17"/>
      <c r="K127" s="17"/>
    </row>
    <row r="128" spans="1:11" x14ac:dyDescent="0.25">
      <c r="A128" s="17"/>
      <c r="B128" s="184"/>
      <c r="C128" s="137"/>
      <c r="D128" s="184"/>
      <c r="E128" s="46"/>
      <c r="F128" s="46"/>
      <c r="G128" s="46"/>
      <c r="H128" s="46"/>
      <c r="I128" s="17"/>
      <c r="J128" s="17"/>
      <c r="K128" s="17"/>
    </row>
    <row r="129" spans="1:11" x14ac:dyDescent="0.25">
      <c r="A129" s="17"/>
      <c r="B129" s="184"/>
      <c r="C129" s="137"/>
      <c r="D129" s="184"/>
      <c r="E129" s="46"/>
      <c r="F129" s="46"/>
      <c r="G129" s="46"/>
      <c r="H129" s="46"/>
      <c r="I129" s="17"/>
      <c r="J129" s="17"/>
      <c r="K129" s="17"/>
    </row>
    <row r="130" spans="1:11" x14ac:dyDescent="0.25">
      <c r="A130" s="17"/>
      <c r="B130" s="46"/>
      <c r="C130" s="137"/>
      <c r="D130" s="184"/>
      <c r="E130" s="46"/>
      <c r="F130" s="46"/>
      <c r="G130" s="46"/>
      <c r="H130" s="46"/>
      <c r="I130" s="17"/>
      <c r="J130" s="17"/>
      <c r="K130" s="17"/>
    </row>
    <row r="131" spans="1:11" x14ac:dyDescent="0.25">
      <c r="A131" s="17"/>
      <c r="B131" s="46"/>
      <c r="C131" s="46"/>
      <c r="D131" s="46"/>
      <c r="E131" s="184"/>
      <c r="F131" s="46"/>
      <c r="G131" s="46"/>
      <c r="H131" s="46"/>
      <c r="I131" s="17"/>
      <c r="J131" s="17"/>
      <c r="K131" s="17"/>
    </row>
    <row r="132" spans="1:11" x14ac:dyDescent="0.25">
      <c r="A132" s="17"/>
      <c r="B132" s="46"/>
      <c r="C132" s="46"/>
      <c r="D132" s="46"/>
      <c r="E132" s="183"/>
      <c r="F132" s="46"/>
      <c r="G132" s="46"/>
      <c r="H132" s="46"/>
      <c r="I132" s="17"/>
      <c r="J132" s="17"/>
      <c r="K132" s="17"/>
    </row>
    <row r="133" spans="1:11" x14ac:dyDescent="0.25">
      <c r="A133" s="17"/>
      <c r="B133" s="46"/>
      <c r="C133" s="46"/>
      <c r="D133" s="46"/>
      <c r="E133" s="183"/>
      <c r="F133" s="46"/>
      <c r="G133" s="46"/>
      <c r="H133" s="46"/>
      <c r="I133" s="17"/>
      <c r="J133" s="17"/>
      <c r="K133" s="17"/>
    </row>
    <row r="134" spans="1:11" x14ac:dyDescent="0.25">
      <c r="A134" s="17"/>
      <c r="B134" s="46"/>
      <c r="C134" s="46"/>
      <c r="D134" s="46"/>
      <c r="E134" s="182"/>
      <c r="F134" s="181"/>
      <c r="G134" s="46"/>
      <c r="H134" s="46"/>
      <c r="I134" s="17"/>
      <c r="J134" s="17"/>
      <c r="K134" s="17"/>
    </row>
    <row r="135" spans="1:1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2"/>
  <sheetViews>
    <sheetView showGridLines="0" topLeftCell="B1" workbookViewId="0">
      <selection activeCell="D28" sqref="D28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8" x14ac:dyDescent="0.25">
      <c r="B2" s="384" t="s">
        <v>508</v>
      </c>
      <c r="C2" s="384"/>
      <c r="D2" s="384"/>
      <c r="E2" s="384"/>
      <c r="F2" s="385" t="s">
        <v>9</v>
      </c>
      <c r="G2" s="385" t="s">
        <v>10</v>
      </c>
      <c r="H2" s="385" t="s">
        <v>23</v>
      </c>
    </row>
    <row r="3" spans="2:8" x14ac:dyDescent="0.25">
      <c r="B3" s="7"/>
      <c r="C3" s="7"/>
      <c r="D3" s="7"/>
      <c r="E3" s="7"/>
      <c r="F3" s="14" t="s">
        <v>1</v>
      </c>
      <c r="G3" s="14" t="s">
        <v>1</v>
      </c>
      <c r="H3" s="14" t="s">
        <v>1</v>
      </c>
    </row>
    <row r="4" spans="2:8" x14ac:dyDescent="0.25">
      <c r="B4" s="1035" t="s">
        <v>507</v>
      </c>
      <c r="C4" s="1035"/>
      <c r="D4" s="1035"/>
      <c r="E4" s="1035"/>
      <c r="F4" s="386">
        <f>C18</f>
        <v>544000</v>
      </c>
      <c r="G4" s="386">
        <f>C19</f>
        <v>630000</v>
      </c>
      <c r="H4" s="386">
        <f>F4+G4</f>
        <v>1174000</v>
      </c>
    </row>
    <row r="5" spans="2:8" x14ac:dyDescent="0.25">
      <c r="B5" s="7" t="s">
        <v>59</v>
      </c>
      <c r="C5" s="139">
        <f>20000/3</f>
        <v>6666.666666666667</v>
      </c>
      <c r="D5" s="7" t="s">
        <v>58</v>
      </c>
      <c r="E5" s="7"/>
      <c r="F5" s="7"/>
      <c r="G5" s="7"/>
      <c r="H5" s="7"/>
    </row>
    <row r="6" spans="2:8" x14ac:dyDescent="0.25">
      <c r="B6" s="7" t="s">
        <v>57</v>
      </c>
      <c r="C6" s="7">
        <v>80</v>
      </c>
      <c r="D6" s="7" t="s">
        <v>56</v>
      </c>
      <c r="E6" s="7"/>
      <c r="F6" s="157" t="s">
        <v>55</v>
      </c>
      <c r="G6" s="7"/>
      <c r="H6" s="7"/>
    </row>
    <row r="7" spans="2:8" x14ac:dyDescent="0.25">
      <c r="B7" s="7" t="s">
        <v>506</v>
      </c>
      <c r="C7" s="359">
        <f>(217*2)+(220/2)</f>
        <v>544</v>
      </c>
      <c r="D7" s="7" t="s">
        <v>53</v>
      </c>
      <c r="E7" s="7" t="s">
        <v>52</v>
      </c>
      <c r="F7" s="7"/>
      <c r="G7" s="7"/>
      <c r="H7" s="7"/>
    </row>
    <row r="8" spans="2:8" x14ac:dyDescent="0.25">
      <c r="B8" s="7" t="s">
        <v>505</v>
      </c>
      <c r="C8" s="359">
        <f>(260*2)+(220/2)</f>
        <v>630</v>
      </c>
      <c r="D8" s="7" t="s">
        <v>53</v>
      </c>
      <c r="E8" s="7" t="s">
        <v>52</v>
      </c>
      <c r="F8" s="387" t="s">
        <v>504</v>
      </c>
      <c r="G8" s="14"/>
      <c r="H8" s="7"/>
    </row>
    <row r="9" spans="2:8" x14ac:dyDescent="0.25">
      <c r="B9" s="7" t="s">
        <v>503</v>
      </c>
      <c r="C9" s="12">
        <f>C7/C6</f>
        <v>6.8</v>
      </c>
      <c r="D9" s="7" t="s">
        <v>49</v>
      </c>
      <c r="E9" s="7"/>
      <c r="F9" s="362">
        <f>C9+C10</f>
        <v>14.675000000000001</v>
      </c>
      <c r="G9" s="14">
        <f>F9*4</f>
        <v>58.7</v>
      </c>
      <c r="H9" s="7"/>
    </row>
    <row r="10" spans="2:8" x14ac:dyDescent="0.25">
      <c r="B10" s="7" t="s">
        <v>502</v>
      </c>
      <c r="C10" s="12">
        <f>C8/C6</f>
        <v>7.875</v>
      </c>
      <c r="D10" s="7" t="s">
        <v>49</v>
      </c>
      <c r="E10" s="7"/>
      <c r="F10" s="387" t="s">
        <v>501</v>
      </c>
      <c r="G10" s="387" t="s">
        <v>500</v>
      </c>
      <c r="H10" s="7"/>
    </row>
    <row r="11" spans="2:8" x14ac:dyDescent="0.25">
      <c r="B11" s="7" t="s">
        <v>499</v>
      </c>
      <c r="C11" s="7">
        <v>1</v>
      </c>
      <c r="D11" s="7" t="s">
        <v>47</v>
      </c>
      <c r="E11" s="7"/>
      <c r="F11" s="7"/>
      <c r="G11" s="7"/>
      <c r="H11" s="7"/>
    </row>
    <row r="12" spans="2:8" x14ac:dyDescent="0.25">
      <c r="B12" s="7" t="s">
        <v>498</v>
      </c>
      <c r="C12" s="7">
        <v>1</v>
      </c>
      <c r="D12" s="7" t="s">
        <v>47</v>
      </c>
      <c r="E12" s="7"/>
      <c r="F12" s="7"/>
      <c r="G12" s="7"/>
      <c r="H12" s="7"/>
    </row>
    <row r="13" spans="2:8" x14ac:dyDescent="0.25">
      <c r="B13" s="7" t="s">
        <v>46</v>
      </c>
      <c r="C13" s="388">
        <v>12</v>
      </c>
      <c r="D13" s="7" t="s">
        <v>45</v>
      </c>
      <c r="E13" s="7"/>
      <c r="F13" s="7"/>
      <c r="G13" s="7"/>
      <c r="H13" s="7"/>
    </row>
    <row r="14" spans="2:8" x14ac:dyDescent="0.25">
      <c r="B14" s="7" t="s">
        <v>497</v>
      </c>
      <c r="C14" s="388">
        <f>C11*C13</f>
        <v>12</v>
      </c>
      <c r="D14" s="7" t="s">
        <v>43</v>
      </c>
      <c r="E14" s="7"/>
      <c r="F14" s="7"/>
      <c r="G14" s="7"/>
      <c r="H14" s="7"/>
    </row>
    <row r="15" spans="2:8" x14ac:dyDescent="0.25">
      <c r="B15" s="7" t="s">
        <v>496</v>
      </c>
      <c r="C15" s="388">
        <f>C12*C13</f>
        <v>12</v>
      </c>
      <c r="D15" s="7" t="s">
        <v>43</v>
      </c>
      <c r="E15" s="7"/>
      <c r="F15" s="7"/>
      <c r="G15" s="7"/>
      <c r="H15" s="7"/>
    </row>
    <row r="16" spans="2:8" x14ac:dyDescent="0.25">
      <c r="B16" s="7" t="s">
        <v>495</v>
      </c>
      <c r="C16" s="139">
        <f>C9*C5</f>
        <v>45333.333333333336</v>
      </c>
      <c r="D16" s="7" t="s">
        <v>41</v>
      </c>
      <c r="E16" s="7"/>
      <c r="F16" s="7"/>
      <c r="G16" s="7"/>
      <c r="H16" s="7"/>
    </row>
    <row r="17" spans="1:8" x14ac:dyDescent="0.25">
      <c r="B17" s="7" t="s">
        <v>494</v>
      </c>
      <c r="C17" s="139">
        <f>C5*C10</f>
        <v>52500</v>
      </c>
      <c r="D17" s="7" t="s">
        <v>41</v>
      </c>
      <c r="E17" s="7"/>
      <c r="F17" s="7"/>
      <c r="G17" s="7"/>
      <c r="H17" s="7"/>
    </row>
    <row r="18" spans="1:8" x14ac:dyDescent="0.25">
      <c r="B18" s="7" t="s">
        <v>493</v>
      </c>
      <c r="C18" s="139">
        <f>C16*C14</f>
        <v>544000</v>
      </c>
      <c r="D18" s="7" t="s">
        <v>1</v>
      </c>
      <c r="E18" s="7"/>
      <c r="F18" s="7"/>
      <c r="G18" s="7"/>
      <c r="H18" s="7"/>
    </row>
    <row r="19" spans="1:8" x14ac:dyDescent="0.25">
      <c r="A19" s="18"/>
      <c r="B19" s="7" t="s">
        <v>492</v>
      </c>
      <c r="C19" s="139">
        <f>C17*C15</f>
        <v>630000</v>
      </c>
      <c r="D19" s="7" t="s">
        <v>1</v>
      </c>
      <c r="E19" s="7"/>
      <c r="F19" s="7"/>
      <c r="G19" s="7"/>
      <c r="H19" s="7"/>
    </row>
    <row r="21" spans="1:8" x14ac:dyDescent="0.25">
      <c r="G21" s="95" t="s">
        <v>1216</v>
      </c>
      <c r="H21" s="467">
        <f>'custos unitários para atualizar'!$B$4</f>
        <v>0.12956699999999999</v>
      </c>
    </row>
    <row r="22" spans="1:8" x14ac:dyDescent="0.25">
      <c r="G22" s="95" t="s">
        <v>1217</v>
      </c>
      <c r="H22" s="481">
        <f>H4*(1+H21)</f>
        <v>1326111.6580000001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9"/>
  <sheetViews>
    <sheetView showGridLines="0" workbookViewId="0">
      <selection activeCell="H18" sqref="H18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8" x14ac:dyDescent="0.25">
      <c r="B1" s="7"/>
      <c r="C1" s="7"/>
      <c r="D1" s="7"/>
      <c r="E1" s="7"/>
      <c r="F1" s="14" t="s">
        <v>1</v>
      </c>
      <c r="G1" s="14" t="s">
        <v>1</v>
      </c>
      <c r="H1" s="14" t="s">
        <v>1</v>
      </c>
    </row>
    <row r="2" spans="2:8" x14ac:dyDescent="0.25">
      <c r="B2" s="1035" t="s">
        <v>512</v>
      </c>
      <c r="C2" s="1035"/>
      <c r="D2" s="1035"/>
      <c r="E2" s="1035"/>
      <c r="F2" s="386">
        <f>C16</f>
        <v>81600</v>
      </c>
      <c r="G2" s="386">
        <f>C17</f>
        <v>94500</v>
      </c>
      <c r="H2" s="386">
        <f>F2+G2</f>
        <v>176100</v>
      </c>
    </row>
    <row r="3" spans="2:8" x14ac:dyDescent="0.25">
      <c r="B3" s="7" t="s">
        <v>511</v>
      </c>
      <c r="C3" s="139">
        <f>3000/8</f>
        <v>375</v>
      </c>
      <c r="D3" s="7" t="s">
        <v>58</v>
      </c>
      <c r="E3" s="7"/>
      <c r="F3" s="7"/>
      <c r="G3" s="7"/>
      <c r="H3" s="7"/>
    </row>
    <row r="4" spans="2:8" x14ac:dyDescent="0.25">
      <c r="B4" s="7" t="s">
        <v>57</v>
      </c>
      <c r="C4" s="7">
        <v>30</v>
      </c>
      <c r="D4" s="7" t="s">
        <v>56</v>
      </c>
      <c r="E4" s="7"/>
      <c r="F4" s="7"/>
      <c r="G4" s="7"/>
      <c r="H4" s="7"/>
    </row>
    <row r="5" spans="2:8" x14ac:dyDescent="0.25">
      <c r="B5" s="7" t="s">
        <v>506</v>
      </c>
      <c r="C5" s="359">
        <f>(217*2)+(220/2)</f>
        <v>544</v>
      </c>
      <c r="D5" s="7" t="s">
        <v>53</v>
      </c>
      <c r="E5" s="7" t="s">
        <v>52</v>
      </c>
      <c r="F5" s="7"/>
      <c r="G5" s="7"/>
      <c r="H5" s="7"/>
    </row>
    <row r="6" spans="2:8" x14ac:dyDescent="0.25">
      <c r="B6" s="7" t="s">
        <v>505</v>
      </c>
      <c r="C6" s="359">
        <f>(260*2)+(220/2)</f>
        <v>630</v>
      </c>
      <c r="D6" s="7" t="s">
        <v>53</v>
      </c>
      <c r="E6" s="7" t="s">
        <v>52</v>
      </c>
      <c r="F6" s="7"/>
      <c r="G6" s="7"/>
      <c r="H6" s="7"/>
    </row>
    <row r="7" spans="2:8" x14ac:dyDescent="0.25">
      <c r="B7" s="7" t="s">
        <v>503</v>
      </c>
      <c r="C7" s="12">
        <f>C5/C4</f>
        <v>18.133333333333333</v>
      </c>
      <c r="D7" s="7" t="s">
        <v>49</v>
      </c>
      <c r="E7" s="7"/>
      <c r="F7" s="12">
        <f>C7+C8</f>
        <v>39.133333333333333</v>
      </c>
      <c r="G7" s="157" t="s">
        <v>510</v>
      </c>
      <c r="H7" s="7"/>
    </row>
    <row r="8" spans="2:8" x14ac:dyDescent="0.25">
      <c r="B8" s="7" t="s">
        <v>502</v>
      </c>
      <c r="C8" s="12">
        <f>C6/C4</f>
        <v>21</v>
      </c>
      <c r="D8" s="7" t="s">
        <v>49</v>
      </c>
      <c r="E8" s="7"/>
      <c r="F8" s="7"/>
      <c r="G8" s="7"/>
      <c r="H8" s="7"/>
    </row>
    <row r="9" spans="2:8" x14ac:dyDescent="0.25">
      <c r="B9" s="7" t="s">
        <v>499</v>
      </c>
      <c r="C9" s="7">
        <v>1</v>
      </c>
      <c r="D9" s="7" t="s">
        <v>47</v>
      </c>
      <c r="E9" s="7"/>
      <c r="F9" s="7"/>
      <c r="G9" s="7"/>
      <c r="H9" s="7"/>
    </row>
    <row r="10" spans="2:8" x14ac:dyDescent="0.25">
      <c r="B10" s="7" t="s">
        <v>498</v>
      </c>
      <c r="C10" s="7">
        <v>1</v>
      </c>
      <c r="D10" s="7" t="s">
        <v>47</v>
      </c>
      <c r="E10" s="7"/>
      <c r="F10" s="7"/>
      <c r="G10" s="7"/>
      <c r="H10" s="7"/>
    </row>
    <row r="11" spans="2:8" x14ac:dyDescent="0.25">
      <c r="B11" s="7" t="s">
        <v>509</v>
      </c>
      <c r="C11" s="388">
        <v>12</v>
      </c>
      <c r="D11" s="7" t="s">
        <v>45</v>
      </c>
      <c r="E11" s="7"/>
      <c r="F11" s="7"/>
      <c r="G11" s="7"/>
      <c r="H11" s="7"/>
    </row>
    <row r="12" spans="2:8" x14ac:dyDescent="0.25">
      <c r="B12" s="7" t="s">
        <v>497</v>
      </c>
      <c r="C12" s="12">
        <f>C9*C11</f>
        <v>12</v>
      </c>
      <c r="D12" s="7" t="s">
        <v>43</v>
      </c>
      <c r="E12" s="7"/>
      <c r="F12" s="7"/>
      <c r="G12" s="7"/>
      <c r="H12" s="7"/>
    </row>
    <row r="13" spans="2:8" x14ac:dyDescent="0.25">
      <c r="B13" s="7" t="s">
        <v>496</v>
      </c>
      <c r="C13" s="12">
        <f>C10*C11</f>
        <v>12</v>
      </c>
      <c r="D13" s="7" t="s">
        <v>43</v>
      </c>
      <c r="E13" s="7"/>
      <c r="F13" s="7"/>
      <c r="G13" s="7"/>
      <c r="H13" s="7"/>
    </row>
    <row r="14" spans="2:8" x14ac:dyDescent="0.25">
      <c r="B14" s="7" t="s">
        <v>495</v>
      </c>
      <c r="C14" s="139">
        <f>C7*C3</f>
        <v>6800</v>
      </c>
      <c r="D14" s="7" t="s">
        <v>41</v>
      </c>
      <c r="E14" s="7"/>
      <c r="F14" s="7"/>
      <c r="G14" s="7"/>
      <c r="H14" s="7"/>
    </row>
    <row r="15" spans="2:8" x14ac:dyDescent="0.25">
      <c r="B15" s="7" t="s">
        <v>494</v>
      </c>
      <c r="C15" s="139">
        <f>C3*C8</f>
        <v>7875</v>
      </c>
      <c r="D15" s="7" t="s">
        <v>41</v>
      </c>
      <c r="E15" s="7"/>
      <c r="F15" s="7"/>
      <c r="G15" s="7"/>
      <c r="H15" s="7"/>
    </row>
    <row r="16" spans="2:8" x14ac:dyDescent="0.25">
      <c r="B16" s="7" t="s">
        <v>493</v>
      </c>
      <c r="C16" s="139">
        <f>C14*C12</f>
        <v>81600</v>
      </c>
      <c r="D16" s="7" t="s">
        <v>1</v>
      </c>
      <c r="E16" s="7"/>
      <c r="F16" s="7"/>
      <c r="G16" s="7"/>
      <c r="H16" s="7"/>
    </row>
    <row r="17" spans="2:8" x14ac:dyDescent="0.25">
      <c r="B17" s="7" t="s">
        <v>492</v>
      </c>
      <c r="C17" s="139">
        <f>C15*C13</f>
        <v>94500</v>
      </c>
      <c r="D17" s="7" t="s">
        <v>1</v>
      </c>
      <c r="E17" s="7"/>
      <c r="F17" s="7"/>
      <c r="G17" s="7"/>
      <c r="H17" s="7"/>
    </row>
    <row r="18" spans="2:8" x14ac:dyDescent="0.25">
      <c r="G18" s="95" t="s">
        <v>1216</v>
      </c>
      <c r="H18" s="467">
        <f>'custos unitários para atualizar'!$B$4</f>
        <v>0.12956699999999999</v>
      </c>
    </row>
    <row r="19" spans="2:8" x14ac:dyDescent="0.25">
      <c r="G19" s="95" t="s">
        <v>1217</v>
      </c>
      <c r="H19" s="481">
        <f>H2*(1+H18)</f>
        <v>198916.7487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50"/>
  <sheetViews>
    <sheetView showGridLines="0" tabSelected="1" zoomScale="120" zoomScaleNormal="120" workbookViewId="0">
      <selection activeCell="F6" sqref="F6"/>
    </sheetView>
  </sheetViews>
  <sheetFormatPr defaultColWidth="23.85546875" defaultRowHeight="15" x14ac:dyDescent="0.25"/>
  <cols>
    <col min="1" max="1" width="20" bestFit="1" customWidth="1"/>
    <col min="2" max="2" width="24.7109375" customWidth="1"/>
    <col min="3" max="3" width="26" customWidth="1"/>
    <col min="4" max="4" width="20.42578125" customWidth="1"/>
    <col min="5" max="5" width="6.28515625" customWidth="1"/>
    <col min="6" max="6" width="38.7109375" bestFit="1" customWidth="1"/>
    <col min="9" max="10" width="6.7109375" customWidth="1"/>
    <col min="15" max="15" width="9.85546875" customWidth="1"/>
  </cols>
  <sheetData>
    <row r="1" spans="1:15" ht="15.95" customHeight="1" thickBot="1" x14ac:dyDescent="0.3">
      <c r="F1" t="s">
        <v>1108</v>
      </c>
    </row>
    <row r="2" spans="1:15" ht="15.95" customHeight="1" thickBot="1" x14ac:dyDescent="0.3">
      <c r="A2" s="440" t="s">
        <v>1450</v>
      </c>
      <c r="B2" s="440" t="s">
        <v>1449</v>
      </c>
      <c r="C2" s="854"/>
      <c r="F2" s="413" t="s">
        <v>1090</v>
      </c>
      <c r="G2" s="414" t="s">
        <v>1091</v>
      </c>
      <c r="H2" s="414" t="s">
        <v>1095</v>
      </c>
    </row>
    <row r="3" spans="1:15" s="13" customFormat="1" ht="15.95" customHeight="1" thickBot="1" x14ac:dyDescent="0.35">
      <c r="A3" s="441" t="s">
        <v>1124</v>
      </c>
      <c r="B3" s="439">
        <f>G23/(N10*86400*365)</f>
        <v>0.23589492970540343</v>
      </c>
      <c r="C3" s="855"/>
      <c r="F3" s="431" t="s">
        <v>1092</v>
      </c>
      <c r="G3" s="415">
        <f>'Anexo 2_CF_O&amp;M'!C5</f>
        <v>69001177.621796846</v>
      </c>
      <c r="H3" s="418">
        <f>G3/$G$11</f>
        <v>0.48117727913123554</v>
      </c>
      <c r="K3" s="610" t="s">
        <v>1460</v>
      </c>
      <c r="L3"/>
      <c r="M3"/>
      <c r="N3"/>
    </row>
    <row r="4" spans="1:15" s="13" customFormat="1" ht="15.95" customHeight="1" thickBot="1" x14ac:dyDescent="0.3">
      <c r="A4" s="441" t="s">
        <v>279</v>
      </c>
      <c r="B4" s="439">
        <f>G24/D14</f>
        <v>0.50831177269184669</v>
      </c>
      <c r="C4" s="855"/>
      <c r="F4" s="431" t="s">
        <v>0</v>
      </c>
      <c r="G4" s="415">
        <f>'Anexo 3_Custos Ambientais'!C17</f>
        <v>21612386.147522107</v>
      </c>
      <c r="H4" s="418">
        <f>G4/$G$11</f>
        <v>0.15071321273672322</v>
      </c>
      <c r="K4" s="879" t="s">
        <v>15</v>
      </c>
      <c r="L4" s="471" t="s">
        <v>1106</v>
      </c>
      <c r="M4" s="471" t="s">
        <v>1106</v>
      </c>
      <c r="N4" s="699" t="s">
        <v>1107</v>
      </c>
    </row>
    <row r="5" spans="1:15" s="13" customFormat="1" ht="15.95" customHeight="1" thickBot="1" x14ac:dyDescent="0.3">
      <c r="F5" s="431" t="s">
        <v>1094</v>
      </c>
      <c r="G5" s="415">
        <f>'Anexo 4_CF_FRA'!G8*20%</f>
        <v>4259551.7979999725</v>
      </c>
      <c r="H5" s="418">
        <f t="shared" ref="H5:H11" si="0">G5/$G$11</f>
        <v>2.9703834269529033E-2</v>
      </c>
      <c r="K5" s="880"/>
      <c r="L5" s="697" t="s">
        <v>10</v>
      </c>
      <c r="M5" s="697" t="s">
        <v>9</v>
      </c>
      <c r="N5" s="699"/>
    </row>
    <row r="6" spans="1:15" s="2" customFormat="1" ht="15.95" customHeight="1" thickBot="1" x14ac:dyDescent="0.35">
      <c r="A6" s="610" t="s">
        <v>1448</v>
      </c>
      <c r="B6" s="423"/>
      <c r="C6" s="421"/>
      <c r="D6"/>
      <c r="F6" s="874" t="s">
        <v>1462</v>
      </c>
      <c r="G6" s="415">
        <f>'Anexo 5_Desp Adm'!B19</f>
        <v>17896757.959341064</v>
      </c>
      <c r="H6" s="418">
        <f t="shared" si="0"/>
        <v>0.12480241058126113</v>
      </c>
      <c r="K6" s="419" t="s">
        <v>16</v>
      </c>
      <c r="L6" s="420">
        <v>7.57</v>
      </c>
      <c r="M6" s="420">
        <v>0</v>
      </c>
      <c r="N6" s="362">
        <f>SUM(L6:M6)</f>
        <v>7.57</v>
      </c>
    </row>
    <row r="7" spans="1:15" ht="15.95" customHeight="1" thickBot="1" x14ac:dyDescent="0.3">
      <c r="A7" s="425" t="s">
        <v>15</v>
      </c>
      <c r="B7" s="471" t="s">
        <v>1454</v>
      </c>
      <c r="C7" s="471" t="s">
        <v>1454</v>
      </c>
      <c r="D7" s="468" t="s">
        <v>1107</v>
      </c>
      <c r="F7" s="445" t="s">
        <v>1093</v>
      </c>
      <c r="G7" s="873">
        <f>'custos unitários para atualizar'!B10</f>
        <v>14666226.768000001</v>
      </c>
      <c r="H7" s="418">
        <f t="shared" si="0"/>
        <v>0.10227441522851163</v>
      </c>
      <c r="K7" s="419" t="s">
        <v>17</v>
      </c>
      <c r="L7" s="420">
        <v>0.85</v>
      </c>
      <c r="M7" s="420">
        <v>4.2</v>
      </c>
      <c r="N7" s="362">
        <f>SUM(L7:M7)</f>
        <v>5.05</v>
      </c>
    </row>
    <row r="8" spans="1:15" ht="15.95" customHeight="1" thickBot="1" x14ac:dyDescent="0.3">
      <c r="A8" s="426"/>
      <c r="B8" s="607" t="s">
        <v>10</v>
      </c>
      <c r="C8" s="607" t="s">
        <v>9</v>
      </c>
      <c r="D8" s="469"/>
      <c r="F8" s="431" t="s">
        <v>1097</v>
      </c>
      <c r="G8" s="415">
        <f>'Anexo 1A_CF_ Energia Elétrica'!F7</f>
        <v>13395164.171650559</v>
      </c>
      <c r="H8" s="418">
        <f t="shared" si="0"/>
        <v>9.341070503114092E-2</v>
      </c>
      <c r="K8" s="419" t="s">
        <v>18</v>
      </c>
      <c r="L8" s="420">
        <v>0.59</v>
      </c>
      <c r="M8" s="420">
        <v>4.8</v>
      </c>
      <c r="N8" s="362">
        <f>SUM(L8:M8)</f>
        <v>5.39</v>
      </c>
    </row>
    <row r="9" spans="1:15" ht="15.95" customHeight="1" thickBot="1" x14ac:dyDescent="0.3">
      <c r="A9" s="424" t="s">
        <v>16</v>
      </c>
      <c r="B9" s="695">
        <v>2.5830000000000002</v>
      </c>
      <c r="C9" s="695">
        <v>0</v>
      </c>
      <c r="D9" s="696">
        <f>SUM(B9:C9)</f>
        <v>2.5830000000000002</v>
      </c>
      <c r="F9" s="431" t="s">
        <v>1098</v>
      </c>
      <c r="G9" s="415">
        <f>'Anexo 6_Tx Adm'!C4</f>
        <v>2438109.7180062118</v>
      </c>
      <c r="H9" s="418">
        <f t="shared" si="0"/>
        <v>1.7002072149607219E-2</v>
      </c>
      <c r="K9" s="419" t="s">
        <v>19</v>
      </c>
      <c r="L9" s="420">
        <v>1.97</v>
      </c>
      <c r="M9" s="420">
        <v>0</v>
      </c>
      <c r="N9" s="362">
        <f>SUM(L9:M9)</f>
        <v>1.97</v>
      </c>
    </row>
    <row r="10" spans="1:15" ht="15.95" customHeight="1" thickBot="1" x14ac:dyDescent="0.3">
      <c r="A10" s="424" t="s">
        <v>17</v>
      </c>
      <c r="B10" s="695">
        <v>0</v>
      </c>
      <c r="C10" s="695">
        <v>3.75</v>
      </c>
      <c r="D10" s="696">
        <f>SUM(B10:C10)</f>
        <v>3.75</v>
      </c>
      <c r="F10" s="349" t="s">
        <v>79</v>
      </c>
      <c r="G10" s="448">
        <f>'Anexo 2_CF_O&amp;M'!C39</f>
        <v>131365.2404089795</v>
      </c>
      <c r="H10" s="418">
        <f t="shared" si="0"/>
        <v>9.1607087199111707E-4</v>
      </c>
      <c r="J10" s="13"/>
      <c r="K10" s="419" t="s">
        <v>8</v>
      </c>
      <c r="L10" s="362">
        <f>SUM(L6:L9)</f>
        <v>10.98</v>
      </c>
      <c r="M10" s="362">
        <f>SUM(M6:M9)</f>
        <v>9</v>
      </c>
      <c r="N10" s="362">
        <f>SUM(L10:M10)</f>
        <v>19.98</v>
      </c>
    </row>
    <row r="11" spans="1:15" ht="15.95" customHeight="1" thickBot="1" x14ac:dyDescent="0.3">
      <c r="A11" s="424" t="s">
        <v>18</v>
      </c>
      <c r="B11" s="869">
        <v>0.41799999999999998</v>
      </c>
      <c r="C11" s="869">
        <v>1.3009999999999999</v>
      </c>
      <c r="D11" s="869">
        <f>SUM(B11:C11)</f>
        <v>1.7189999999999999</v>
      </c>
      <c r="F11" s="416" t="s">
        <v>294</v>
      </c>
      <c r="G11" s="417">
        <f>SUM(G3:G10)</f>
        <v>143400739.42472577</v>
      </c>
      <c r="H11" s="418">
        <f t="shared" si="0"/>
        <v>1</v>
      </c>
    </row>
    <row r="12" spans="1:15" ht="15.95" customHeight="1" thickBot="1" x14ac:dyDescent="0.35">
      <c r="A12" s="424" t="s">
        <v>19</v>
      </c>
      <c r="B12" s="695">
        <v>0</v>
      </c>
      <c r="C12" s="695">
        <v>0</v>
      </c>
      <c r="D12" s="696">
        <f>SUM(B12:C12)</f>
        <v>0</v>
      </c>
      <c r="F12" s="416" t="s">
        <v>1385</v>
      </c>
      <c r="G12" s="417">
        <f>Impostos!G10+G11</f>
        <v>148634866.41372827</v>
      </c>
      <c r="K12" s="610"/>
      <c r="L12" s="188"/>
      <c r="M12" s="188"/>
      <c r="N12" s="188"/>
      <c r="O12" s="188"/>
    </row>
    <row r="13" spans="1:15" ht="15.95" customHeight="1" x14ac:dyDescent="0.3">
      <c r="A13" s="419" t="s">
        <v>8</v>
      </c>
      <c r="B13" s="696">
        <f>SUM(B9:B12)</f>
        <v>3.0010000000000003</v>
      </c>
      <c r="C13" s="696">
        <f>SUM(C9:C12)</f>
        <v>5.0510000000000002</v>
      </c>
      <c r="D13" s="696">
        <f>SUM(B13:C13)</f>
        <v>8.0519999999999996</v>
      </c>
      <c r="K13" s="610" t="s">
        <v>1459</v>
      </c>
      <c r="O13" s="188"/>
    </row>
    <row r="14" spans="1:15" ht="15.95" customHeight="1" thickBot="1" x14ac:dyDescent="0.3">
      <c r="C14" s="442" t="s">
        <v>1110</v>
      </c>
      <c r="D14" s="443">
        <f>D13*86400*365</f>
        <v>253927871.99999997</v>
      </c>
      <c r="F14" t="s">
        <v>1109</v>
      </c>
      <c r="K14" s="879" t="s">
        <v>15</v>
      </c>
      <c r="L14" s="471" t="s">
        <v>1106</v>
      </c>
      <c r="M14" s="471" t="s">
        <v>1106</v>
      </c>
      <c r="N14" s="699" t="s">
        <v>1107</v>
      </c>
      <c r="O14" s="188"/>
    </row>
    <row r="15" spans="1:15" ht="15.95" customHeight="1" thickBot="1" x14ac:dyDescent="0.3">
      <c r="C15" s="472"/>
      <c r="D15" s="473"/>
      <c r="F15" s="413" t="s">
        <v>1090</v>
      </c>
      <c r="G15" s="414" t="s">
        <v>1091</v>
      </c>
      <c r="H15" s="414" t="s">
        <v>1095</v>
      </c>
      <c r="K15" s="880"/>
      <c r="L15" s="866" t="s">
        <v>10</v>
      </c>
      <c r="M15" s="866" t="s">
        <v>9</v>
      </c>
      <c r="N15" s="699"/>
      <c r="O15" s="188"/>
    </row>
    <row r="16" spans="1:15" ht="15.95" customHeight="1" thickBot="1" x14ac:dyDescent="0.35">
      <c r="A16" s="610" t="s">
        <v>1458</v>
      </c>
      <c r="B16" s="13"/>
      <c r="C16" s="13"/>
      <c r="D16" s="13"/>
      <c r="F16" s="431" t="s">
        <v>1096</v>
      </c>
      <c r="G16" s="415">
        <f>'Anexo1B-CV Energia Elétrica'!J7</f>
        <v>124529210.56651069</v>
      </c>
      <c r="H16" s="418">
        <f>G16/G18</f>
        <v>1</v>
      </c>
      <c r="K16" s="419" t="s">
        <v>16</v>
      </c>
      <c r="L16" s="420">
        <v>7.57</v>
      </c>
      <c r="M16" s="420">
        <v>0</v>
      </c>
      <c r="N16" s="362">
        <f>SUM(L16:M16)</f>
        <v>7.57</v>
      </c>
      <c r="O16" s="867">
        <f>N6-N16</f>
        <v>0</v>
      </c>
    </row>
    <row r="17" spans="1:15" ht="15.95" customHeight="1" thickBot="1" x14ac:dyDescent="0.3">
      <c r="A17" s="605" t="s">
        <v>1161</v>
      </c>
      <c r="B17" s="881" t="s">
        <v>1455</v>
      </c>
      <c r="C17" s="882"/>
      <c r="D17" s="883"/>
      <c r="F17" s="431" t="s">
        <v>1099</v>
      </c>
      <c r="G17" s="415">
        <f>'Anexo 6_Tx Adm'!C8</f>
        <v>0</v>
      </c>
      <c r="H17" s="418">
        <f>G17/G18</f>
        <v>0</v>
      </c>
      <c r="K17" s="419" t="s">
        <v>17</v>
      </c>
      <c r="L17" s="420">
        <v>0</v>
      </c>
      <c r="M17" s="420">
        <f>4.2+0.85</f>
        <v>5.05</v>
      </c>
      <c r="N17" s="362">
        <f>SUM(L17:M17)</f>
        <v>5.05</v>
      </c>
      <c r="O17" s="867">
        <f>N7-N17</f>
        <v>0</v>
      </c>
    </row>
    <row r="18" spans="1:15" ht="15.95" customHeight="1" thickBot="1" x14ac:dyDescent="0.3">
      <c r="A18" s="606"/>
      <c r="B18" s="474" t="s">
        <v>1456</v>
      </c>
      <c r="C18" s="474" t="s">
        <v>1457</v>
      </c>
      <c r="D18" s="475" t="s">
        <v>1214</v>
      </c>
      <c r="F18" s="416" t="s">
        <v>8</v>
      </c>
      <c r="G18" s="417">
        <f>SUM(G16:G17)</f>
        <v>124529210.56651069</v>
      </c>
      <c r="H18" s="418">
        <f>SUM(H16:H17)</f>
        <v>1</v>
      </c>
      <c r="K18" s="419" t="s">
        <v>18</v>
      </c>
      <c r="L18" s="420">
        <f>B11</f>
        <v>0.41799999999999998</v>
      </c>
      <c r="M18" s="420">
        <f>C11</f>
        <v>1.3009999999999999</v>
      </c>
      <c r="N18" s="362">
        <f>SUM(L18:M18)</f>
        <v>1.7189999999999999</v>
      </c>
      <c r="O18" s="867">
        <f t="shared" ref="O18:O20" si="1">N8-N18</f>
        <v>3.6709999999999998</v>
      </c>
    </row>
    <row r="19" spans="1:15" ht="15.95" customHeight="1" thickBot="1" x14ac:dyDescent="0.3">
      <c r="A19" s="476" t="s">
        <v>16</v>
      </c>
      <c r="B19" s="861">
        <f>$G$23*(N16/$N$10)</f>
        <v>56314611.549145296</v>
      </c>
      <c r="C19" s="861">
        <f>(D9/$D$13)*$G$24</f>
        <v>41405800.124304831</v>
      </c>
      <c r="D19" s="862">
        <f>SUM(B19:C19)</f>
        <v>97720411.673450127</v>
      </c>
      <c r="E19" s="13"/>
      <c r="F19" s="416" t="s">
        <v>1385</v>
      </c>
      <c r="G19" s="417">
        <f>Impostos!G11+G18</f>
        <v>129074526.75218832</v>
      </c>
      <c r="K19" s="419" t="s">
        <v>19</v>
      </c>
      <c r="L19" s="420">
        <f>B12</f>
        <v>0</v>
      </c>
      <c r="M19" s="420">
        <v>0</v>
      </c>
      <c r="N19" s="362">
        <f>SUM(L19:M19)</f>
        <v>0</v>
      </c>
      <c r="O19" s="867">
        <f t="shared" si="1"/>
        <v>1.97</v>
      </c>
    </row>
    <row r="20" spans="1:15" ht="15.95" customHeight="1" thickBot="1" x14ac:dyDescent="0.3">
      <c r="A20" s="476" t="s">
        <v>17</v>
      </c>
      <c r="B20" s="868">
        <f>$G$23*(N17/$N$10)</f>
        <v>37567871.641107492</v>
      </c>
      <c r="C20" s="861">
        <f>(D10/$D$13)*$G$24</f>
        <v>60112950.238537788</v>
      </c>
      <c r="D20" s="862">
        <f>SUM(B20:C20)</f>
        <v>97680821.879645288</v>
      </c>
      <c r="E20" s="13"/>
      <c r="F20" s="430" t="s">
        <v>1111</v>
      </c>
      <c r="G20" s="449">
        <f>(G12+G19)</f>
        <v>277709393.16591656</v>
      </c>
      <c r="H20" s="432">
        <f>G20/G20</f>
        <v>1</v>
      </c>
      <c r="K20" s="419" t="s">
        <v>8</v>
      </c>
      <c r="L20" s="362">
        <f>SUM(L16:L19)</f>
        <v>7.9880000000000004</v>
      </c>
      <c r="M20" s="362">
        <f>SUM(M16:M19)</f>
        <v>6.351</v>
      </c>
      <c r="N20" s="362">
        <f>SUM(L20:M20)</f>
        <v>14.339</v>
      </c>
      <c r="O20" s="867">
        <f t="shared" si="1"/>
        <v>5.641</v>
      </c>
    </row>
    <row r="21" spans="1:15" ht="15.95" customHeight="1" thickBot="1" x14ac:dyDescent="0.3">
      <c r="A21" s="476" t="s">
        <v>18</v>
      </c>
      <c r="B21" s="861">
        <f>$G$23*(N18/$N$10)</f>
        <v>12787954.722982926</v>
      </c>
      <c r="C21" s="861">
        <f>(D11/$D$13)*$G$24</f>
        <v>27555776.389345717</v>
      </c>
      <c r="D21" s="862">
        <f>SUM(B21:C21)</f>
        <v>40343731.112328641</v>
      </c>
      <c r="K21" s="188"/>
      <c r="L21" s="867"/>
      <c r="M21" s="188"/>
      <c r="N21" s="188"/>
      <c r="O21" s="188"/>
    </row>
    <row r="22" spans="1:15" ht="15.95" customHeight="1" thickBot="1" x14ac:dyDescent="0.3">
      <c r="A22" s="476" t="s">
        <v>19</v>
      </c>
      <c r="B22" s="861">
        <f>$G$23*(N19/$N$10)</f>
        <v>0</v>
      </c>
      <c r="C22" s="861">
        <f>(D12/$D$13)*$I$24</f>
        <v>0</v>
      </c>
      <c r="D22" s="862">
        <f>SUM(B22:C22)</f>
        <v>0</v>
      </c>
      <c r="F22" s="413" t="s">
        <v>39</v>
      </c>
      <c r="G22" s="414" t="s">
        <v>1120</v>
      </c>
      <c r="H22" s="852"/>
      <c r="I22" s="852"/>
      <c r="K22" s="188"/>
      <c r="L22" s="188"/>
      <c r="M22" s="188"/>
      <c r="N22" s="188"/>
      <c r="O22" s="188"/>
    </row>
    <row r="23" spans="1:15" ht="15.95" customHeight="1" thickBot="1" x14ac:dyDescent="0.3">
      <c r="A23" s="476" t="s">
        <v>1162</v>
      </c>
      <c r="B23" s="861">
        <f>$G$23*((N10-N20)/$N$10)</f>
        <v>41964428.50049255</v>
      </c>
      <c r="C23" s="861">
        <v>0</v>
      </c>
      <c r="D23" s="862">
        <f>SUM(B23:C23)</f>
        <v>41964428.50049255</v>
      </c>
      <c r="F23" s="437" t="s">
        <v>1121</v>
      </c>
      <c r="G23" s="438">
        <f>G12</f>
        <v>148634866.41372827</v>
      </c>
      <c r="H23" s="853"/>
      <c r="I23" s="853"/>
      <c r="K23" s="188"/>
      <c r="L23" s="188"/>
      <c r="M23" s="188"/>
      <c r="N23" s="188"/>
      <c r="O23" s="188"/>
    </row>
    <row r="24" spans="1:15" ht="15.95" customHeight="1" thickBot="1" x14ac:dyDescent="0.3">
      <c r="A24" s="477" t="s">
        <v>8</v>
      </c>
      <c r="B24" s="863">
        <f>SUM(B19:B23)</f>
        <v>148634866.41372827</v>
      </c>
      <c r="C24" s="863">
        <f>SUM(C19:C23)</f>
        <v>129074526.75218834</v>
      </c>
      <c r="D24" s="864">
        <f>SUM(D19:D23)</f>
        <v>277709393.16591662</v>
      </c>
      <c r="F24" s="437" t="s">
        <v>1122</v>
      </c>
      <c r="G24" s="438">
        <f>G19</f>
        <v>129074526.75218832</v>
      </c>
      <c r="H24" s="853"/>
      <c r="I24" s="853"/>
      <c r="K24" s="188"/>
      <c r="L24" s="188"/>
      <c r="M24" s="188"/>
      <c r="N24" s="188"/>
      <c r="O24" s="188"/>
    </row>
    <row r="25" spans="1:15" ht="15.95" customHeight="1" thickBot="1" x14ac:dyDescent="0.3">
      <c r="F25" s="437" t="s">
        <v>1123</v>
      </c>
      <c r="G25" s="438">
        <f>SUM(G23:G24)</f>
        <v>277709393.16591656</v>
      </c>
      <c r="H25" s="853"/>
      <c r="I25" s="853"/>
    </row>
    <row r="26" spans="1:15" ht="15.95" customHeight="1" x14ac:dyDescent="0.25">
      <c r="H26" s="17"/>
      <c r="I26" s="17"/>
    </row>
    <row r="27" spans="1:15" ht="15.95" hidden="1" customHeight="1" x14ac:dyDescent="0.25">
      <c r="A27" s="476" t="s">
        <v>16</v>
      </c>
      <c r="B27" s="865">
        <f>B19/$B$24</f>
        <v>0.37887887887887889</v>
      </c>
      <c r="K27" s="501"/>
    </row>
    <row r="28" spans="1:15" ht="15.95" hidden="1" customHeight="1" x14ac:dyDescent="0.25">
      <c r="A28" s="476" t="s">
        <v>17</v>
      </c>
      <c r="B28" s="865">
        <f t="shared" ref="B28:B31" si="2">B20/$B$24</f>
        <v>0.25275275275275272</v>
      </c>
    </row>
    <row r="29" spans="1:15" ht="15.95" hidden="1" customHeight="1" x14ac:dyDescent="0.25">
      <c r="A29" s="476" t="s">
        <v>18</v>
      </c>
      <c r="B29" s="865">
        <f t="shared" si="2"/>
        <v>8.6036036036036032E-2</v>
      </c>
      <c r="F29" s="860"/>
    </row>
    <row r="30" spans="1:15" ht="15.95" hidden="1" customHeight="1" x14ac:dyDescent="0.25">
      <c r="A30" s="476" t="s">
        <v>19</v>
      </c>
      <c r="B30" s="865">
        <f t="shared" si="2"/>
        <v>0</v>
      </c>
      <c r="G30" s="3"/>
    </row>
    <row r="31" spans="1:15" ht="15.95" hidden="1" customHeight="1" x14ac:dyDescent="0.25">
      <c r="A31" s="476" t="s">
        <v>1162</v>
      </c>
      <c r="B31" s="865">
        <f t="shared" si="2"/>
        <v>0.28233233233233235</v>
      </c>
      <c r="G31" s="3"/>
    </row>
    <row r="32" spans="1:15" ht="15.95" hidden="1" customHeight="1" x14ac:dyDescent="0.25">
      <c r="G32" s="3"/>
    </row>
    <row r="33" spans="7:7" ht="15.95" hidden="1" customHeight="1" x14ac:dyDescent="0.25">
      <c r="G33" s="3"/>
    </row>
    <row r="34" spans="7:7" ht="15.95" hidden="1" customHeight="1" x14ac:dyDescent="0.25">
      <c r="G34" s="3"/>
    </row>
    <row r="35" spans="7:7" ht="15.95" hidden="1" customHeight="1" x14ac:dyDescent="0.25"/>
    <row r="36" spans="7:7" ht="15.95" hidden="1" customHeight="1" x14ac:dyDescent="0.25"/>
    <row r="37" spans="7:7" hidden="1" x14ac:dyDescent="0.25"/>
    <row r="38" spans="7:7" hidden="1" x14ac:dyDescent="0.25"/>
    <row r="39" spans="7:7" hidden="1" x14ac:dyDescent="0.25"/>
    <row r="40" spans="7:7" hidden="1" x14ac:dyDescent="0.25"/>
    <row r="41" spans="7:7" hidden="1" x14ac:dyDescent="0.25"/>
    <row r="42" spans="7:7" hidden="1" x14ac:dyDescent="0.25"/>
    <row r="43" spans="7:7" hidden="1" x14ac:dyDescent="0.25"/>
    <row r="44" spans="7:7" hidden="1" x14ac:dyDescent="0.25"/>
    <row r="45" spans="7:7" hidden="1" x14ac:dyDescent="0.25"/>
    <row r="46" spans="7:7" hidden="1" x14ac:dyDescent="0.25"/>
    <row r="47" spans="7:7" hidden="1" x14ac:dyDescent="0.25"/>
    <row r="50" spans="7:8" x14ac:dyDescent="0.25">
      <c r="G50" s="4"/>
      <c r="H50" s="4"/>
    </row>
  </sheetData>
  <mergeCells count="3">
    <mergeCell ref="K4:K5"/>
    <mergeCell ref="B17:D17"/>
    <mergeCell ref="K14:K1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  <hyperlink ref="F6" location="'Anexo 5_Desp Adm'!A1" display="Despesas Administrativas" xr:uid="{F2DC0665-FC9D-4EBE-9105-05F13645692E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8"/>
  <sheetViews>
    <sheetView showGridLines="0" workbookViewId="0">
      <selection activeCell="G11" sqref="G11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1036" t="s">
        <v>530</v>
      </c>
      <c r="C2" s="1036"/>
      <c r="D2" s="1036"/>
      <c r="E2" s="1036"/>
      <c r="F2" s="389" t="s">
        <v>1</v>
      </c>
      <c r="G2" s="389" t="s">
        <v>1</v>
      </c>
      <c r="H2" s="389" t="s">
        <v>1</v>
      </c>
      <c r="I2" s="13"/>
    </row>
    <row r="3" spans="2:9" x14ac:dyDescent="0.25">
      <c r="B3" s="390"/>
      <c r="C3" s="390"/>
      <c r="D3" s="390"/>
      <c r="E3" s="390"/>
      <c r="F3" s="383">
        <f>C15</f>
        <v>2226371.3810804393</v>
      </c>
      <c r="G3" s="383">
        <f>C16</f>
        <v>2667541.7469166555</v>
      </c>
      <c r="H3" s="383">
        <f>F3+G3</f>
        <v>4893913.1279970948</v>
      </c>
      <c r="I3" s="13"/>
    </row>
    <row r="4" spans="2:9" x14ac:dyDescent="0.25">
      <c r="B4" s="390"/>
      <c r="C4" s="390"/>
      <c r="D4" s="390"/>
      <c r="E4" s="390"/>
      <c r="F4" s="390"/>
      <c r="G4" s="390"/>
      <c r="H4" s="390"/>
      <c r="I4" s="13"/>
    </row>
    <row r="5" spans="2:9" x14ac:dyDescent="0.25">
      <c r="B5" s="391" t="s">
        <v>529</v>
      </c>
      <c r="C5" s="390"/>
      <c r="D5" s="390"/>
      <c r="E5" s="390"/>
      <c r="F5" s="390"/>
      <c r="G5" s="390"/>
      <c r="H5" s="390">
        <f>((2295-126)*20-18)/1000</f>
        <v>43.362000000000002</v>
      </c>
      <c r="I5" s="205" t="s">
        <v>53</v>
      </c>
    </row>
    <row r="6" spans="2:9" x14ac:dyDescent="0.25">
      <c r="B6" s="392" t="s">
        <v>528</v>
      </c>
      <c r="C6" s="503">
        <f>'custos unitários para atualizar'!B29</f>
        <v>43.67</v>
      </c>
      <c r="D6" s="392" t="s">
        <v>526</v>
      </c>
      <c r="E6" s="390"/>
      <c r="F6" s="390"/>
      <c r="G6" s="390"/>
      <c r="H6" s="390"/>
      <c r="I6" s="13"/>
    </row>
    <row r="7" spans="2:9" x14ac:dyDescent="0.25">
      <c r="B7" s="392" t="s">
        <v>527</v>
      </c>
      <c r="C7" s="503">
        <f>'custos unitários para atualizar'!B30</f>
        <v>93.29</v>
      </c>
      <c r="D7" s="392" t="s">
        <v>526</v>
      </c>
      <c r="E7" s="390"/>
      <c r="F7" s="390"/>
      <c r="G7" s="390"/>
      <c r="H7" s="390"/>
      <c r="I7" s="13"/>
    </row>
    <row r="8" spans="2:9" x14ac:dyDescent="0.25">
      <c r="B8" s="393" t="s">
        <v>525</v>
      </c>
      <c r="C8" s="394">
        <v>0.01</v>
      </c>
      <c r="D8" s="7"/>
      <c r="E8" s="7"/>
      <c r="F8" s="7"/>
      <c r="G8" s="7"/>
      <c r="H8" s="7"/>
      <c r="I8" s="13"/>
    </row>
    <row r="9" spans="2:9" x14ac:dyDescent="0.25">
      <c r="B9" s="393" t="s">
        <v>524</v>
      </c>
      <c r="C9" s="383">
        <f>(1006826.53/H$5)</f>
        <v>23219.098058207648</v>
      </c>
      <c r="D9" s="392" t="s">
        <v>518</v>
      </c>
      <c r="E9" s="390" t="s">
        <v>523</v>
      </c>
      <c r="F9" s="390"/>
      <c r="G9" s="390"/>
      <c r="H9" s="390"/>
      <c r="I9" s="13"/>
    </row>
    <row r="10" spans="2:9" x14ac:dyDescent="0.25">
      <c r="B10" s="393" t="s">
        <v>522</v>
      </c>
      <c r="C10" s="383">
        <f>(5577.51/H$5)</f>
        <v>128.62667773626677</v>
      </c>
      <c r="D10" s="392" t="s">
        <v>518</v>
      </c>
      <c r="E10" s="7" t="s">
        <v>521</v>
      </c>
      <c r="F10" s="7"/>
      <c r="G10" s="7"/>
      <c r="H10" s="390"/>
      <c r="I10" s="13"/>
    </row>
    <row r="11" spans="2:9" x14ac:dyDescent="0.25">
      <c r="B11" s="393" t="s">
        <v>520</v>
      </c>
      <c r="C11" s="395">
        <f>C8*C9</f>
        <v>232.19098058207649</v>
      </c>
      <c r="D11" s="392" t="s">
        <v>518</v>
      </c>
      <c r="E11" s="390"/>
      <c r="F11" s="390"/>
      <c r="G11" s="390"/>
      <c r="H11" s="390"/>
      <c r="I11" s="13"/>
    </row>
    <row r="12" spans="2:9" x14ac:dyDescent="0.25">
      <c r="B12" s="393" t="s">
        <v>519</v>
      </c>
      <c r="C12" s="12">
        <f>C8*C10</f>
        <v>1.2862667773626677</v>
      </c>
      <c r="D12" s="392" t="s">
        <v>518</v>
      </c>
      <c r="E12" s="7"/>
      <c r="F12" s="7"/>
      <c r="G12" s="390"/>
      <c r="H12" s="390"/>
      <c r="I12" s="13"/>
    </row>
    <row r="13" spans="2:9" x14ac:dyDescent="0.25">
      <c r="B13" s="392" t="s">
        <v>517</v>
      </c>
      <c r="C13" s="396">
        <v>217</v>
      </c>
      <c r="D13" s="390" t="s">
        <v>53</v>
      </c>
      <c r="E13" s="392" t="s">
        <v>515</v>
      </c>
      <c r="F13" s="390"/>
      <c r="G13" s="390"/>
      <c r="H13" s="390"/>
      <c r="I13" s="13"/>
    </row>
    <row r="14" spans="2:9" x14ac:dyDescent="0.25">
      <c r="B14" s="392" t="s">
        <v>516</v>
      </c>
      <c r="C14" s="396">
        <v>260</v>
      </c>
      <c r="D14" s="390" t="s">
        <v>53</v>
      </c>
      <c r="E14" s="392" t="s">
        <v>515</v>
      </c>
      <c r="F14" s="390"/>
      <c r="G14" s="390"/>
      <c r="H14" s="390"/>
    </row>
    <row r="15" spans="2:9" x14ac:dyDescent="0.25">
      <c r="B15" s="392" t="s">
        <v>514</v>
      </c>
      <c r="C15" s="383">
        <f>(($C$6*$C$11)+($C$7*$C$12))*C13</f>
        <v>2226371.3810804393</v>
      </c>
      <c r="D15" s="392" t="s">
        <v>462</v>
      </c>
      <c r="E15" s="390"/>
      <c r="F15" s="390"/>
      <c r="G15" s="390"/>
      <c r="H15" s="7"/>
    </row>
    <row r="16" spans="2:9" x14ac:dyDescent="0.25">
      <c r="B16" s="392" t="s">
        <v>513</v>
      </c>
      <c r="C16" s="383">
        <f>(($C$6*$C$11)+($C$7*$C$12))*C14</f>
        <v>2667541.7469166555</v>
      </c>
      <c r="D16" s="392" t="s">
        <v>462</v>
      </c>
      <c r="E16" s="390"/>
      <c r="F16" s="390"/>
      <c r="G16" s="7"/>
      <c r="H16" s="7"/>
      <c r="I16" s="24"/>
    </row>
    <row r="18" spans="2:6" x14ac:dyDescent="0.25">
      <c r="B18" s="1033"/>
      <c r="C18" s="1033"/>
      <c r="D18" s="1033"/>
      <c r="E18" s="1033"/>
      <c r="F18" s="185"/>
    </row>
    <row r="19" spans="2:6" x14ac:dyDescent="0.25">
      <c r="B19" s="46"/>
      <c r="C19" s="46"/>
      <c r="D19" s="46"/>
      <c r="E19" s="46"/>
      <c r="F19" s="137"/>
    </row>
    <row r="20" spans="2:6" x14ac:dyDescent="0.25">
      <c r="B20" s="184"/>
      <c r="C20" s="137"/>
      <c r="D20" s="184"/>
      <c r="E20" s="46"/>
      <c r="F20" s="46"/>
    </row>
    <row r="21" spans="2:6" x14ac:dyDescent="0.25">
      <c r="B21" s="184"/>
      <c r="C21" s="137"/>
      <c r="D21" s="184"/>
      <c r="E21" s="46"/>
      <c r="F21" s="46"/>
    </row>
    <row r="22" spans="2:6" x14ac:dyDescent="0.25">
      <c r="B22" s="46"/>
      <c r="C22" s="137"/>
      <c r="D22" s="184"/>
      <c r="E22" s="46"/>
      <c r="F22" s="46"/>
    </row>
    <row r="23" spans="2:6" x14ac:dyDescent="0.25">
      <c r="B23" s="46"/>
      <c r="C23" s="46"/>
      <c r="D23" s="46"/>
      <c r="E23" s="184"/>
      <c r="F23" s="46"/>
    </row>
    <row r="24" spans="2:6" x14ac:dyDescent="0.25">
      <c r="B24" s="46"/>
      <c r="C24" s="46"/>
      <c r="D24" s="46"/>
      <c r="E24" s="183"/>
      <c r="F24" s="46"/>
    </row>
    <row r="25" spans="2:6" x14ac:dyDescent="0.25">
      <c r="B25" s="46"/>
      <c r="C25" s="46"/>
      <c r="D25" s="46"/>
      <c r="E25" s="183"/>
      <c r="F25" s="46"/>
    </row>
    <row r="26" spans="2:6" x14ac:dyDescent="0.25">
      <c r="B26" s="46"/>
      <c r="C26" s="46"/>
      <c r="D26" s="46"/>
      <c r="E26" s="182"/>
      <c r="F26" s="181"/>
    </row>
    <row r="27" spans="2:6" x14ac:dyDescent="0.25">
      <c r="B27" s="46"/>
      <c r="C27" s="46"/>
      <c r="D27" s="46"/>
      <c r="E27" s="46"/>
      <c r="F27" s="46"/>
    </row>
    <row r="28" spans="2:6" x14ac:dyDescent="0.25">
      <c r="B28" s="46"/>
      <c r="C28" s="46"/>
      <c r="D28" s="46"/>
      <c r="E28" s="46"/>
      <c r="F28" s="46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F9" sqref="F9"/>
    </sheetView>
  </sheetViews>
  <sheetFormatPr defaultColWidth="12.5703125" defaultRowHeight="12.75" x14ac:dyDescent="0.2"/>
  <cols>
    <col min="1" max="1" width="12.5703125" style="206"/>
    <col min="2" max="2" width="49" style="206" bestFit="1" customWidth="1"/>
    <col min="3" max="3" width="16.7109375" style="206" customWidth="1"/>
    <col min="4" max="4" width="19.85546875" style="206" customWidth="1"/>
    <col min="5" max="5" width="41.28515625" style="206" bestFit="1" customWidth="1"/>
    <col min="6" max="6" width="20.7109375" style="206" bestFit="1" customWidth="1"/>
    <col min="7" max="7" width="15" style="206" bestFit="1" customWidth="1"/>
    <col min="8" max="8" width="43.85546875" style="206" customWidth="1"/>
    <col min="9" max="9" width="49" style="206" bestFit="1" customWidth="1"/>
    <col min="10" max="10" width="12.5703125" style="206"/>
    <col min="11" max="11" width="14.28515625" style="206" bestFit="1" customWidth="1"/>
    <col min="12" max="12" width="21.140625" style="206" customWidth="1"/>
    <col min="13" max="13" width="19.140625" style="206" customWidth="1"/>
    <col min="14" max="16384" width="12.5703125" style="206"/>
  </cols>
  <sheetData>
    <row r="2" spans="1:6" x14ac:dyDescent="0.2">
      <c r="A2" s="208" t="s">
        <v>544</v>
      </c>
      <c r="B2" s="208" t="s">
        <v>543</v>
      </c>
      <c r="C2" s="208" t="s">
        <v>542</v>
      </c>
      <c r="D2" s="208" t="s">
        <v>541</v>
      </c>
      <c r="E2" s="208" t="s">
        <v>540</v>
      </c>
      <c r="F2" s="208" t="s">
        <v>8</v>
      </c>
    </row>
    <row r="3" spans="1:6" ht="15" x14ac:dyDescent="0.25">
      <c r="A3" s="212" t="s">
        <v>539</v>
      </c>
      <c r="B3" s="212" t="s">
        <v>538</v>
      </c>
      <c r="C3" s="210">
        <v>40017</v>
      </c>
      <c r="D3" s="209">
        <v>35309770.784000002</v>
      </c>
      <c r="E3" s="208">
        <v>1.6080000000000001</v>
      </c>
      <c r="F3" s="207">
        <f>E3*D3</f>
        <v>56778111.420672007</v>
      </c>
    </row>
    <row r="4" spans="1:6" ht="15" x14ac:dyDescent="0.25">
      <c r="A4" s="212" t="s">
        <v>537</v>
      </c>
      <c r="B4" s="212" t="s">
        <v>536</v>
      </c>
      <c r="C4" s="210">
        <v>40017</v>
      </c>
      <c r="D4" s="209">
        <v>40251043.048999995</v>
      </c>
      <c r="E4" s="208">
        <v>1.6080000000000001</v>
      </c>
      <c r="F4" s="207">
        <f>E4*D4</f>
        <v>64723677.222791992</v>
      </c>
    </row>
    <row r="5" spans="1:6" ht="14.25" customHeight="1" x14ac:dyDescent="0.25">
      <c r="A5" s="212" t="s">
        <v>535</v>
      </c>
      <c r="B5" s="212" t="s">
        <v>534</v>
      </c>
      <c r="C5" s="210">
        <v>41500</v>
      </c>
      <c r="D5" s="209">
        <v>20161090.785599999</v>
      </c>
      <c r="E5" s="208">
        <v>1.2549999999999999</v>
      </c>
      <c r="F5" s="207">
        <f>E5*D5</f>
        <v>25302168.935927998</v>
      </c>
    </row>
    <row r="6" spans="1:6" ht="15" x14ac:dyDescent="0.25">
      <c r="A6" s="212" t="s">
        <v>533</v>
      </c>
      <c r="B6" s="314" t="s">
        <v>532</v>
      </c>
      <c r="C6" s="210">
        <v>41879</v>
      </c>
      <c r="D6" s="209">
        <v>10507343.437200001</v>
      </c>
      <c r="E6" s="208">
        <v>1.1919999999999999</v>
      </c>
      <c r="F6" s="207">
        <f>E6*D6</f>
        <v>12524753.3771424</v>
      </c>
    </row>
    <row r="7" spans="1:6" x14ac:dyDescent="0.2">
      <c r="A7" s="208"/>
      <c r="B7" s="208"/>
      <c r="C7" s="208"/>
      <c r="D7" s="208"/>
      <c r="E7" s="208"/>
      <c r="F7" s="207">
        <f>SUM(F3:F6)</f>
        <v>159328710.95653439</v>
      </c>
    </row>
    <row r="8" spans="1:6" x14ac:dyDescent="0.2">
      <c r="A8" s="208" t="s">
        <v>475</v>
      </c>
      <c r="B8" s="397" t="s">
        <v>531</v>
      </c>
      <c r="C8" s="397">
        <v>1.7999999999999999E-2</v>
      </c>
      <c r="D8" s="208"/>
      <c r="E8" s="208"/>
      <c r="F8" s="207">
        <f>F7*C8</f>
        <v>2867916.7972176187</v>
      </c>
    </row>
    <row r="9" spans="1:6" ht="15" x14ac:dyDescent="0.25">
      <c r="E9" s="95" t="s">
        <v>1216</v>
      </c>
      <c r="F9" s="467">
        <f>'custos unitários para atualizar'!$B$4</f>
        <v>0.12956699999999999</v>
      </c>
    </row>
    <row r="10" spans="1:6" x14ac:dyDescent="0.2">
      <c r="E10" s="95" t="s">
        <v>1217</v>
      </c>
      <c r="F10" s="481">
        <f>F8*(1+F9)</f>
        <v>3239504.1728827138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G18" sqref="G18"/>
    </sheetView>
  </sheetViews>
  <sheetFormatPr defaultColWidth="12.5703125" defaultRowHeight="12.75" x14ac:dyDescent="0.2"/>
  <cols>
    <col min="1" max="2" width="12.5703125" style="206"/>
    <col min="3" max="3" width="61.5703125" style="206" customWidth="1"/>
    <col min="4" max="4" width="12.5703125" style="206"/>
    <col min="5" max="5" width="15" style="206" bestFit="1" customWidth="1"/>
    <col min="6" max="6" width="41.28515625" style="206" bestFit="1" customWidth="1"/>
    <col min="7" max="7" width="17.140625" style="206" bestFit="1" customWidth="1"/>
    <col min="8" max="16384" width="12.5703125" style="206"/>
  </cols>
  <sheetData>
    <row r="2" spans="2:7" x14ac:dyDescent="0.2">
      <c r="B2" s="208" t="s">
        <v>583</v>
      </c>
      <c r="C2" s="208"/>
      <c r="D2" s="208"/>
      <c r="E2" s="208"/>
      <c r="F2" s="208"/>
      <c r="G2" s="208"/>
    </row>
    <row r="3" spans="2:7" x14ac:dyDescent="0.2">
      <c r="B3" s="208" t="s">
        <v>544</v>
      </c>
      <c r="C3" s="208" t="s">
        <v>543</v>
      </c>
      <c r="D3" s="208" t="s">
        <v>542</v>
      </c>
      <c r="E3" s="208" t="s">
        <v>541</v>
      </c>
      <c r="F3" s="208" t="s">
        <v>540</v>
      </c>
      <c r="G3" s="208" t="s">
        <v>8</v>
      </c>
    </row>
    <row r="4" spans="2:7" ht="15" x14ac:dyDescent="0.25">
      <c r="B4" s="212" t="s">
        <v>582</v>
      </c>
      <c r="C4" s="212" t="s">
        <v>581</v>
      </c>
      <c r="D4" s="210">
        <v>40017</v>
      </c>
      <c r="E4" s="209">
        <v>30616347.631999988</v>
      </c>
      <c r="F4" s="208">
        <v>1.6080000000000001</v>
      </c>
      <c r="G4" s="207">
        <f>F4*E4</f>
        <v>49231086.992255986</v>
      </c>
    </row>
    <row r="5" spans="2:7" ht="15" x14ac:dyDescent="0.25">
      <c r="B5" s="212" t="s">
        <v>579</v>
      </c>
      <c r="C5" s="212" t="s">
        <v>580</v>
      </c>
      <c r="D5" s="210">
        <v>41410</v>
      </c>
      <c r="E5" s="209">
        <v>21119291.794</v>
      </c>
      <c r="F5" s="208">
        <v>1.268</v>
      </c>
      <c r="G5" s="207">
        <f>F5*E5</f>
        <v>26779261.994791999</v>
      </c>
    </row>
    <row r="6" spans="2:7" ht="15" x14ac:dyDescent="0.25">
      <c r="B6" s="212" t="s">
        <v>579</v>
      </c>
      <c r="C6" s="212" t="s">
        <v>578</v>
      </c>
      <c r="D6" s="210">
        <v>41410</v>
      </c>
      <c r="E6" s="209">
        <v>33980015.173999995</v>
      </c>
      <c r="F6" s="208">
        <v>1.268</v>
      </c>
      <c r="G6" s="207">
        <f>F6*E6</f>
        <v>43086659.240631998</v>
      </c>
    </row>
    <row r="7" spans="2:7" ht="15" x14ac:dyDescent="0.25">
      <c r="B7" s="212" t="s">
        <v>577</v>
      </c>
      <c r="C7" s="314" t="s">
        <v>576</v>
      </c>
      <c r="D7" s="210">
        <v>42148</v>
      </c>
      <c r="E7" s="209">
        <v>39703524.853199996</v>
      </c>
      <c r="F7" s="208">
        <v>1.1339999999999999</v>
      </c>
      <c r="G7" s="207">
        <f>F7*E7</f>
        <v>45023797.183528788</v>
      </c>
    </row>
    <row r="8" spans="2:7" ht="15" x14ac:dyDescent="0.25">
      <c r="B8" s="214" t="s">
        <v>575</v>
      </c>
      <c r="C8" s="314" t="s">
        <v>574</v>
      </c>
      <c r="D8" s="210">
        <v>42148</v>
      </c>
      <c r="E8" s="209">
        <v>6969138.4484999999</v>
      </c>
      <c r="F8" s="208">
        <v>1.1339999999999999</v>
      </c>
      <c r="G8" s="207">
        <f>F8*E8</f>
        <v>7903003.0005989997</v>
      </c>
    </row>
    <row r="9" spans="2:7" x14ac:dyDescent="0.2">
      <c r="B9" s="208"/>
      <c r="C9" s="208"/>
      <c r="D9" s="208"/>
      <c r="E9" s="207">
        <f>SUM(E4:E8)</f>
        <v>132388317.90169999</v>
      </c>
      <c r="F9" s="208"/>
      <c r="G9" s="207">
        <f>SUM(G4:G8)</f>
        <v>172023808.41180778</v>
      </c>
    </row>
    <row r="10" spans="2:7" x14ac:dyDescent="0.2">
      <c r="B10" s="208" t="s">
        <v>475</v>
      </c>
      <c r="C10" s="397" t="s">
        <v>531</v>
      </c>
      <c r="D10" s="397">
        <v>0.02</v>
      </c>
      <c r="E10" s="208"/>
      <c r="F10" s="208"/>
      <c r="G10" s="207">
        <f>G9*D10</f>
        <v>3440476.1682361555</v>
      </c>
    </row>
    <row r="11" spans="2:7" ht="15" x14ac:dyDescent="0.25">
      <c r="F11" s="95" t="s">
        <v>1216</v>
      </c>
      <c r="G11" s="467">
        <f>'custos unitários para atualizar'!$B$4</f>
        <v>0.12956699999999999</v>
      </c>
    </row>
    <row r="12" spans="2:7" x14ac:dyDescent="0.2">
      <c r="F12" s="95" t="s">
        <v>1217</v>
      </c>
      <c r="G12" s="481">
        <f>G10*(1+G11)</f>
        <v>3886248.3439260093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F7" sqref="F7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208" t="s">
        <v>544</v>
      </c>
      <c r="B2" s="208" t="s">
        <v>543</v>
      </c>
      <c r="C2" s="208" t="s">
        <v>542</v>
      </c>
      <c r="D2" s="208" t="s">
        <v>541</v>
      </c>
      <c r="E2" s="208" t="s">
        <v>540</v>
      </c>
      <c r="F2" s="208" t="s">
        <v>8</v>
      </c>
    </row>
    <row r="3" spans="1:6" x14ac:dyDescent="0.25">
      <c r="A3" s="215" t="s">
        <v>587</v>
      </c>
      <c r="B3" s="212" t="s">
        <v>586</v>
      </c>
      <c r="C3" s="210">
        <v>41573</v>
      </c>
      <c r="D3" s="209">
        <v>13977401.869999999</v>
      </c>
      <c r="E3" s="7">
        <v>1.2350000000000001</v>
      </c>
      <c r="F3" s="11">
        <f>D3*E3</f>
        <v>17262091.309450001</v>
      </c>
    </row>
    <row r="4" spans="1:6" x14ac:dyDescent="0.25">
      <c r="A4" s="215" t="s">
        <v>585</v>
      </c>
      <c r="B4" s="212" t="s">
        <v>584</v>
      </c>
      <c r="C4" s="210">
        <v>41573</v>
      </c>
      <c r="D4" s="209">
        <v>16480155.34</v>
      </c>
      <c r="E4" s="7">
        <v>1.2350000000000001</v>
      </c>
      <c r="F4" s="11">
        <f>D4*E4</f>
        <v>20352991.844900001</v>
      </c>
    </row>
    <row r="5" spans="1:6" x14ac:dyDescent="0.25">
      <c r="A5" s="7"/>
      <c r="B5" s="7"/>
      <c r="C5" s="7"/>
      <c r="D5" s="11">
        <f>SUM(D3:D4)</f>
        <v>30457557.210000001</v>
      </c>
      <c r="E5" s="7"/>
      <c r="F5" s="11">
        <f>SUM(F3:F4)</f>
        <v>37615083.154349998</v>
      </c>
    </row>
    <row r="6" spans="1:6" x14ac:dyDescent="0.25">
      <c r="A6" s="208" t="s">
        <v>475</v>
      </c>
      <c r="B6" s="397" t="s">
        <v>531</v>
      </c>
      <c r="C6" s="397">
        <v>0.05</v>
      </c>
      <c r="D6" s="208"/>
      <c r="E6" s="208"/>
      <c r="F6" s="207">
        <f>F5*C6</f>
        <v>1880754.1577174999</v>
      </c>
    </row>
    <row r="7" spans="1:6" x14ac:dyDescent="0.25">
      <c r="E7" s="95" t="s">
        <v>1216</v>
      </c>
      <c r="F7" s="467">
        <f>'custos unitários para atualizar'!$B$4</f>
        <v>0.12956699999999999</v>
      </c>
    </row>
    <row r="8" spans="1:6" x14ac:dyDescent="0.25">
      <c r="E8" s="95" t="s">
        <v>1217</v>
      </c>
      <c r="F8" s="481">
        <f>F6*(1+F7)</f>
        <v>2124437.8316704831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7"/>
      <c r="C1" s="7"/>
      <c r="D1" s="7"/>
      <c r="E1" s="7"/>
      <c r="F1" s="398" t="s">
        <v>9</v>
      </c>
      <c r="G1" s="398" t="s">
        <v>10</v>
      </c>
      <c r="H1" s="398" t="s">
        <v>23</v>
      </c>
    </row>
    <row r="2" spans="2:8" x14ac:dyDescent="0.25">
      <c r="B2" s="7"/>
      <c r="C2" s="7"/>
      <c r="D2" s="7"/>
      <c r="E2" s="7"/>
      <c r="F2" s="14" t="s">
        <v>1</v>
      </c>
      <c r="G2" s="14" t="s">
        <v>1</v>
      </c>
      <c r="H2" s="14" t="s">
        <v>1</v>
      </c>
    </row>
    <row r="3" spans="2:8" x14ac:dyDescent="0.25">
      <c r="B3" s="1035" t="s">
        <v>573</v>
      </c>
      <c r="C3" s="1035"/>
      <c r="D3" s="1035"/>
      <c r="E3" s="1035"/>
      <c r="F3" s="386">
        <f>C15*(6/9)+C22+C33+'aferição medidores de vazão'!C6</f>
        <v>1275000</v>
      </c>
      <c r="G3" s="386">
        <f>C15*(3/9)+C21+C32+'aferição medidores de vazão'!C5</f>
        <v>1005000</v>
      </c>
      <c r="H3" s="386">
        <f>F3+G3</f>
        <v>2280000</v>
      </c>
    </row>
    <row r="4" spans="2:8" x14ac:dyDescent="0.25">
      <c r="B4" s="7"/>
      <c r="C4" s="7"/>
      <c r="D4" s="7"/>
      <c r="E4" s="7"/>
      <c r="F4" s="7"/>
      <c r="G4" s="7"/>
      <c r="H4" s="7"/>
    </row>
    <row r="5" spans="2:8" x14ac:dyDescent="0.25">
      <c r="B5" s="7" t="s">
        <v>572</v>
      </c>
      <c r="C5" s="7"/>
      <c r="D5" s="7"/>
      <c r="E5" s="7"/>
      <c r="F5" s="7"/>
      <c r="G5" s="7"/>
      <c r="H5" s="7"/>
    </row>
    <row r="6" spans="2:8" x14ac:dyDescent="0.25">
      <c r="B6" s="9" t="s">
        <v>571</v>
      </c>
      <c r="C6" s="7">
        <v>9</v>
      </c>
      <c r="D6" s="7"/>
      <c r="E6" s="7"/>
      <c r="F6" s="7"/>
      <c r="G6" s="7"/>
      <c r="H6" s="7"/>
    </row>
    <row r="7" spans="2:8" x14ac:dyDescent="0.25">
      <c r="B7" s="7" t="s">
        <v>570</v>
      </c>
      <c r="C7" s="7">
        <v>2</v>
      </c>
      <c r="D7" s="7"/>
      <c r="E7" s="7"/>
      <c r="F7" s="7"/>
      <c r="G7" s="7"/>
      <c r="H7" s="7"/>
    </row>
    <row r="8" spans="2:8" x14ac:dyDescent="0.25">
      <c r="B8" s="7" t="s">
        <v>569</v>
      </c>
      <c r="C8" s="7">
        <f>C7*C6</f>
        <v>18</v>
      </c>
      <c r="D8" s="7"/>
      <c r="E8" s="7"/>
      <c r="F8" s="7"/>
      <c r="G8" s="7"/>
      <c r="H8" s="7"/>
    </row>
    <row r="9" spans="2:8" x14ac:dyDescent="0.25">
      <c r="B9" s="7" t="s">
        <v>568</v>
      </c>
      <c r="C9" s="11">
        <v>50000</v>
      </c>
      <c r="D9" s="7" t="s">
        <v>1</v>
      </c>
      <c r="E9" s="7"/>
      <c r="F9" s="7"/>
      <c r="G9" s="7"/>
      <c r="H9" s="7"/>
    </row>
    <row r="10" spans="2:8" x14ac:dyDescent="0.25">
      <c r="B10" s="7" t="s">
        <v>8</v>
      </c>
      <c r="C10" s="11">
        <f>C9*C8</f>
        <v>900000</v>
      </c>
      <c r="D10" s="7" t="s">
        <v>1</v>
      </c>
      <c r="E10" s="7"/>
      <c r="F10" s="7"/>
      <c r="G10" s="7"/>
      <c r="H10" s="7"/>
    </row>
    <row r="11" spans="2:8" x14ac:dyDescent="0.25">
      <c r="B11" s="7"/>
      <c r="C11" s="7"/>
      <c r="D11" s="7"/>
      <c r="E11" s="7"/>
      <c r="F11" s="7"/>
      <c r="G11" s="7"/>
      <c r="H11" s="7"/>
    </row>
    <row r="12" spans="2:8" x14ac:dyDescent="0.25">
      <c r="B12" s="7" t="s">
        <v>567</v>
      </c>
      <c r="C12" s="11">
        <v>30000</v>
      </c>
      <c r="D12" s="7" t="s">
        <v>1</v>
      </c>
      <c r="E12" s="7"/>
      <c r="F12" s="7"/>
      <c r="G12" s="7"/>
      <c r="H12" s="7"/>
    </row>
    <row r="13" spans="2:8" x14ac:dyDescent="0.25">
      <c r="B13" s="7" t="s">
        <v>8</v>
      </c>
      <c r="C13" s="11">
        <f>C12*C6</f>
        <v>270000</v>
      </c>
      <c r="D13" s="7" t="s">
        <v>1</v>
      </c>
      <c r="E13" s="7"/>
      <c r="F13" s="7"/>
      <c r="G13" s="7"/>
      <c r="H13" s="7"/>
    </row>
    <row r="14" spans="2:8" x14ac:dyDescent="0.25">
      <c r="B14" s="7"/>
      <c r="C14" s="7"/>
      <c r="D14" s="7"/>
      <c r="E14" s="7"/>
      <c r="F14" s="7"/>
      <c r="G14" s="7"/>
      <c r="H14" s="7"/>
    </row>
    <row r="15" spans="2:8" x14ac:dyDescent="0.25">
      <c r="B15" s="7" t="s">
        <v>566</v>
      </c>
      <c r="C15" s="399">
        <f>C13+C10</f>
        <v>1170000</v>
      </c>
      <c r="D15" s="7"/>
      <c r="E15" s="7"/>
      <c r="F15" s="7"/>
      <c r="G15" s="7"/>
      <c r="H15" s="7"/>
    </row>
    <row r="16" spans="2:8" x14ac:dyDescent="0.25">
      <c r="B16" s="93" t="s">
        <v>565</v>
      </c>
      <c r="C16" s="11"/>
      <c r="D16" s="7"/>
      <c r="E16" s="7"/>
      <c r="F16" s="7"/>
      <c r="G16" s="7"/>
      <c r="H16" s="7"/>
    </row>
    <row r="17" spans="2:8" x14ac:dyDescent="0.25">
      <c r="B17" s="7" t="s">
        <v>564</v>
      </c>
      <c r="C17" s="400">
        <v>17</v>
      </c>
      <c r="D17" s="7"/>
      <c r="E17" s="7"/>
      <c r="F17" s="7"/>
      <c r="G17" s="7"/>
      <c r="H17" s="7"/>
    </row>
    <row r="18" spans="2:8" x14ac:dyDescent="0.25">
      <c r="B18" s="7" t="s">
        <v>563</v>
      </c>
      <c r="C18" s="400">
        <v>11</v>
      </c>
      <c r="D18" s="7"/>
      <c r="E18" s="7"/>
      <c r="F18" s="7"/>
      <c r="G18" s="7"/>
      <c r="H18" s="7"/>
    </row>
    <row r="19" spans="2:8" x14ac:dyDescent="0.25">
      <c r="B19" s="7"/>
      <c r="C19" s="11"/>
      <c r="D19" s="7"/>
      <c r="E19" s="7"/>
      <c r="F19" s="7"/>
      <c r="G19" s="7"/>
      <c r="H19" s="7"/>
    </row>
    <row r="20" spans="2:8" x14ac:dyDescent="0.25">
      <c r="B20" s="7" t="s">
        <v>562</v>
      </c>
      <c r="C20" s="401">
        <v>20000</v>
      </c>
      <c r="D20" s="291" t="s">
        <v>561</v>
      </c>
      <c r="E20" s="291"/>
      <c r="F20" s="291" t="s">
        <v>560</v>
      </c>
      <c r="G20" s="7"/>
      <c r="H20" s="7"/>
    </row>
    <row r="21" spans="2:8" x14ac:dyDescent="0.25">
      <c r="B21" s="7" t="s">
        <v>559</v>
      </c>
      <c r="C21" s="11">
        <f>C20*C17</f>
        <v>340000</v>
      </c>
      <c r="D21" s="7" t="s">
        <v>1</v>
      </c>
      <c r="E21" s="7"/>
      <c r="F21" s="7"/>
      <c r="G21" s="7"/>
      <c r="H21" s="7"/>
    </row>
    <row r="22" spans="2:8" x14ac:dyDescent="0.25">
      <c r="B22" s="7" t="s">
        <v>558</v>
      </c>
      <c r="C22" s="11">
        <f>C20*C18</f>
        <v>220000</v>
      </c>
      <c r="D22" s="7" t="s">
        <v>1</v>
      </c>
      <c r="E22" s="7"/>
      <c r="F22" s="398"/>
      <c r="G22" s="398"/>
      <c r="H22" s="398"/>
    </row>
    <row r="23" spans="2:8" x14ac:dyDescent="0.25">
      <c r="B23" s="402" t="s">
        <v>557</v>
      </c>
      <c r="C23" s="403">
        <f>C21+C22</f>
        <v>560000</v>
      </c>
      <c r="D23" s="402" t="s">
        <v>1</v>
      </c>
      <c r="E23" s="7"/>
      <c r="F23" s="7"/>
      <c r="G23" s="7"/>
      <c r="H23" s="7"/>
    </row>
    <row r="24" spans="2:8" x14ac:dyDescent="0.25">
      <c r="B24" s="7"/>
      <c r="C24" s="7"/>
      <c r="D24" s="7"/>
      <c r="E24" s="7"/>
      <c r="F24" s="7"/>
      <c r="G24" s="7"/>
      <c r="H24" s="7"/>
    </row>
    <row r="25" spans="2:8" x14ac:dyDescent="0.25">
      <c r="B25" s="93" t="s">
        <v>556</v>
      </c>
      <c r="C25" s="11"/>
      <c r="D25" s="7"/>
      <c r="E25" s="7"/>
      <c r="F25" s="7"/>
      <c r="G25" s="7"/>
      <c r="H25" s="7"/>
    </row>
    <row r="26" spans="2:8" x14ac:dyDescent="0.25">
      <c r="B26" s="7" t="s">
        <v>555</v>
      </c>
      <c r="C26" s="11">
        <v>35000</v>
      </c>
      <c r="D26" s="7" t="s">
        <v>554</v>
      </c>
      <c r="E26" s="7"/>
      <c r="F26" s="7"/>
      <c r="G26" s="7"/>
      <c r="H26" s="7"/>
    </row>
    <row r="27" spans="2:8" x14ac:dyDescent="0.25">
      <c r="B27" s="7" t="s">
        <v>34</v>
      </c>
      <c r="C27" s="11">
        <v>35000</v>
      </c>
      <c r="D27" s="7" t="s">
        <v>554</v>
      </c>
      <c r="E27" s="7"/>
      <c r="F27" s="7"/>
      <c r="G27" s="7"/>
      <c r="H27" s="7"/>
    </row>
    <row r="28" spans="2:8" x14ac:dyDescent="0.25">
      <c r="B28" s="7" t="s">
        <v>553</v>
      </c>
      <c r="C28" s="11">
        <v>2</v>
      </c>
      <c r="D28" s="7" t="s">
        <v>549</v>
      </c>
      <c r="E28" s="7"/>
      <c r="F28" s="7"/>
      <c r="G28" s="7"/>
      <c r="H28" s="7"/>
    </row>
    <row r="29" spans="2:8" x14ac:dyDescent="0.25">
      <c r="B29" s="7" t="s">
        <v>552</v>
      </c>
      <c r="C29" s="11">
        <v>2</v>
      </c>
      <c r="D29" s="7" t="s">
        <v>549</v>
      </c>
      <c r="E29" s="7"/>
      <c r="F29" s="7"/>
      <c r="G29" s="7"/>
      <c r="H29" s="7"/>
    </row>
    <row r="30" spans="2:8" x14ac:dyDescent="0.25">
      <c r="B30" s="7" t="s">
        <v>551</v>
      </c>
      <c r="C30" s="11">
        <v>2</v>
      </c>
      <c r="D30" s="7" t="s">
        <v>549</v>
      </c>
      <c r="E30" s="7"/>
      <c r="F30" s="7"/>
      <c r="G30" s="7"/>
      <c r="H30" s="7"/>
    </row>
    <row r="31" spans="2:8" x14ac:dyDescent="0.25">
      <c r="B31" s="7" t="s">
        <v>550</v>
      </c>
      <c r="C31" s="11">
        <v>2</v>
      </c>
      <c r="D31" s="7" t="s">
        <v>549</v>
      </c>
      <c r="E31" s="7"/>
      <c r="F31" s="7"/>
      <c r="G31" s="7"/>
      <c r="H31" s="7"/>
    </row>
    <row r="32" spans="2:8" x14ac:dyDescent="0.25">
      <c r="B32" s="7" t="s">
        <v>548</v>
      </c>
      <c r="C32" s="11">
        <f>(C26*C28)+(C27*C30)</f>
        <v>140000</v>
      </c>
      <c r="D32" s="7" t="s">
        <v>1</v>
      </c>
      <c r="E32" s="7"/>
      <c r="F32" s="7"/>
      <c r="G32" s="7"/>
      <c r="H32" s="7"/>
    </row>
    <row r="33" spans="2:8" x14ac:dyDescent="0.25">
      <c r="B33" s="7" t="s">
        <v>547</v>
      </c>
      <c r="C33" s="11">
        <f>(C26*C29)+(C27*C31)</f>
        <v>140000</v>
      </c>
      <c r="D33" s="7" t="s">
        <v>1</v>
      </c>
      <c r="E33" s="7"/>
      <c r="F33" s="7"/>
      <c r="G33" s="7"/>
      <c r="H33" s="7"/>
    </row>
    <row r="34" spans="2:8" x14ac:dyDescent="0.25">
      <c r="B34" s="402" t="s">
        <v>546</v>
      </c>
      <c r="C34" s="403">
        <f>C33+C32</f>
        <v>280000</v>
      </c>
      <c r="D34" s="402" t="s">
        <v>1</v>
      </c>
      <c r="E34" s="7"/>
      <c r="F34" s="7"/>
      <c r="G34" s="7"/>
      <c r="H34" s="7"/>
    </row>
    <row r="35" spans="2:8" x14ac:dyDescent="0.25">
      <c r="B35" s="7"/>
      <c r="C35" s="11"/>
      <c r="D35" s="7"/>
      <c r="E35" s="7"/>
      <c r="F35" s="7"/>
      <c r="G35" s="7"/>
      <c r="H35" s="7"/>
    </row>
    <row r="36" spans="2:8" x14ac:dyDescent="0.25">
      <c r="B36" s="7"/>
      <c r="C36" s="7"/>
      <c r="D36" s="7"/>
      <c r="E36" s="7"/>
      <c r="F36" s="7"/>
      <c r="G36" s="7"/>
      <c r="H36" s="7"/>
    </row>
    <row r="37" spans="2:8" x14ac:dyDescent="0.25">
      <c r="B37" s="7"/>
      <c r="C37" s="11"/>
      <c r="D37" s="7"/>
      <c r="E37" s="7"/>
      <c r="F37" s="7"/>
      <c r="G37" s="7"/>
      <c r="H37" s="7"/>
    </row>
    <row r="38" spans="2:8" x14ac:dyDescent="0.25">
      <c r="B38" s="402" t="s">
        <v>545</v>
      </c>
      <c r="C38" s="403">
        <f>C34+C23+C15</f>
        <v>2010000</v>
      </c>
      <c r="D38" s="402" t="s">
        <v>1</v>
      </c>
      <c r="E38" s="7"/>
      <c r="F38" s="7"/>
      <c r="G38" s="7"/>
      <c r="H38" s="7"/>
    </row>
    <row r="39" spans="2:8" x14ac:dyDescent="0.25">
      <c r="B39" s="402"/>
      <c r="C39" s="403"/>
      <c r="D39" s="7"/>
      <c r="E39" s="7"/>
      <c r="F39" s="7"/>
      <c r="G39" s="7"/>
      <c r="H39" s="7"/>
    </row>
    <row r="40" spans="2:8" x14ac:dyDescent="0.25">
      <c r="D40" s="22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>
      <selection activeCell="C8" sqref="C8"/>
    </sheetView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93" t="s">
        <v>24</v>
      </c>
      <c r="C2" s="404"/>
      <c r="D2" s="7"/>
    </row>
    <row r="3" spans="2:4" x14ac:dyDescent="0.25">
      <c r="B3" s="7" t="s">
        <v>25</v>
      </c>
      <c r="C3" s="11">
        <v>45000</v>
      </c>
      <c r="D3" s="7" t="s">
        <v>26</v>
      </c>
    </row>
    <row r="4" spans="2:4" x14ac:dyDescent="0.25">
      <c r="B4" s="7" t="s">
        <v>27</v>
      </c>
      <c r="C4" s="11">
        <v>3</v>
      </c>
      <c r="D4" s="7" t="s">
        <v>28</v>
      </c>
    </row>
    <row r="5" spans="2:4" x14ac:dyDescent="0.25">
      <c r="B5" s="7" t="s">
        <v>29</v>
      </c>
      <c r="C5" s="11">
        <f>C3*C4</f>
        <v>135000</v>
      </c>
      <c r="D5" s="7" t="s">
        <v>1</v>
      </c>
    </row>
    <row r="6" spans="2:4" x14ac:dyDescent="0.25">
      <c r="B6" s="7" t="s">
        <v>30</v>
      </c>
      <c r="C6" s="11">
        <f>C3*C4</f>
        <v>135000</v>
      </c>
      <c r="D6" s="7" t="s">
        <v>1</v>
      </c>
    </row>
    <row r="7" spans="2:4" x14ac:dyDescent="0.25">
      <c r="B7" s="402" t="s">
        <v>31</v>
      </c>
      <c r="C7" s="403">
        <f>C5+C6</f>
        <v>270000</v>
      </c>
      <c r="D7" s="402" t="s">
        <v>1</v>
      </c>
    </row>
    <row r="8" spans="2:4" x14ac:dyDescent="0.25">
      <c r="B8" s="95" t="s">
        <v>1216</v>
      </c>
      <c r="C8" s="467">
        <f>'custos unitários para atualizar'!$B$4</f>
        <v>0.12956699999999999</v>
      </c>
    </row>
    <row r="9" spans="2:4" x14ac:dyDescent="0.25">
      <c r="B9" s="95" t="s">
        <v>1217</v>
      </c>
      <c r="C9" s="481">
        <f>C7*(1+C8)</f>
        <v>304983.09000000003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topLeftCell="A13" workbookViewId="0">
      <selection activeCell="G25" sqref="G2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85" t="s">
        <v>74</v>
      </c>
    </row>
    <row r="3" spans="2:13" ht="49.5" customHeight="1" x14ac:dyDescent="0.25">
      <c r="B3" s="955" t="s">
        <v>39</v>
      </c>
      <c r="C3" s="955" t="s">
        <v>38</v>
      </c>
      <c r="D3" s="955" t="s">
        <v>72</v>
      </c>
      <c r="E3" s="36" t="s">
        <v>71</v>
      </c>
      <c r="F3" s="36" t="s">
        <v>70</v>
      </c>
      <c r="G3" s="36" t="s">
        <v>69</v>
      </c>
      <c r="H3" s="955" t="s">
        <v>68</v>
      </c>
      <c r="I3" s="955" t="s">
        <v>65</v>
      </c>
      <c r="L3" s="95" t="s">
        <v>73</v>
      </c>
      <c r="M3" s="481">
        <f>I5+G14+G26</f>
        <v>1443288.3594364091</v>
      </c>
    </row>
    <row r="4" spans="2:13" ht="12" customHeight="1" x14ac:dyDescent="0.25">
      <c r="B4" s="955"/>
      <c r="C4" s="955"/>
      <c r="D4" s="955"/>
      <c r="E4" s="35">
        <v>0.73570000000000002</v>
      </c>
      <c r="F4" s="35">
        <v>0.2177</v>
      </c>
      <c r="G4" s="35">
        <v>0.3</v>
      </c>
      <c r="H4" s="955"/>
      <c r="I4" s="955"/>
      <c r="L4" s="95" t="s">
        <v>67</v>
      </c>
      <c r="M4" s="481">
        <f>E31</f>
        <v>76489.440000000002</v>
      </c>
    </row>
    <row r="5" spans="2:13" x14ac:dyDescent="0.25">
      <c r="B5" s="32" t="s">
        <v>66</v>
      </c>
      <c r="C5" s="32">
        <v>3</v>
      </c>
      <c r="D5" s="34">
        <f>'mão de obra'!D12</f>
        <v>3638.31</v>
      </c>
      <c r="E5" s="30">
        <f>$D$5*E4</f>
        <v>2676.704667</v>
      </c>
      <c r="F5" s="30">
        <f>$D$5*F4</f>
        <v>792.06008699999995</v>
      </c>
      <c r="G5" s="30">
        <f>$D$5*G4</f>
        <v>1091.4929999999999</v>
      </c>
      <c r="H5" s="30">
        <f>(SUM(D5:G5)*C5*12)</f>
        <v>295148.439144</v>
      </c>
      <c r="I5" s="30">
        <f>H5*1.2515</f>
        <v>369378.27158871602</v>
      </c>
    </row>
    <row r="7" spans="2:13" ht="15.75" thickBot="1" x14ac:dyDescent="0.3">
      <c r="B7" s="285" t="s">
        <v>2</v>
      </c>
    </row>
    <row r="8" spans="2:13" x14ac:dyDescent="0.25">
      <c r="B8" s="957" t="s">
        <v>39</v>
      </c>
      <c r="C8" s="956" t="s">
        <v>38</v>
      </c>
      <c r="D8" s="27" t="s">
        <v>37</v>
      </c>
      <c r="E8" s="27" t="s">
        <v>37</v>
      </c>
      <c r="F8" s="27" t="s">
        <v>37</v>
      </c>
      <c r="G8" s="955" t="s">
        <v>65</v>
      </c>
    </row>
    <row r="9" spans="2:13" ht="36" x14ac:dyDescent="0.25">
      <c r="B9" s="957"/>
      <c r="C9" s="957"/>
      <c r="D9" s="26" t="s">
        <v>64</v>
      </c>
      <c r="E9" s="26" t="s">
        <v>35</v>
      </c>
      <c r="F9" s="26" t="s">
        <v>63</v>
      </c>
      <c r="G9" s="955"/>
    </row>
    <row r="10" spans="2:13" x14ac:dyDescent="0.25">
      <c r="B10" s="33" t="s">
        <v>62</v>
      </c>
      <c r="C10" s="32">
        <v>3</v>
      </c>
      <c r="D10" s="31">
        <v>7000</v>
      </c>
      <c r="E10" s="31">
        <f>D10*C10</f>
        <v>21000</v>
      </c>
      <c r="F10" s="31">
        <f>E10*12</f>
        <v>252000</v>
      </c>
      <c r="G10" s="30">
        <f>F10*1.2515</f>
        <v>315378</v>
      </c>
    </row>
    <row r="11" spans="2:13" x14ac:dyDescent="0.25">
      <c r="B11" s="7" t="s">
        <v>61</v>
      </c>
      <c r="C11" s="7"/>
      <c r="D11" s="7"/>
      <c r="E11" s="7"/>
      <c r="F11" s="31">
        <f>3*Veículos!F13/SUM(Veículos!C9:C12)</f>
        <v>28245.477272727272</v>
      </c>
      <c r="G11" s="30">
        <f>F11*1.2515</f>
        <v>35349.214806818185</v>
      </c>
    </row>
    <row r="12" spans="2:13" x14ac:dyDescent="0.25">
      <c r="B12" s="7" t="s">
        <v>12</v>
      </c>
      <c r="C12" s="7"/>
      <c r="D12" s="7"/>
      <c r="E12" s="7"/>
      <c r="F12" s="7"/>
      <c r="G12" s="30">
        <f>SUM(G10:G11)</f>
        <v>350727.21480681817</v>
      </c>
    </row>
    <row r="13" spans="2:13" x14ac:dyDescent="0.25">
      <c r="B13" s="17"/>
      <c r="C13" s="17"/>
      <c r="D13" s="17"/>
      <c r="E13" s="17"/>
      <c r="F13" s="95" t="s">
        <v>1216</v>
      </c>
      <c r="G13" s="467">
        <f>'custos unitários para atualizar'!$B$4</f>
        <v>0.12956699999999999</v>
      </c>
    </row>
    <row r="14" spans="2:13" x14ac:dyDescent="0.25">
      <c r="B14" s="17"/>
      <c r="C14" s="17"/>
      <c r="D14" s="17"/>
      <c r="E14" s="17"/>
      <c r="F14" s="95" t="s">
        <v>1217</v>
      </c>
      <c r="G14" s="481">
        <f>G12*(1+G13)</f>
        <v>396169.88784769317</v>
      </c>
    </row>
    <row r="16" spans="2:13" x14ac:dyDescent="0.25">
      <c r="B16" s="285" t="s">
        <v>60</v>
      </c>
      <c r="C16" s="17"/>
      <c r="D16" s="17"/>
      <c r="E16" s="17"/>
    </row>
    <row r="17" spans="2:22" x14ac:dyDescent="0.25">
      <c r="B17" s="7" t="s">
        <v>59</v>
      </c>
      <c r="C17" s="139">
        <f>20000/3</f>
        <v>6666.666666666667</v>
      </c>
      <c r="D17" s="7" t="s">
        <v>58</v>
      </c>
      <c r="E17" s="7"/>
    </row>
    <row r="18" spans="2:22" x14ac:dyDescent="0.25">
      <c r="B18" s="7" t="s">
        <v>57</v>
      </c>
      <c r="C18" s="7">
        <v>80</v>
      </c>
      <c r="D18" s="7" t="s">
        <v>56</v>
      </c>
      <c r="E18" s="7"/>
      <c r="F18" s="23" t="s">
        <v>55</v>
      </c>
    </row>
    <row r="19" spans="2:22" x14ac:dyDescent="0.25">
      <c r="B19" s="7" t="s">
        <v>54</v>
      </c>
      <c r="C19" s="359">
        <f>(100+200)*2</f>
        <v>600</v>
      </c>
      <c r="D19" s="7" t="s">
        <v>53</v>
      </c>
      <c r="E19" s="7" t="s">
        <v>52</v>
      </c>
      <c r="F19" t="s">
        <v>51</v>
      </c>
    </row>
    <row r="20" spans="2:22" x14ac:dyDescent="0.25">
      <c r="B20" s="7" t="s">
        <v>50</v>
      </c>
      <c r="C20" s="12">
        <f>C19/C18</f>
        <v>7.5</v>
      </c>
      <c r="D20" s="7" t="s">
        <v>49</v>
      </c>
      <c r="E20" s="7"/>
    </row>
    <row r="21" spans="2:22" x14ac:dyDescent="0.25">
      <c r="B21" s="7" t="s">
        <v>48</v>
      </c>
      <c r="C21" s="7">
        <v>1</v>
      </c>
      <c r="D21" s="7" t="s">
        <v>47</v>
      </c>
      <c r="E21" s="7"/>
    </row>
    <row r="22" spans="2:22" x14ac:dyDescent="0.25">
      <c r="B22" s="7" t="s">
        <v>46</v>
      </c>
      <c r="C22" s="388">
        <v>12</v>
      </c>
      <c r="D22" s="7" t="s">
        <v>45</v>
      </c>
      <c r="E22" s="7"/>
    </row>
    <row r="23" spans="2:22" x14ac:dyDescent="0.25">
      <c r="B23" s="7" t="s">
        <v>44</v>
      </c>
      <c r="C23" s="388">
        <f>C21*C22</f>
        <v>12</v>
      </c>
      <c r="D23" s="7" t="s">
        <v>43</v>
      </c>
      <c r="E23" s="7"/>
    </row>
    <row r="24" spans="2:22" x14ac:dyDescent="0.25">
      <c r="B24" s="7" t="s">
        <v>42</v>
      </c>
      <c r="C24" s="139">
        <f>C20*C17</f>
        <v>50000</v>
      </c>
      <c r="D24" s="7" t="s">
        <v>41</v>
      </c>
      <c r="E24" s="7"/>
    </row>
    <row r="25" spans="2:22" x14ac:dyDescent="0.25">
      <c r="B25" s="7" t="s">
        <v>40</v>
      </c>
      <c r="C25" s="139">
        <f>C24*C23</f>
        <v>600000</v>
      </c>
      <c r="D25" s="7" t="s">
        <v>1</v>
      </c>
      <c r="E25" s="7"/>
      <c r="F25" s="95" t="s">
        <v>1216</v>
      </c>
      <c r="G25" s="467">
        <f>'custos unitários para atualizar'!$B$4</f>
        <v>0.12956699999999999</v>
      </c>
    </row>
    <row r="26" spans="2:22" x14ac:dyDescent="0.25">
      <c r="F26" s="95" t="s">
        <v>1217</v>
      </c>
      <c r="G26" s="481">
        <f>C25*(1+G25)</f>
        <v>677740.2</v>
      </c>
    </row>
    <row r="27" spans="2:22" x14ac:dyDescent="0.25">
      <c r="U27" s="29"/>
      <c r="V27" s="28"/>
    </row>
    <row r="28" spans="2:22" x14ac:dyDescent="0.25">
      <c r="B28" s="285" t="s">
        <v>3</v>
      </c>
      <c r="C28" s="17"/>
      <c r="D28" s="17"/>
      <c r="E28" s="17"/>
    </row>
    <row r="29" spans="2:22" x14ac:dyDescent="0.25">
      <c r="B29" s="1037" t="s">
        <v>39</v>
      </c>
      <c r="C29" s="1037" t="s">
        <v>38</v>
      </c>
      <c r="D29" s="405" t="s">
        <v>37</v>
      </c>
      <c r="E29" s="405" t="s">
        <v>37</v>
      </c>
    </row>
    <row r="30" spans="2:22" ht="24" x14ac:dyDescent="0.25">
      <c r="B30" s="1037"/>
      <c r="C30" s="1037"/>
      <c r="D30" s="405" t="s">
        <v>36</v>
      </c>
      <c r="E30" s="405" t="s">
        <v>35</v>
      </c>
    </row>
    <row r="31" spans="2:22" x14ac:dyDescent="0.25">
      <c r="B31" s="7" t="s">
        <v>34</v>
      </c>
      <c r="C31" s="7">
        <v>3</v>
      </c>
      <c r="D31" s="11">
        <f>C33*C34</f>
        <v>25496.48</v>
      </c>
      <c r="E31" s="11">
        <f>C31*D31</f>
        <v>76489.440000000002</v>
      </c>
    </row>
    <row r="32" spans="2:22" x14ac:dyDescent="0.25">
      <c r="B32" s="7"/>
      <c r="C32" s="7"/>
      <c r="D32" s="7"/>
      <c r="E32" s="7"/>
    </row>
    <row r="33" spans="2:5" x14ac:dyDescent="0.25">
      <c r="B33" s="7" t="s">
        <v>33</v>
      </c>
      <c r="C33" s="7">
        <v>6374.12</v>
      </c>
      <c r="D33" s="7"/>
      <c r="E33" s="7"/>
    </row>
    <row r="34" spans="2:5" x14ac:dyDescent="0.25">
      <c r="B34" s="7" t="s">
        <v>32</v>
      </c>
      <c r="C34" s="12">
        <f>'custos unitários para atualizar'!B5</f>
        <v>4</v>
      </c>
      <c r="D34" s="7"/>
      <c r="E34" s="7"/>
    </row>
  </sheetData>
  <mergeCells count="10">
    <mergeCell ref="H3:H4"/>
    <mergeCell ref="B8:B9"/>
    <mergeCell ref="C8:C9"/>
    <mergeCell ref="I3:I4"/>
    <mergeCell ref="G8:G9"/>
    <mergeCell ref="B29:B30"/>
    <mergeCell ref="C29:C30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topLeftCell="A52" workbookViewId="0">
      <selection activeCell="T24" sqref="T24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B1" s="21"/>
      <c r="C1" s="51"/>
      <c r="D1" s="21"/>
      <c r="E1" s="21"/>
      <c r="F1" s="21"/>
      <c r="G1" s="21"/>
      <c r="H1" s="21"/>
      <c r="I1" s="21"/>
    </row>
    <row r="2" spans="2:13" ht="12.75" customHeight="1" x14ac:dyDescent="0.25">
      <c r="B2" s="21"/>
      <c r="C2" s="51"/>
      <c r="D2" s="21"/>
      <c r="E2" s="21"/>
      <c r="F2" s="21"/>
      <c r="G2" s="21"/>
      <c r="H2" s="21"/>
      <c r="I2" s="21"/>
      <c r="M2" s="467"/>
    </row>
    <row r="3" spans="2:13" ht="27" customHeight="1" thickBot="1" x14ac:dyDescent="0.3">
      <c r="B3" s="1038" t="s">
        <v>1063</v>
      </c>
      <c r="C3" s="1039"/>
      <c r="D3" s="1039"/>
      <c r="E3" s="1039"/>
      <c r="F3" s="1039"/>
      <c r="G3" s="1039"/>
      <c r="H3" s="1039"/>
      <c r="I3" s="1040"/>
    </row>
    <row r="4" spans="2:13" ht="22.5" customHeight="1" x14ac:dyDescent="0.25">
      <c r="B4" s="973" t="s">
        <v>135</v>
      </c>
      <c r="C4" s="975" t="s">
        <v>134</v>
      </c>
      <c r="D4" s="975" t="s">
        <v>133</v>
      </c>
      <c r="E4" s="68" t="s">
        <v>37</v>
      </c>
      <c r="F4" s="68" t="s">
        <v>37</v>
      </c>
      <c r="G4" s="970" t="s">
        <v>138</v>
      </c>
      <c r="H4" s="970" t="s">
        <v>137</v>
      </c>
      <c r="I4" s="970" t="s">
        <v>136</v>
      </c>
      <c r="J4" s="970"/>
    </row>
    <row r="5" spans="2:13" ht="23.25" thickBot="1" x14ac:dyDescent="0.3">
      <c r="B5" s="974"/>
      <c r="C5" s="976"/>
      <c r="D5" s="976"/>
      <c r="E5" s="62" t="s">
        <v>36</v>
      </c>
      <c r="F5" s="62" t="s">
        <v>132</v>
      </c>
      <c r="G5" s="972"/>
      <c r="H5" s="972"/>
      <c r="I5" s="972"/>
      <c r="J5" s="972"/>
    </row>
    <row r="6" spans="2:13" ht="23.25" thickBot="1" x14ac:dyDescent="0.3">
      <c r="B6" s="406">
        <v>1</v>
      </c>
      <c r="C6" s="63" t="s">
        <v>129</v>
      </c>
      <c r="D6" s="62">
        <v>8</v>
      </c>
      <c r="E6" s="61">
        <v>3000</v>
      </c>
      <c r="F6" s="60">
        <f>D6*E6</f>
        <v>24000</v>
      </c>
      <c r="G6" s="65" t="s">
        <v>127</v>
      </c>
      <c r="H6" s="59">
        <v>5</v>
      </c>
      <c r="I6" s="58">
        <f>F6/H6</f>
        <v>4800</v>
      </c>
      <c r="J6" s="58"/>
    </row>
    <row r="7" spans="2:13" ht="23.25" thickBot="1" x14ac:dyDescent="0.3">
      <c r="B7" s="406">
        <v>2</v>
      </c>
      <c r="C7" s="63" t="s">
        <v>128</v>
      </c>
      <c r="D7" s="62">
        <v>15</v>
      </c>
      <c r="E7" s="61">
        <v>2700</v>
      </c>
      <c r="F7" s="60">
        <f t="shared" ref="F7:F22" si="0">D7*E7</f>
        <v>40500</v>
      </c>
      <c r="G7" s="65" t="s">
        <v>127</v>
      </c>
      <c r="H7" s="59">
        <v>5</v>
      </c>
      <c r="I7" s="58">
        <f t="shared" ref="I7:I22" si="1">F7/H7</f>
        <v>8100</v>
      </c>
      <c r="J7" s="58"/>
    </row>
    <row r="8" spans="2:13" ht="15.75" thickBot="1" x14ac:dyDescent="0.3">
      <c r="B8" s="406">
        <v>3</v>
      </c>
      <c r="C8" s="63" t="s">
        <v>126</v>
      </c>
      <c r="D8" s="62">
        <v>2</v>
      </c>
      <c r="E8" s="61">
        <v>900</v>
      </c>
      <c r="F8" s="60">
        <f t="shared" si="0"/>
        <v>1800</v>
      </c>
      <c r="G8" s="65">
        <v>8443</v>
      </c>
      <c r="H8" s="59">
        <v>10</v>
      </c>
      <c r="I8" s="58">
        <f t="shared" si="1"/>
        <v>180</v>
      </c>
      <c r="J8" s="58"/>
    </row>
    <row r="9" spans="2:13" ht="15.75" thickBot="1" x14ac:dyDescent="0.3">
      <c r="B9" s="406">
        <v>4</v>
      </c>
      <c r="C9" s="63" t="s">
        <v>125</v>
      </c>
      <c r="D9" s="62">
        <v>4</v>
      </c>
      <c r="E9" s="61">
        <v>850</v>
      </c>
      <c r="F9" s="60">
        <f t="shared" si="0"/>
        <v>3400</v>
      </c>
      <c r="G9" s="65">
        <v>9007</v>
      </c>
      <c r="H9" s="59">
        <v>10</v>
      </c>
      <c r="I9" s="58">
        <f t="shared" si="1"/>
        <v>340</v>
      </c>
      <c r="J9" s="58"/>
    </row>
    <row r="10" spans="2:13" ht="15.75" thickBot="1" x14ac:dyDescent="0.3">
      <c r="B10" s="406">
        <v>5</v>
      </c>
      <c r="C10" s="63" t="s">
        <v>124</v>
      </c>
      <c r="D10" s="62">
        <v>84</v>
      </c>
      <c r="E10" s="61">
        <v>287</v>
      </c>
      <c r="F10" s="60">
        <f t="shared" si="0"/>
        <v>24108</v>
      </c>
      <c r="G10" s="65">
        <v>8517</v>
      </c>
      <c r="H10" s="59">
        <v>5</v>
      </c>
      <c r="I10" s="58">
        <f t="shared" si="1"/>
        <v>4821.6000000000004</v>
      </c>
      <c r="J10" s="58"/>
    </row>
    <row r="11" spans="2:13" ht="15.75" thickBot="1" x14ac:dyDescent="0.3">
      <c r="B11" s="406">
        <v>6</v>
      </c>
      <c r="C11" s="63" t="s">
        <v>123</v>
      </c>
      <c r="D11" s="62">
        <v>4</v>
      </c>
      <c r="E11" s="61">
        <v>1500</v>
      </c>
      <c r="F11" s="60">
        <f t="shared" si="0"/>
        <v>6000</v>
      </c>
      <c r="G11" s="65">
        <v>9014</v>
      </c>
      <c r="H11" s="59">
        <v>10</v>
      </c>
      <c r="I11" s="58">
        <f t="shared" si="1"/>
        <v>600</v>
      </c>
      <c r="J11" s="58"/>
    </row>
    <row r="12" spans="2:13" ht="15.75" thickBot="1" x14ac:dyDescent="0.3">
      <c r="B12" s="406">
        <v>7</v>
      </c>
      <c r="C12" s="63" t="s">
        <v>122</v>
      </c>
      <c r="D12" s="62">
        <v>2</v>
      </c>
      <c r="E12" s="61">
        <v>1900</v>
      </c>
      <c r="F12" s="60">
        <f t="shared" si="0"/>
        <v>3800</v>
      </c>
      <c r="G12" s="65">
        <v>8418</v>
      </c>
      <c r="H12" s="59">
        <v>10</v>
      </c>
      <c r="I12" s="58">
        <f t="shared" si="1"/>
        <v>380</v>
      </c>
      <c r="J12" s="58"/>
    </row>
    <row r="13" spans="2:13" ht="15.75" thickBot="1" x14ac:dyDescent="0.3">
      <c r="B13" s="406">
        <v>8</v>
      </c>
      <c r="C13" s="63" t="s">
        <v>121</v>
      </c>
      <c r="D13" s="62">
        <v>2</v>
      </c>
      <c r="E13" s="61">
        <v>1000</v>
      </c>
      <c r="F13" s="60">
        <f t="shared" si="0"/>
        <v>2000</v>
      </c>
      <c r="G13" s="65">
        <v>7321</v>
      </c>
      <c r="H13" s="59">
        <v>10</v>
      </c>
      <c r="I13" s="58">
        <f t="shared" si="1"/>
        <v>200</v>
      </c>
      <c r="J13" s="58"/>
    </row>
    <row r="14" spans="2:13" ht="15.75" thickBot="1" x14ac:dyDescent="0.3">
      <c r="B14" s="406">
        <v>9</v>
      </c>
      <c r="C14" s="63" t="s">
        <v>120</v>
      </c>
      <c r="D14" s="62">
        <v>2</v>
      </c>
      <c r="E14" s="61">
        <v>500</v>
      </c>
      <c r="F14" s="60">
        <f t="shared" si="0"/>
        <v>1000</v>
      </c>
      <c r="G14" s="65">
        <v>8514</v>
      </c>
      <c r="H14" s="59">
        <v>10</v>
      </c>
      <c r="I14" s="58">
        <f t="shared" si="1"/>
        <v>100</v>
      </c>
      <c r="J14" s="58"/>
    </row>
    <row r="15" spans="2:13" ht="15.75" thickBot="1" x14ac:dyDescent="0.3">
      <c r="B15" s="406">
        <v>10</v>
      </c>
      <c r="C15" s="63" t="s">
        <v>119</v>
      </c>
      <c r="D15" s="62">
        <v>5</v>
      </c>
      <c r="E15" s="61">
        <v>1300</v>
      </c>
      <c r="F15" s="60">
        <f t="shared" si="0"/>
        <v>6500</v>
      </c>
      <c r="G15" s="65">
        <v>9403</v>
      </c>
      <c r="H15" s="59">
        <v>10</v>
      </c>
      <c r="I15" s="58">
        <f t="shared" si="1"/>
        <v>650</v>
      </c>
      <c r="J15" s="58"/>
    </row>
    <row r="16" spans="2:13" ht="15.75" thickBot="1" x14ac:dyDescent="0.3">
      <c r="B16" s="406">
        <v>11</v>
      </c>
      <c r="C16" s="63" t="s">
        <v>118</v>
      </c>
      <c r="D16" s="62">
        <v>6</v>
      </c>
      <c r="E16" s="61">
        <v>2100</v>
      </c>
      <c r="F16" s="60">
        <f t="shared" si="0"/>
        <v>12600</v>
      </c>
      <c r="G16" s="65">
        <v>8415</v>
      </c>
      <c r="H16" s="59">
        <v>10</v>
      </c>
      <c r="I16" s="58">
        <f t="shared" si="1"/>
        <v>1260</v>
      </c>
      <c r="J16" s="58"/>
    </row>
    <row r="17" spans="2:10" ht="15.75" thickBot="1" x14ac:dyDescent="0.3">
      <c r="B17" s="406">
        <v>12</v>
      </c>
      <c r="C17" s="63" t="s">
        <v>117</v>
      </c>
      <c r="D17" s="62">
        <v>2</v>
      </c>
      <c r="E17" s="61">
        <v>650</v>
      </c>
      <c r="F17" s="60">
        <f t="shared" si="0"/>
        <v>1300</v>
      </c>
      <c r="G17" s="65">
        <v>9403</v>
      </c>
      <c r="H17" s="59">
        <v>10</v>
      </c>
      <c r="I17" s="58">
        <f t="shared" si="1"/>
        <v>130</v>
      </c>
      <c r="J17" s="58"/>
    </row>
    <row r="18" spans="2:10" ht="15.75" thickBot="1" x14ac:dyDescent="0.3">
      <c r="B18" s="406">
        <v>13</v>
      </c>
      <c r="C18" s="63" t="s">
        <v>116</v>
      </c>
      <c r="D18" s="62">
        <v>20</v>
      </c>
      <c r="E18" s="61">
        <v>250</v>
      </c>
      <c r="F18" s="60">
        <f t="shared" si="0"/>
        <v>5000</v>
      </c>
      <c r="G18" s="65">
        <v>9403</v>
      </c>
      <c r="H18" s="59">
        <v>10</v>
      </c>
      <c r="I18" s="58">
        <f t="shared" si="1"/>
        <v>500</v>
      </c>
      <c r="J18" s="58"/>
    </row>
    <row r="19" spans="2:10" ht="15.75" thickBot="1" x14ac:dyDescent="0.3">
      <c r="B19" s="406">
        <v>14</v>
      </c>
      <c r="C19" s="63" t="s">
        <v>115</v>
      </c>
      <c r="D19" s="62">
        <v>8</v>
      </c>
      <c r="E19" s="61">
        <v>400</v>
      </c>
      <c r="F19" s="60">
        <f t="shared" si="0"/>
        <v>3200</v>
      </c>
      <c r="G19" s="65">
        <v>9403</v>
      </c>
      <c r="H19" s="59">
        <v>10</v>
      </c>
      <c r="I19" s="58">
        <f t="shared" si="1"/>
        <v>320</v>
      </c>
      <c r="J19" s="58"/>
    </row>
    <row r="20" spans="2:10" ht="15.75" thickBot="1" x14ac:dyDescent="0.3">
      <c r="B20" s="406">
        <v>15</v>
      </c>
      <c r="C20" s="63" t="s">
        <v>114</v>
      </c>
      <c r="D20" s="62">
        <v>10</v>
      </c>
      <c r="E20" s="61">
        <v>670</v>
      </c>
      <c r="F20" s="60">
        <f t="shared" si="0"/>
        <v>6700</v>
      </c>
      <c r="G20" s="65">
        <v>9403</v>
      </c>
      <c r="H20" s="59">
        <v>10</v>
      </c>
      <c r="I20" s="58">
        <f t="shared" si="1"/>
        <v>670</v>
      </c>
      <c r="J20" s="58"/>
    </row>
    <row r="21" spans="2:10" ht="15.75" thickBot="1" x14ac:dyDescent="0.3">
      <c r="B21" s="406">
        <v>16</v>
      </c>
      <c r="C21" s="63" t="s">
        <v>113</v>
      </c>
      <c r="D21" s="62">
        <v>8</v>
      </c>
      <c r="E21" s="61">
        <v>750</v>
      </c>
      <c r="F21" s="60">
        <f t="shared" si="0"/>
        <v>6000</v>
      </c>
      <c r="G21" s="65">
        <v>9403</v>
      </c>
      <c r="H21" s="59">
        <v>10</v>
      </c>
      <c r="I21" s="58">
        <f t="shared" si="1"/>
        <v>600</v>
      </c>
      <c r="J21" s="58"/>
    </row>
    <row r="22" spans="2:10" ht="15.75" thickBot="1" x14ac:dyDescent="0.3">
      <c r="B22" s="406">
        <v>17</v>
      </c>
      <c r="C22" s="63" t="s">
        <v>112</v>
      </c>
      <c r="D22" s="62">
        <v>3</v>
      </c>
      <c r="E22" s="61">
        <v>3000</v>
      </c>
      <c r="F22" s="60">
        <f t="shared" si="0"/>
        <v>9000</v>
      </c>
      <c r="G22" s="54"/>
      <c r="H22" s="59">
        <v>10</v>
      </c>
      <c r="I22" s="58">
        <f t="shared" si="1"/>
        <v>900</v>
      </c>
      <c r="J22" s="58"/>
    </row>
    <row r="23" spans="2:10" ht="15.75" thickBot="1" x14ac:dyDescent="0.3">
      <c r="B23" s="962" t="s">
        <v>111</v>
      </c>
      <c r="C23" s="963"/>
      <c r="D23" s="963"/>
      <c r="E23" s="964"/>
      <c r="F23" s="57">
        <f>SUM(F6:F22)</f>
        <v>156908</v>
      </c>
      <c r="G23" s="965" t="s">
        <v>1064</v>
      </c>
      <c r="H23" s="966"/>
      <c r="I23" s="56">
        <f>SUM(I6:I22)</f>
        <v>24551.599999999999</v>
      </c>
      <c r="J23" s="56"/>
    </row>
    <row r="24" spans="2:10" x14ac:dyDescent="0.25">
      <c r="B24" s="489"/>
      <c r="C24" s="489"/>
      <c r="D24" s="489"/>
      <c r="E24" s="489"/>
      <c r="F24" s="490"/>
      <c r="G24" s="491"/>
      <c r="H24" s="95" t="s">
        <v>1216</v>
      </c>
      <c r="I24" s="467">
        <f>'custos unitários para atualizar'!$B$4</f>
        <v>0.12956699999999999</v>
      </c>
      <c r="J24" s="492"/>
    </row>
    <row r="25" spans="2:10" x14ac:dyDescent="0.25">
      <c r="B25" s="489"/>
      <c r="C25" s="489"/>
      <c r="D25" s="489"/>
      <c r="E25" s="489"/>
      <c r="F25" s="490"/>
      <c r="G25" s="491"/>
      <c r="H25" s="95" t="s">
        <v>1217</v>
      </c>
      <c r="I25" s="481">
        <f>I23*(1+I24)</f>
        <v>27732.6771572</v>
      </c>
      <c r="J25" s="492"/>
    </row>
    <row r="26" spans="2:10" x14ac:dyDescent="0.25">
      <c r="B26" s="489"/>
      <c r="C26" s="489"/>
      <c r="D26" s="489"/>
      <c r="E26" s="489"/>
      <c r="F26" s="490"/>
      <c r="G26" s="491"/>
      <c r="H26" s="491"/>
      <c r="I26" s="492"/>
      <c r="J26" s="492"/>
    </row>
    <row r="28" spans="2:10" ht="15.75" thickBot="1" x14ac:dyDescent="0.3">
      <c r="B28" s="1038" t="s">
        <v>1065</v>
      </c>
      <c r="C28" s="1039"/>
      <c r="D28" s="1039"/>
      <c r="E28" s="1039"/>
      <c r="F28" s="1039"/>
      <c r="G28" s="1039"/>
      <c r="H28" s="1039"/>
      <c r="I28" s="1040"/>
    </row>
    <row r="29" spans="2:10" ht="15.75" thickBot="1" x14ac:dyDescent="0.3">
      <c r="B29" s="117">
        <v>1</v>
      </c>
      <c r="C29" s="116" t="s">
        <v>256</v>
      </c>
      <c r="D29" s="115">
        <v>6</v>
      </c>
      <c r="E29" s="114">
        <v>600</v>
      </c>
      <c r="F29" s="113">
        <f>E29*D29</f>
        <v>3600</v>
      </c>
      <c r="G29" s="108">
        <v>82</v>
      </c>
      <c r="H29" s="107">
        <v>5</v>
      </c>
      <c r="I29" s="112">
        <f>F29/H29</f>
        <v>720</v>
      </c>
      <c r="J29" s="58"/>
    </row>
    <row r="30" spans="2:10" ht="15.75" thickBot="1" x14ac:dyDescent="0.3">
      <c r="B30" s="117">
        <v>2</v>
      </c>
      <c r="C30" s="116" t="s">
        <v>255</v>
      </c>
      <c r="D30" s="115">
        <v>6</v>
      </c>
      <c r="E30" s="114">
        <v>575</v>
      </c>
      <c r="F30" s="113">
        <f>E30*D30</f>
        <v>3450</v>
      </c>
      <c r="G30" s="108">
        <v>82</v>
      </c>
      <c r="H30" s="107">
        <v>5</v>
      </c>
      <c r="I30" s="112">
        <f t="shared" ref="I30:I63" si="2">F30/H30</f>
        <v>690</v>
      </c>
      <c r="J30" s="58"/>
    </row>
    <row r="31" spans="2:10" ht="15.75" thickBot="1" x14ac:dyDescent="0.3">
      <c r="B31" s="117">
        <v>3</v>
      </c>
      <c r="C31" s="116" t="s">
        <v>254</v>
      </c>
      <c r="D31" s="115">
        <v>6</v>
      </c>
      <c r="E31" s="114">
        <v>332.25</v>
      </c>
      <c r="F31" s="113">
        <f t="shared" ref="F31:F63" si="3">E31*D31</f>
        <v>1993.5</v>
      </c>
      <c r="G31" s="108"/>
      <c r="H31" s="107">
        <v>5</v>
      </c>
      <c r="I31" s="112">
        <f t="shared" si="2"/>
        <v>398.7</v>
      </c>
      <c r="J31" s="58"/>
    </row>
    <row r="32" spans="2:10" ht="15.75" thickBot="1" x14ac:dyDescent="0.3">
      <c r="B32" s="117">
        <v>4</v>
      </c>
      <c r="C32" s="116" t="s">
        <v>253</v>
      </c>
      <c r="D32" s="115">
        <v>6</v>
      </c>
      <c r="E32" s="114">
        <v>3927</v>
      </c>
      <c r="F32" s="113">
        <f t="shared" si="3"/>
        <v>23562</v>
      </c>
      <c r="G32" s="108"/>
      <c r="H32" s="107">
        <v>5</v>
      </c>
      <c r="I32" s="112">
        <f t="shared" si="2"/>
        <v>4712.3999999999996</v>
      </c>
      <c r="J32" s="58"/>
    </row>
    <row r="33" spans="2:10" ht="15.75" customHeight="1" thickBot="1" x14ac:dyDescent="0.3">
      <c r="B33" s="117">
        <v>5</v>
      </c>
      <c r="C33" s="116" t="s">
        <v>252</v>
      </c>
      <c r="D33" s="115">
        <v>5</v>
      </c>
      <c r="E33" s="114">
        <v>1053.1500000000001</v>
      </c>
      <c r="F33" s="113">
        <f t="shared" si="3"/>
        <v>5265.75</v>
      </c>
      <c r="G33" s="108"/>
      <c r="H33" s="107">
        <v>20</v>
      </c>
      <c r="I33" s="112">
        <f t="shared" si="2"/>
        <v>263.28750000000002</v>
      </c>
      <c r="J33" s="58"/>
    </row>
    <row r="34" spans="2:10" ht="23.25" thickBot="1" x14ac:dyDescent="0.3">
      <c r="B34" s="117">
        <v>6</v>
      </c>
      <c r="C34" s="120" t="s">
        <v>251</v>
      </c>
      <c r="D34" s="119">
        <v>28</v>
      </c>
      <c r="E34" s="113">
        <v>6500</v>
      </c>
      <c r="F34" s="113">
        <f t="shared" si="3"/>
        <v>182000</v>
      </c>
      <c r="G34" s="108">
        <v>89</v>
      </c>
      <c r="H34" s="107">
        <v>20</v>
      </c>
      <c r="I34" s="112">
        <f t="shared" si="2"/>
        <v>9100</v>
      </c>
      <c r="J34" s="58"/>
    </row>
    <row r="35" spans="2:10" ht="15.75" thickBot="1" x14ac:dyDescent="0.3">
      <c r="B35" s="117">
        <v>7</v>
      </c>
      <c r="C35" s="116" t="s">
        <v>250</v>
      </c>
      <c r="D35" s="115">
        <v>6</v>
      </c>
      <c r="E35" s="114">
        <v>332.25</v>
      </c>
      <c r="F35" s="113">
        <f t="shared" si="3"/>
        <v>1993.5</v>
      </c>
      <c r="G35" s="108"/>
      <c r="H35" s="107">
        <v>5</v>
      </c>
      <c r="I35" s="112">
        <f t="shared" si="2"/>
        <v>398.7</v>
      </c>
      <c r="J35" s="58"/>
    </row>
    <row r="36" spans="2:10" ht="15.75" thickBot="1" x14ac:dyDescent="0.3">
      <c r="B36" s="117">
        <v>8</v>
      </c>
      <c r="C36" s="116" t="s">
        <v>249</v>
      </c>
      <c r="D36" s="115">
        <v>6</v>
      </c>
      <c r="E36" s="114">
        <v>3927</v>
      </c>
      <c r="F36" s="113">
        <f t="shared" si="3"/>
        <v>23562</v>
      </c>
      <c r="G36" s="108">
        <v>84</v>
      </c>
      <c r="H36" s="107">
        <v>10</v>
      </c>
      <c r="I36" s="112">
        <f t="shared" si="2"/>
        <v>2356.1999999999998</v>
      </c>
      <c r="J36" s="58"/>
    </row>
    <row r="37" spans="2:10" ht="15.75" thickBot="1" x14ac:dyDescent="0.3">
      <c r="B37" s="117">
        <v>9</v>
      </c>
      <c r="C37" s="116" t="s">
        <v>248</v>
      </c>
      <c r="D37" s="115">
        <v>5</v>
      </c>
      <c r="E37" s="114">
        <v>332.25</v>
      </c>
      <c r="F37" s="113">
        <f t="shared" si="3"/>
        <v>1661.25</v>
      </c>
      <c r="G37" s="108"/>
      <c r="H37" s="107">
        <v>10</v>
      </c>
      <c r="I37" s="112">
        <f t="shared" si="2"/>
        <v>166.125</v>
      </c>
      <c r="J37" s="58"/>
    </row>
    <row r="38" spans="2:10" ht="15.75" thickBot="1" x14ac:dyDescent="0.3">
      <c r="B38" s="117">
        <v>10</v>
      </c>
      <c r="C38" s="116" t="s">
        <v>247</v>
      </c>
      <c r="D38" s="115">
        <v>6</v>
      </c>
      <c r="E38" s="114">
        <v>1315</v>
      </c>
      <c r="F38" s="113">
        <f t="shared" si="3"/>
        <v>7890</v>
      </c>
      <c r="G38" s="108">
        <v>84</v>
      </c>
      <c r="H38" s="107">
        <v>10</v>
      </c>
      <c r="I38" s="112">
        <f t="shared" si="2"/>
        <v>789</v>
      </c>
      <c r="J38" s="58"/>
    </row>
    <row r="39" spans="2:10" ht="15.75" thickBot="1" x14ac:dyDescent="0.3">
      <c r="B39" s="117">
        <v>11</v>
      </c>
      <c r="C39" s="116" t="s">
        <v>246</v>
      </c>
      <c r="D39" s="115">
        <v>6</v>
      </c>
      <c r="E39" s="114">
        <v>307.99</v>
      </c>
      <c r="F39" s="113">
        <f t="shared" si="3"/>
        <v>1847.94</v>
      </c>
      <c r="G39" s="108"/>
      <c r="H39" s="107">
        <v>10</v>
      </c>
      <c r="I39" s="112">
        <f t="shared" si="2"/>
        <v>184.79400000000001</v>
      </c>
      <c r="J39" s="58"/>
    </row>
    <row r="40" spans="2:10" ht="15.75" thickBot="1" x14ac:dyDescent="0.3">
      <c r="B40" s="117">
        <v>12</v>
      </c>
      <c r="C40" s="116" t="s">
        <v>245</v>
      </c>
      <c r="D40" s="115">
        <v>6</v>
      </c>
      <c r="E40" s="114">
        <v>288.8</v>
      </c>
      <c r="F40" s="113">
        <f t="shared" si="3"/>
        <v>1732.8000000000002</v>
      </c>
      <c r="G40" s="108"/>
      <c r="H40" s="107">
        <v>10</v>
      </c>
      <c r="I40" s="112">
        <f t="shared" si="2"/>
        <v>173.28000000000003</v>
      </c>
      <c r="J40" s="58"/>
    </row>
    <row r="41" spans="2:10" ht="23.25" thickBot="1" x14ac:dyDescent="0.3">
      <c r="B41" s="117">
        <v>13</v>
      </c>
      <c r="C41" s="116" t="s">
        <v>244</v>
      </c>
      <c r="D41" s="115">
        <v>5</v>
      </c>
      <c r="E41" s="114">
        <v>1016.41</v>
      </c>
      <c r="F41" s="113">
        <f t="shared" si="3"/>
        <v>5082.05</v>
      </c>
      <c r="G41" s="108">
        <v>84</v>
      </c>
      <c r="H41" s="107">
        <v>10</v>
      </c>
      <c r="I41" s="112">
        <f t="shared" si="2"/>
        <v>508.20500000000004</v>
      </c>
      <c r="J41" s="58"/>
    </row>
    <row r="42" spans="2:10" ht="23.25" thickBot="1" x14ac:dyDescent="0.3">
      <c r="B42" s="117">
        <v>14</v>
      </c>
      <c r="C42" s="116" t="s">
        <v>243</v>
      </c>
      <c r="D42" s="115">
        <v>6</v>
      </c>
      <c r="E42" s="114">
        <v>387.19</v>
      </c>
      <c r="F42" s="113">
        <f t="shared" si="3"/>
        <v>2323.14</v>
      </c>
      <c r="G42" s="108"/>
      <c r="H42" s="107">
        <v>10</v>
      </c>
      <c r="I42" s="112">
        <f t="shared" si="2"/>
        <v>232.31399999999999</v>
      </c>
      <c r="J42" s="58"/>
    </row>
    <row r="43" spans="2:10" ht="15.75" thickBot="1" x14ac:dyDescent="0.3">
      <c r="B43" s="117">
        <v>15</v>
      </c>
      <c r="C43" s="116" t="s">
        <v>242</v>
      </c>
      <c r="D43" s="115">
        <v>5</v>
      </c>
      <c r="E43" s="114">
        <v>1311.15</v>
      </c>
      <c r="F43" s="113">
        <f t="shared" si="3"/>
        <v>6555.75</v>
      </c>
      <c r="G43" s="108">
        <v>84</v>
      </c>
      <c r="H43" s="107">
        <v>10</v>
      </c>
      <c r="I43" s="112">
        <f>F43/H43</f>
        <v>655.57500000000005</v>
      </c>
      <c r="J43" s="58"/>
    </row>
    <row r="44" spans="2:10" ht="23.25" thickBot="1" x14ac:dyDescent="0.3">
      <c r="B44" s="117">
        <v>16</v>
      </c>
      <c r="C44" s="116" t="s">
        <v>241</v>
      </c>
      <c r="D44" s="115">
        <v>6</v>
      </c>
      <c r="E44" s="114">
        <v>3499</v>
      </c>
      <c r="F44" s="113">
        <f t="shared" si="3"/>
        <v>20994</v>
      </c>
      <c r="G44" s="108"/>
      <c r="H44" s="107">
        <v>5</v>
      </c>
      <c r="I44" s="112">
        <f t="shared" si="2"/>
        <v>4198.8</v>
      </c>
      <c r="J44" s="58"/>
    </row>
    <row r="45" spans="2:10" ht="15.75" thickBot="1" x14ac:dyDescent="0.3">
      <c r="B45" s="117">
        <v>17</v>
      </c>
      <c r="C45" s="116" t="s">
        <v>240</v>
      </c>
      <c r="D45" s="115">
        <v>6</v>
      </c>
      <c r="E45" s="114">
        <v>241.2</v>
      </c>
      <c r="F45" s="113">
        <f t="shared" si="3"/>
        <v>1447.1999999999998</v>
      </c>
      <c r="G45" s="108"/>
      <c r="H45" s="107">
        <v>5</v>
      </c>
      <c r="I45" s="112">
        <f t="shared" si="2"/>
        <v>289.43999999999994</v>
      </c>
      <c r="J45" s="58"/>
    </row>
    <row r="46" spans="2:10" ht="15.75" thickBot="1" x14ac:dyDescent="0.3">
      <c r="B46" s="117">
        <v>18</v>
      </c>
      <c r="C46" s="116" t="s">
        <v>239</v>
      </c>
      <c r="D46" s="115">
        <v>6</v>
      </c>
      <c r="E46" s="114">
        <v>566.32000000000005</v>
      </c>
      <c r="F46" s="113">
        <f t="shared" si="3"/>
        <v>3397.92</v>
      </c>
      <c r="G46" s="108">
        <v>82</v>
      </c>
      <c r="H46" s="107">
        <v>5</v>
      </c>
      <c r="I46" s="112">
        <f t="shared" si="2"/>
        <v>679.58400000000006</v>
      </c>
      <c r="J46" s="58"/>
    </row>
    <row r="47" spans="2:10" ht="15.75" thickBot="1" x14ac:dyDescent="0.3">
      <c r="B47" s="117">
        <v>19</v>
      </c>
      <c r="C47" s="116" t="s">
        <v>238</v>
      </c>
      <c r="D47" s="115">
        <v>6</v>
      </c>
      <c r="E47" s="114">
        <v>79</v>
      </c>
      <c r="F47" s="113">
        <f t="shared" si="3"/>
        <v>474</v>
      </c>
      <c r="G47" s="108">
        <v>84</v>
      </c>
      <c r="H47" s="107">
        <v>10</v>
      </c>
      <c r="I47" s="112">
        <f t="shared" si="2"/>
        <v>47.4</v>
      </c>
      <c r="J47" s="58"/>
    </row>
    <row r="48" spans="2:10" ht="15.75" thickBot="1" x14ac:dyDescent="0.3">
      <c r="B48" s="117">
        <v>20</v>
      </c>
      <c r="C48" s="116" t="s">
        <v>237</v>
      </c>
      <c r="D48" s="115">
        <v>5</v>
      </c>
      <c r="E48" s="114">
        <v>384.8</v>
      </c>
      <c r="F48" s="113">
        <f t="shared" si="3"/>
        <v>1924</v>
      </c>
      <c r="G48" s="108">
        <v>84</v>
      </c>
      <c r="H48" s="107">
        <v>10</v>
      </c>
      <c r="I48" s="112">
        <f t="shared" si="2"/>
        <v>192.4</v>
      </c>
      <c r="J48" s="58"/>
    </row>
    <row r="49" spans="2:10" ht="15.75" thickBot="1" x14ac:dyDescent="0.3">
      <c r="B49" s="117">
        <v>21</v>
      </c>
      <c r="C49" s="116" t="s">
        <v>236</v>
      </c>
      <c r="D49" s="115">
        <v>6</v>
      </c>
      <c r="E49" s="114">
        <v>8325</v>
      </c>
      <c r="F49" s="113">
        <f t="shared" si="3"/>
        <v>49950</v>
      </c>
      <c r="G49" s="108"/>
      <c r="H49" s="107">
        <v>5</v>
      </c>
      <c r="I49" s="112">
        <f t="shared" si="2"/>
        <v>9990</v>
      </c>
      <c r="J49" s="58"/>
    </row>
    <row r="50" spans="2:10" ht="15.75" thickBot="1" x14ac:dyDescent="0.3">
      <c r="B50" s="117">
        <v>22</v>
      </c>
      <c r="C50" s="116" t="s">
        <v>235</v>
      </c>
      <c r="D50" s="115">
        <v>6</v>
      </c>
      <c r="E50" s="114">
        <v>2953</v>
      </c>
      <c r="F50" s="113">
        <f t="shared" si="3"/>
        <v>17718</v>
      </c>
      <c r="G50" s="108"/>
      <c r="H50" s="107">
        <v>5</v>
      </c>
      <c r="I50" s="112">
        <f t="shared" si="2"/>
        <v>3543.6</v>
      </c>
      <c r="J50" s="58"/>
    </row>
    <row r="51" spans="2:10" ht="15.75" thickBot="1" x14ac:dyDescent="0.3">
      <c r="B51" s="117">
        <v>23</v>
      </c>
      <c r="C51" s="116" t="s">
        <v>234</v>
      </c>
      <c r="D51" s="115">
        <v>6</v>
      </c>
      <c r="E51" s="114">
        <v>18466.29</v>
      </c>
      <c r="F51" s="113">
        <f t="shared" si="3"/>
        <v>110797.74</v>
      </c>
      <c r="G51" s="108"/>
      <c r="H51" s="107">
        <v>5</v>
      </c>
      <c r="I51" s="112">
        <f t="shared" si="2"/>
        <v>22159.548000000003</v>
      </c>
      <c r="J51" s="58"/>
    </row>
    <row r="52" spans="2:10" ht="15.75" thickBot="1" x14ac:dyDescent="0.3">
      <c r="B52" s="117">
        <v>24</v>
      </c>
      <c r="C52" s="116" t="s">
        <v>233</v>
      </c>
      <c r="D52" s="115">
        <v>6</v>
      </c>
      <c r="E52" s="114">
        <v>972.91</v>
      </c>
      <c r="F52" s="113">
        <f t="shared" si="3"/>
        <v>5837.46</v>
      </c>
      <c r="G52" s="108">
        <v>82</v>
      </c>
      <c r="H52" s="107">
        <v>5</v>
      </c>
      <c r="I52" s="112">
        <f t="shared" si="2"/>
        <v>1167.492</v>
      </c>
      <c r="J52" s="58"/>
    </row>
    <row r="53" spans="2:10" ht="15.75" thickBot="1" x14ac:dyDescent="0.3">
      <c r="B53" s="117">
        <v>25</v>
      </c>
      <c r="C53" s="116" t="s">
        <v>232</v>
      </c>
      <c r="D53" s="115">
        <v>5</v>
      </c>
      <c r="E53" s="114">
        <v>317.14</v>
      </c>
      <c r="F53" s="113">
        <f t="shared" si="3"/>
        <v>1585.6999999999998</v>
      </c>
      <c r="G53" s="108"/>
      <c r="H53" s="107">
        <v>5</v>
      </c>
      <c r="I53" s="112">
        <f t="shared" si="2"/>
        <v>317.14</v>
      </c>
      <c r="J53" s="58"/>
    </row>
    <row r="54" spans="2:10" ht="15.75" thickBot="1" x14ac:dyDescent="0.3">
      <c r="B54" s="117">
        <v>26</v>
      </c>
      <c r="C54" s="116" t="s">
        <v>231</v>
      </c>
      <c r="D54" s="115">
        <v>28</v>
      </c>
      <c r="E54" s="114">
        <v>8000</v>
      </c>
      <c r="F54" s="113">
        <f t="shared" si="3"/>
        <v>224000</v>
      </c>
      <c r="G54" s="108">
        <v>84</v>
      </c>
      <c r="H54" s="107">
        <v>10</v>
      </c>
      <c r="I54" s="112">
        <f t="shared" si="2"/>
        <v>22400</v>
      </c>
      <c r="J54" s="58"/>
    </row>
    <row r="55" spans="2:10" ht="15.75" thickBot="1" x14ac:dyDescent="0.3">
      <c r="B55" s="117">
        <v>27</v>
      </c>
      <c r="C55" s="116" t="s">
        <v>230</v>
      </c>
      <c r="D55" s="115">
        <v>6</v>
      </c>
      <c r="E55" s="114">
        <v>979.99</v>
      </c>
      <c r="F55" s="113">
        <f t="shared" si="3"/>
        <v>5879.9400000000005</v>
      </c>
      <c r="G55" s="108"/>
      <c r="H55" s="107">
        <v>5</v>
      </c>
      <c r="I55" s="112">
        <f t="shared" si="2"/>
        <v>1175.9880000000001</v>
      </c>
      <c r="J55" s="58"/>
    </row>
    <row r="56" spans="2:10" ht="15.75" thickBot="1" x14ac:dyDescent="0.3">
      <c r="B56" s="117">
        <v>28</v>
      </c>
      <c r="C56" s="116" t="s">
        <v>229</v>
      </c>
      <c r="D56" s="115">
        <v>6</v>
      </c>
      <c r="E56" s="114">
        <v>603.99</v>
      </c>
      <c r="F56" s="113">
        <f t="shared" si="3"/>
        <v>3623.94</v>
      </c>
      <c r="G56" s="108"/>
      <c r="H56" s="107">
        <v>5</v>
      </c>
      <c r="I56" s="112">
        <f t="shared" si="2"/>
        <v>724.78800000000001</v>
      </c>
      <c r="J56" s="58"/>
    </row>
    <row r="57" spans="2:10" ht="15.75" thickBot="1" x14ac:dyDescent="0.3">
      <c r="B57" s="117">
        <v>29</v>
      </c>
      <c r="C57" s="116" t="s">
        <v>228</v>
      </c>
      <c r="D57" s="115">
        <v>6</v>
      </c>
      <c r="E57" s="114">
        <v>1100</v>
      </c>
      <c r="F57" s="113">
        <f t="shared" si="3"/>
        <v>6600</v>
      </c>
      <c r="G57" s="108">
        <v>90</v>
      </c>
      <c r="H57" s="107">
        <v>10</v>
      </c>
      <c r="I57" s="112">
        <f>F57/H57</f>
        <v>660</v>
      </c>
      <c r="J57" s="58"/>
    </row>
    <row r="58" spans="2:10" ht="15.75" thickBot="1" x14ac:dyDescent="0.3">
      <c r="B58" s="117">
        <v>30</v>
      </c>
      <c r="C58" s="116" t="s">
        <v>227</v>
      </c>
      <c r="D58" s="115">
        <v>6</v>
      </c>
      <c r="E58" s="114">
        <v>209.9</v>
      </c>
      <c r="F58" s="113">
        <f t="shared" si="3"/>
        <v>1259.4000000000001</v>
      </c>
      <c r="G58" s="108">
        <v>90</v>
      </c>
      <c r="H58" s="107">
        <v>10</v>
      </c>
      <c r="I58" s="112">
        <f t="shared" si="2"/>
        <v>125.94000000000001</v>
      </c>
      <c r="J58" s="58"/>
    </row>
    <row r="59" spans="2:10" ht="15.75" thickBot="1" x14ac:dyDescent="0.3">
      <c r="B59" s="117">
        <v>31</v>
      </c>
      <c r="C59" s="116" t="s">
        <v>226</v>
      </c>
      <c r="D59" s="115">
        <v>6</v>
      </c>
      <c r="E59" s="114">
        <v>420</v>
      </c>
      <c r="F59" s="113">
        <f t="shared" si="3"/>
        <v>2520</v>
      </c>
      <c r="G59" s="108">
        <v>90</v>
      </c>
      <c r="H59" s="107">
        <v>10</v>
      </c>
      <c r="I59" s="112">
        <f t="shared" si="2"/>
        <v>252</v>
      </c>
      <c r="J59" s="58"/>
    </row>
    <row r="60" spans="2:10" ht="15.75" thickBot="1" x14ac:dyDescent="0.3">
      <c r="B60" s="117">
        <v>32</v>
      </c>
      <c r="C60" s="116" t="s">
        <v>225</v>
      </c>
      <c r="D60" s="115">
        <v>5</v>
      </c>
      <c r="E60" s="114">
        <v>1214.72</v>
      </c>
      <c r="F60" s="113">
        <f t="shared" si="3"/>
        <v>6073.6</v>
      </c>
      <c r="G60" s="108">
        <v>84</v>
      </c>
      <c r="H60" s="107">
        <v>10</v>
      </c>
      <c r="I60" s="112">
        <f t="shared" si="2"/>
        <v>607.36</v>
      </c>
      <c r="J60" s="58"/>
    </row>
    <row r="61" spans="2:10" ht="15.75" thickBot="1" x14ac:dyDescent="0.3">
      <c r="B61" s="117">
        <v>33</v>
      </c>
      <c r="C61" s="116" t="s">
        <v>224</v>
      </c>
      <c r="D61" s="115">
        <v>6</v>
      </c>
      <c r="E61" s="114">
        <v>169.1</v>
      </c>
      <c r="F61" s="113">
        <f t="shared" si="3"/>
        <v>1014.5999999999999</v>
      </c>
      <c r="G61" s="108">
        <v>90</v>
      </c>
      <c r="H61" s="107">
        <v>10</v>
      </c>
      <c r="I61" s="112">
        <f t="shared" si="2"/>
        <v>101.46</v>
      </c>
      <c r="J61" s="58"/>
    </row>
    <row r="62" spans="2:10" ht="23.25" thickBot="1" x14ac:dyDescent="0.3">
      <c r="B62" s="117">
        <v>34</v>
      </c>
      <c r="C62" s="116" t="s">
        <v>223</v>
      </c>
      <c r="D62" s="115">
        <v>6</v>
      </c>
      <c r="E62" s="114">
        <v>1857.99</v>
      </c>
      <c r="F62" s="113">
        <f t="shared" si="3"/>
        <v>11147.94</v>
      </c>
      <c r="G62" s="108">
        <v>84</v>
      </c>
      <c r="H62" s="107">
        <v>10</v>
      </c>
      <c r="I62" s="112">
        <f t="shared" si="2"/>
        <v>1114.7940000000001</v>
      </c>
      <c r="J62" s="58"/>
    </row>
    <row r="63" spans="2:10" ht="15.75" thickBot="1" x14ac:dyDescent="0.3">
      <c r="B63" s="117">
        <v>35</v>
      </c>
      <c r="C63" s="116" t="s">
        <v>222</v>
      </c>
      <c r="D63" s="115">
        <v>6</v>
      </c>
      <c r="E63" s="114">
        <v>1081.79</v>
      </c>
      <c r="F63" s="113">
        <f t="shared" si="3"/>
        <v>6490.74</v>
      </c>
      <c r="G63" s="108">
        <v>84</v>
      </c>
      <c r="H63" s="107">
        <v>10</v>
      </c>
      <c r="I63" s="112">
        <f t="shared" si="2"/>
        <v>649.07399999999996</v>
      </c>
      <c r="J63" s="58"/>
    </row>
    <row r="64" spans="2:10" ht="15.75" thickBot="1" x14ac:dyDescent="0.3">
      <c r="B64" s="997" t="s">
        <v>221</v>
      </c>
      <c r="C64" s="998"/>
      <c r="D64" s="998"/>
      <c r="E64" s="999"/>
      <c r="F64" s="111">
        <f>SUM(F29:F63)</f>
        <v>755255.85999999975</v>
      </c>
      <c r="G64" s="965" t="s">
        <v>1064</v>
      </c>
      <c r="H64" s="966"/>
      <c r="I64" s="110">
        <f>SUM(I29:I63)</f>
        <v>91745.388500000001</v>
      </c>
      <c r="J64" s="110"/>
    </row>
    <row r="65" spans="2:10" x14ac:dyDescent="0.25">
      <c r="B65" s="493"/>
      <c r="C65" s="493"/>
      <c r="D65" s="493"/>
      <c r="E65" s="493"/>
      <c r="F65" s="494"/>
      <c r="G65" s="491"/>
      <c r="H65" s="95" t="s">
        <v>1216</v>
      </c>
      <c r="I65" s="467">
        <f>'custos unitários para atualizar'!$B$4</f>
        <v>0.12956699999999999</v>
      </c>
      <c r="J65" s="495"/>
    </row>
    <row r="66" spans="2:10" x14ac:dyDescent="0.25">
      <c r="B66" s="493"/>
      <c r="C66" s="493"/>
      <c r="D66" s="493"/>
      <c r="E66" s="493"/>
      <c r="F66" s="494"/>
      <c r="G66" s="491"/>
      <c r="H66" s="95" t="s">
        <v>1217</v>
      </c>
      <c r="I66" s="481">
        <f>I64*(1+I65)</f>
        <v>103632.5632517795</v>
      </c>
      <c r="J66" s="495"/>
    </row>
    <row r="67" spans="2:10" x14ac:dyDescent="0.25">
      <c r="B67" s="493"/>
      <c r="C67" s="493"/>
      <c r="D67" s="493"/>
      <c r="E67" s="493"/>
      <c r="F67" s="494"/>
      <c r="G67" s="491"/>
      <c r="H67" s="491"/>
      <c r="I67" s="495"/>
      <c r="J67" s="495"/>
    </row>
    <row r="68" spans="2:10" x14ac:dyDescent="0.25">
      <c r="B68" s="85" t="s">
        <v>108</v>
      </c>
      <c r="C68" s="105" t="s">
        <v>219</v>
      </c>
      <c r="D68" s="13"/>
      <c r="E68" s="103"/>
      <c r="F68" s="102"/>
      <c r="G68" s="13"/>
      <c r="H68" s="101"/>
      <c r="I68" s="100"/>
    </row>
    <row r="70" spans="2:10" ht="15.75" thickBot="1" x14ac:dyDescent="0.3">
      <c r="B70" s="1038" t="s">
        <v>1066</v>
      </c>
      <c r="C70" s="1039"/>
      <c r="D70" s="1039"/>
      <c r="E70" s="1039"/>
      <c r="F70" s="1039"/>
      <c r="G70" s="1039"/>
      <c r="H70" s="1039"/>
      <c r="I70" s="1040"/>
    </row>
    <row r="71" spans="2:10" ht="23.25" thickBot="1" x14ac:dyDescent="0.3">
      <c r="B71" s="117">
        <v>1</v>
      </c>
      <c r="C71" s="116" t="s">
        <v>1067</v>
      </c>
      <c r="D71" s="115">
        <v>9</v>
      </c>
      <c r="E71" s="114">
        <v>500000</v>
      </c>
      <c r="F71" s="113">
        <f>E71*D71</f>
        <v>4500000</v>
      </c>
      <c r="G71" s="108" t="s">
        <v>413</v>
      </c>
      <c r="H71" s="107">
        <v>20</v>
      </c>
      <c r="I71" s="112">
        <v>0</v>
      </c>
    </row>
    <row r="72" spans="2:10" ht="15.75" thickBot="1" x14ac:dyDescent="0.3">
      <c r="G72" s="965" t="s">
        <v>1064</v>
      </c>
      <c r="H72" s="966"/>
      <c r="I72" s="110">
        <f>I71</f>
        <v>0</v>
      </c>
    </row>
    <row r="73" spans="2:10" ht="15.75" thickBot="1" x14ac:dyDescent="0.3"/>
    <row r="74" spans="2:10" ht="15.75" thickBot="1" x14ac:dyDescent="0.3">
      <c r="C74" t="s">
        <v>1068</v>
      </c>
      <c r="I74" s="110">
        <f>I72+I64+I23</f>
        <v>116296.98850000001</v>
      </c>
      <c r="J74" s="110"/>
    </row>
  </sheetData>
  <mergeCells count="15">
    <mergeCell ref="J4:J5"/>
    <mergeCell ref="B3:I3"/>
    <mergeCell ref="B4:B5"/>
    <mergeCell ref="C4:C5"/>
    <mergeCell ref="D4:D5"/>
    <mergeCell ref="G4:G5"/>
    <mergeCell ref="H4:H5"/>
    <mergeCell ref="I4:I5"/>
    <mergeCell ref="G72:H72"/>
    <mergeCell ref="B23:E23"/>
    <mergeCell ref="G23:H23"/>
    <mergeCell ref="B28:I28"/>
    <mergeCell ref="B64:E64"/>
    <mergeCell ref="G64:H64"/>
    <mergeCell ref="B70:I70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showGridLines="0" workbookViewId="0">
      <selection activeCell="J26" sqref="J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8"/>
  <sheetViews>
    <sheetView showGridLines="0" workbookViewId="0">
      <selection activeCell="E7" sqref="E7"/>
    </sheetView>
  </sheetViews>
  <sheetFormatPr defaultRowHeight="15" x14ac:dyDescent="0.25"/>
  <cols>
    <col min="1" max="1" width="93.42578125" customWidth="1"/>
    <col min="2" max="2" width="12.140625" customWidth="1"/>
    <col min="3" max="3" width="13.85546875" bestFit="1" customWidth="1"/>
  </cols>
  <sheetData>
    <row r="1" spans="1:5" x14ac:dyDescent="0.25">
      <c r="A1" s="1041" t="s">
        <v>1361</v>
      </c>
      <c r="B1" s="1041"/>
      <c r="C1" s="1041"/>
      <c r="E1" s="138"/>
    </row>
    <row r="2" spans="1:5" x14ac:dyDescent="0.25">
      <c r="A2" s="157" t="s">
        <v>1359</v>
      </c>
      <c r="B2" s="383"/>
      <c r="C2" s="157"/>
    </row>
    <row r="3" spans="1:5" x14ac:dyDescent="0.25">
      <c r="A3" s="157" t="s">
        <v>1392</v>
      </c>
      <c r="B3" s="383">
        <v>19940.75</v>
      </c>
      <c r="C3" s="157" t="s">
        <v>462</v>
      </c>
    </row>
    <row r="4" spans="1:5" x14ac:dyDescent="0.25">
      <c r="D4" s="23"/>
    </row>
    <row r="8" spans="1:5" x14ac:dyDescent="0.25">
      <c r="B8" s="467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zoomScale="80" zoomScaleNormal="80" workbookViewId="0">
      <selection activeCell="A3" sqref="A3"/>
    </sheetView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style="21" customWidth="1"/>
    <col min="7" max="7" width="13.7109375" customWidth="1"/>
    <col min="8" max="8" width="17.5703125" customWidth="1"/>
  </cols>
  <sheetData>
    <row r="1" spans="1:8" x14ac:dyDescent="0.25">
      <c r="A1" s="2" t="s">
        <v>1365</v>
      </c>
    </row>
    <row r="2" spans="1:8" x14ac:dyDescent="0.25">
      <c r="A2" s="291"/>
      <c r="B2" t="s">
        <v>1370</v>
      </c>
    </row>
    <row r="3" spans="1:8" x14ac:dyDescent="0.25">
      <c r="A3" s="612"/>
      <c r="B3" t="s">
        <v>1367</v>
      </c>
    </row>
    <row r="4" spans="1:8" ht="15.75" thickBot="1" x14ac:dyDescent="0.3">
      <c r="A4" s="46"/>
    </row>
    <row r="5" spans="1:8" ht="18.75" x14ac:dyDescent="0.3">
      <c r="A5" s="613" t="s">
        <v>1368</v>
      </c>
      <c r="B5" s="43"/>
      <c r="C5" s="43"/>
      <c r="D5" s="43"/>
      <c r="E5" s="43"/>
      <c r="F5" s="614"/>
    </row>
    <row r="6" spans="1:8" ht="45" x14ac:dyDescent="0.25">
      <c r="A6" s="619" t="s">
        <v>1058</v>
      </c>
      <c r="B6" s="608" t="s">
        <v>1089</v>
      </c>
      <c r="C6" s="608" t="s">
        <v>1102</v>
      </c>
      <c r="D6" s="608" t="s">
        <v>1103</v>
      </c>
      <c r="E6" s="608" t="s">
        <v>1104</v>
      </c>
      <c r="F6" s="620" t="s">
        <v>1105</v>
      </c>
      <c r="G6" s="412"/>
      <c r="H6" s="17"/>
    </row>
    <row r="7" spans="1:8" ht="15.75" thickBot="1" x14ac:dyDescent="0.3">
      <c r="A7" s="621">
        <f>D12</f>
        <v>12699197.640000001</v>
      </c>
      <c r="B7" s="623">
        <f>436711.68*(1+'custos unitários para atualizar'!B4)</f>
        <v>493295.10224256001</v>
      </c>
      <c r="C7" s="623">
        <f>120000*(1+'custos unitários para atualizar'!B4)</f>
        <v>135548.04</v>
      </c>
      <c r="D7" s="623">
        <f>(2500+700)*12*(1+'custos unitários para atualizar'!B4)</f>
        <v>43375.372799999997</v>
      </c>
      <c r="E7" s="623">
        <f>(1352+400)*12*(1+'custos unitários para atualizar'!B4)</f>
        <v>23748.016607999998</v>
      </c>
      <c r="F7" s="622">
        <f>SUM(A7:E7)</f>
        <v>13395164.171650559</v>
      </c>
      <c r="G7" s="412"/>
      <c r="H7" s="17"/>
    </row>
    <row r="8" spans="1:8" x14ac:dyDescent="0.25">
      <c r="A8" s="46"/>
    </row>
    <row r="9" spans="1:8" ht="15.75" thickBot="1" x14ac:dyDescent="0.3">
      <c r="A9" s="46"/>
    </row>
    <row r="10" spans="1:8" ht="18.75" x14ac:dyDescent="0.3">
      <c r="A10" s="613" t="s">
        <v>1366</v>
      </c>
      <c r="B10" s="43"/>
      <c r="C10" s="43"/>
      <c r="D10" s="43"/>
      <c r="E10" s="43"/>
      <c r="F10" s="614"/>
    </row>
    <row r="11" spans="1:8" ht="27.75" customHeight="1" x14ac:dyDescent="0.25">
      <c r="A11" s="352" t="s">
        <v>39</v>
      </c>
      <c r="B11" s="608" t="s">
        <v>1071</v>
      </c>
      <c r="C11" s="608" t="s">
        <v>1072</v>
      </c>
      <c r="D11" s="608" t="s">
        <v>1101</v>
      </c>
      <c r="E11" s="17"/>
      <c r="F11" s="615"/>
    </row>
    <row r="12" spans="1:8" ht="24.75" customHeight="1" x14ac:dyDescent="0.25">
      <c r="A12" s="352" t="s">
        <v>1054</v>
      </c>
      <c r="B12" s="361">
        <f>F19</f>
        <v>11632852.800000001</v>
      </c>
      <c r="C12" s="361">
        <f>B12/12*1.1</f>
        <v>1066344.8400000001</v>
      </c>
      <c r="D12" s="361">
        <f>B12+C12</f>
        <v>12699197.640000001</v>
      </c>
      <c r="E12" s="17"/>
      <c r="F12" s="615"/>
    </row>
    <row r="13" spans="1:8" x14ac:dyDescent="0.25">
      <c r="A13" s="41"/>
      <c r="B13" s="17"/>
      <c r="C13" s="17"/>
      <c r="D13" s="17"/>
      <c r="E13" s="17"/>
      <c r="F13" s="615"/>
      <c r="H13" s="409"/>
    </row>
    <row r="14" spans="1:8" x14ac:dyDescent="0.25">
      <c r="A14" s="41" t="s">
        <v>1100</v>
      </c>
      <c r="B14" s="17"/>
      <c r="C14" s="17"/>
      <c r="D14" s="17"/>
      <c r="E14" s="17"/>
      <c r="F14" s="615"/>
      <c r="H14" s="409"/>
    </row>
    <row r="15" spans="1:8" x14ac:dyDescent="0.25">
      <c r="A15" s="616"/>
      <c r="B15" s="884" t="s">
        <v>1083</v>
      </c>
      <c r="C15" s="885"/>
      <c r="D15" s="884" t="s">
        <v>1084</v>
      </c>
      <c r="E15" s="885"/>
      <c r="F15" s="886" t="s">
        <v>1059</v>
      </c>
    </row>
    <row r="16" spans="1:8" x14ac:dyDescent="0.25">
      <c r="A16" s="616"/>
      <c r="B16" s="609" t="s">
        <v>1085</v>
      </c>
      <c r="C16" s="609" t="s">
        <v>1086</v>
      </c>
      <c r="D16" s="609" t="s">
        <v>1085</v>
      </c>
      <c r="E16" s="609" t="s">
        <v>1086</v>
      </c>
      <c r="F16" s="887"/>
    </row>
    <row r="17" spans="1:8" ht="19.5" customHeight="1" x14ac:dyDescent="0.25">
      <c r="A17" s="352" t="s">
        <v>1213</v>
      </c>
      <c r="B17" s="291">
        <f>'custos unitários para atualizar'!B36</f>
        <v>4.0229999999999997</v>
      </c>
      <c r="C17" s="291">
        <f>'custos unitários para atualizar'!B37</f>
        <v>4.0449999999999999</v>
      </c>
      <c r="D17" s="291">
        <f>'custos unitários para atualizar'!B38</f>
        <v>3.93</v>
      </c>
      <c r="E17" s="291">
        <f>'custos unitários para atualizar'!B39</f>
        <v>4.0010000000000003</v>
      </c>
      <c r="F17" s="887"/>
      <c r="G17" s="410"/>
      <c r="H17" s="25"/>
    </row>
    <row r="18" spans="1:8" x14ac:dyDescent="0.25">
      <c r="A18" s="352" t="s">
        <v>1087</v>
      </c>
      <c r="B18" s="611">
        <v>1000</v>
      </c>
      <c r="C18" s="470">
        <v>116440</v>
      </c>
      <c r="D18" s="611">
        <v>2000</v>
      </c>
      <c r="E18" s="470">
        <v>121600</v>
      </c>
      <c r="F18" s="888"/>
      <c r="G18" s="410"/>
      <c r="H18" s="25"/>
    </row>
    <row r="19" spans="1:8" ht="15.75" thickBot="1" x14ac:dyDescent="0.3">
      <c r="A19" s="351" t="s">
        <v>1088</v>
      </c>
      <c r="B19" s="617">
        <f>B18*B17*12</f>
        <v>48275.999999999993</v>
      </c>
      <c r="C19" s="617">
        <f>C18*C17*12</f>
        <v>5651997.5999999996</v>
      </c>
      <c r="D19" s="617">
        <f>D18*D17*12</f>
        <v>94320</v>
      </c>
      <c r="E19" s="617">
        <f>E18*E17*12</f>
        <v>5838259.2000000002</v>
      </c>
      <c r="F19" s="618">
        <f>SUM(B19:E19)</f>
        <v>11632852.800000001</v>
      </c>
      <c r="G19" s="410"/>
      <c r="H19" s="409"/>
    </row>
    <row r="20" spans="1:8" ht="15" customHeight="1" x14ac:dyDescent="0.25">
      <c r="A20" s="450" t="s">
        <v>1373</v>
      </c>
      <c r="G20" s="410"/>
      <c r="H20" s="409"/>
    </row>
    <row r="21" spans="1:8" x14ac:dyDescent="0.25">
      <c r="A21" s="17"/>
      <c r="B21" s="17"/>
      <c r="G21" s="177"/>
      <c r="H21" s="409"/>
    </row>
  </sheetData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86"/>
  <sheetViews>
    <sheetView showGridLines="0" topLeftCell="A8" workbookViewId="0">
      <selection activeCell="K26" sqref="K26"/>
    </sheetView>
  </sheetViews>
  <sheetFormatPr defaultColWidth="9.140625" defaultRowHeight="12.75" x14ac:dyDescent="0.2"/>
  <cols>
    <col min="1" max="1" width="3.42578125" style="334" customWidth="1"/>
    <col min="2" max="2" width="20" style="334" customWidth="1"/>
    <col min="3" max="3" width="9.140625" style="334" customWidth="1"/>
    <col min="4" max="4" width="4.5703125" style="334" customWidth="1"/>
    <col min="5" max="5" width="5.42578125" style="334" customWidth="1"/>
    <col min="6" max="6" width="10.140625" style="334" customWidth="1"/>
    <col min="7" max="7" width="10.28515625" style="334" customWidth="1"/>
    <col min="8" max="8" width="11.85546875" style="334" customWidth="1"/>
    <col min="9" max="9" width="24.85546875" style="334" bestFit="1" customWidth="1"/>
    <col min="10" max="10" width="9.140625" style="334"/>
    <col min="11" max="11" width="17" style="334" customWidth="1"/>
    <col min="12" max="15" width="9.140625" style="334"/>
    <col min="16" max="16" width="13.42578125" style="334" customWidth="1"/>
    <col min="17" max="16384" width="9.140625" style="334"/>
  </cols>
  <sheetData>
    <row r="1" spans="1:11" x14ac:dyDescent="0.2">
      <c r="F1" s="348" t="s">
        <v>883</v>
      </c>
      <c r="G1" s="347">
        <v>0.39810000000000001</v>
      </c>
      <c r="H1" s="453"/>
    </row>
    <row r="2" spans="1:11" ht="15" customHeight="1" x14ac:dyDescent="0.2">
      <c r="A2" s="206"/>
      <c r="B2" s="1051" t="s">
        <v>882</v>
      </c>
      <c r="C2" s="516" t="s">
        <v>72</v>
      </c>
      <c r="D2" s="1048" t="s">
        <v>881</v>
      </c>
      <c r="E2" s="1048" t="s">
        <v>880</v>
      </c>
      <c r="F2" s="1048" t="s">
        <v>879</v>
      </c>
      <c r="G2" s="1048" t="s">
        <v>878</v>
      </c>
      <c r="H2" s="1045" t="s">
        <v>1156</v>
      </c>
    </row>
    <row r="3" spans="1:11" ht="12.75" customHeight="1" x14ac:dyDescent="0.2">
      <c r="A3" s="206"/>
      <c r="B3" s="1052"/>
      <c r="C3" s="517" t="s">
        <v>877</v>
      </c>
      <c r="D3" s="1049"/>
      <c r="E3" s="1049"/>
      <c r="F3" s="1049"/>
      <c r="G3" s="1049"/>
      <c r="H3" s="1046"/>
      <c r="J3" s="452"/>
    </row>
    <row r="4" spans="1:11" ht="21.75" customHeight="1" x14ac:dyDescent="0.25">
      <c r="A4" s="206"/>
      <c r="B4" s="1053"/>
      <c r="C4" s="346" t="s">
        <v>1402</v>
      </c>
      <c r="D4" s="1050"/>
      <c r="E4" s="1050"/>
      <c r="F4" s="1050"/>
      <c r="G4" s="1050"/>
      <c r="H4" s="1047"/>
      <c r="J4" s="1042" t="s">
        <v>1155</v>
      </c>
      <c r="K4" s="1042"/>
    </row>
    <row r="5" spans="1:11" x14ac:dyDescent="0.2">
      <c r="A5" s="208" t="s">
        <v>876</v>
      </c>
      <c r="B5" s="1043" t="s">
        <v>875</v>
      </c>
      <c r="C5" s="1044"/>
      <c r="D5" s="1044"/>
      <c r="E5" s="1044"/>
      <c r="F5" s="1044"/>
      <c r="G5" s="1044"/>
      <c r="H5" s="1044"/>
    </row>
    <row r="6" spans="1:11" x14ac:dyDescent="0.2">
      <c r="A6" s="208" t="s">
        <v>815</v>
      </c>
      <c r="B6" s="518" t="s">
        <v>874</v>
      </c>
      <c r="C6" s="519">
        <v>33047.43</v>
      </c>
      <c r="D6" s="345">
        <v>1</v>
      </c>
      <c r="E6" s="344">
        <f>1/6</f>
        <v>0.16666666666666666</v>
      </c>
      <c r="F6" s="337">
        <f t="shared" ref="F6:F11" si="0">C6*(1+$G$1)*D6*E6</f>
        <v>7700.6019804999996</v>
      </c>
      <c r="G6" s="337">
        <f t="shared" ref="G6:G11" si="1">F6*12</f>
        <v>92407.223765999996</v>
      </c>
      <c r="H6" s="456">
        <f>G6</f>
        <v>92407.223765999996</v>
      </c>
      <c r="I6" s="451"/>
    </row>
    <row r="7" spans="1:11" x14ac:dyDescent="0.2">
      <c r="A7" s="208" t="s">
        <v>815</v>
      </c>
      <c r="B7" s="208" t="s">
        <v>873</v>
      </c>
      <c r="C7" s="459">
        <v>17875.55</v>
      </c>
      <c r="D7" s="343">
        <v>1</v>
      </c>
      <c r="E7" s="342">
        <v>1</v>
      </c>
      <c r="F7" s="337">
        <f t="shared" si="0"/>
        <v>24991.806454999998</v>
      </c>
      <c r="G7" s="337">
        <f t="shared" si="1"/>
        <v>299901.67745999998</v>
      </c>
      <c r="H7" s="457">
        <f>G7+C7*(1+1/3)</f>
        <v>323735.74412666663</v>
      </c>
      <c r="I7" s="452"/>
      <c r="K7" s="452"/>
    </row>
    <row r="8" spans="1:11" x14ac:dyDescent="0.2">
      <c r="A8" s="208" t="s">
        <v>815</v>
      </c>
      <c r="B8" s="208" t="s">
        <v>839</v>
      </c>
      <c r="C8" s="459">
        <v>6257.26</v>
      </c>
      <c r="D8" s="343">
        <v>3</v>
      </c>
      <c r="E8" s="342">
        <v>0.3</v>
      </c>
      <c r="F8" s="337">
        <f t="shared" si="0"/>
        <v>7873.4476854000004</v>
      </c>
      <c r="G8" s="337">
        <f t="shared" si="1"/>
        <v>94481.372224799998</v>
      </c>
      <c r="H8" s="457">
        <f t="shared" ref="H8:H59" si="2">G8+C8*(1+1/3)</f>
        <v>102824.38555813333</v>
      </c>
    </row>
    <row r="9" spans="1:11" x14ac:dyDescent="0.2">
      <c r="A9" s="208" t="s">
        <v>815</v>
      </c>
      <c r="B9" s="208" t="s">
        <v>819</v>
      </c>
      <c r="C9" s="459">
        <v>4513.7299999999996</v>
      </c>
      <c r="D9" s="343">
        <v>1</v>
      </c>
      <c r="E9" s="342">
        <v>0.3</v>
      </c>
      <c r="F9" s="337">
        <f t="shared" si="0"/>
        <v>1893.1937738999998</v>
      </c>
      <c r="G9" s="337">
        <f t="shared" si="1"/>
        <v>22718.325286799998</v>
      </c>
      <c r="H9" s="457">
        <f t="shared" si="2"/>
        <v>28736.631953466662</v>
      </c>
    </row>
    <row r="10" spans="1:11" x14ac:dyDescent="0.2">
      <c r="A10" s="208" t="s">
        <v>815</v>
      </c>
      <c r="B10" s="208" t="s">
        <v>850</v>
      </c>
      <c r="C10" s="459">
        <v>1955.9</v>
      </c>
      <c r="D10" s="343">
        <v>1</v>
      </c>
      <c r="E10" s="342">
        <v>0.3</v>
      </c>
      <c r="F10" s="337">
        <f t="shared" si="0"/>
        <v>820.36313699999994</v>
      </c>
      <c r="G10" s="337">
        <f t="shared" si="1"/>
        <v>9844.3576439999997</v>
      </c>
      <c r="H10" s="457">
        <f t="shared" si="2"/>
        <v>12452.224310666666</v>
      </c>
    </row>
    <row r="11" spans="1:11" x14ac:dyDescent="0.2">
      <c r="A11" s="208" t="s">
        <v>815</v>
      </c>
      <c r="B11" s="208" t="s">
        <v>872</v>
      </c>
      <c r="C11" s="521">
        <v>14078.03</v>
      </c>
      <c r="D11" s="343">
        <v>1</v>
      </c>
      <c r="E11" s="342">
        <v>1</v>
      </c>
      <c r="F11" s="337">
        <f t="shared" si="0"/>
        <v>19682.493742999999</v>
      </c>
      <c r="G11" s="337">
        <f t="shared" si="1"/>
        <v>236189.92491599999</v>
      </c>
      <c r="H11" s="457">
        <f t="shared" si="2"/>
        <v>254960.63158266665</v>
      </c>
    </row>
    <row r="12" spans="1:11" x14ac:dyDescent="0.2">
      <c r="A12" s="208" t="s">
        <v>815</v>
      </c>
      <c r="B12" s="1043" t="s">
        <v>871</v>
      </c>
      <c r="C12" s="1044"/>
      <c r="D12" s="1044"/>
      <c r="E12" s="1044"/>
      <c r="F12" s="1044"/>
      <c r="G12" s="1044"/>
      <c r="H12" s="1044"/>
    </row>
    <row r="13" spans="1:11" x14ac:dyDescent="0.2">
      <c r="A13" s="208" t="s">
        <v>815</v>
      </c>
      <c r="B13" s="518" t="s">
        <v>870</v>
      </c>
      <c r="C13" s="520">
        <v>22345.26</v>
      </c>
      <c r="D13" s="343">
        <v>1</v>
      </c>
      <c r="E13" s="342">
        <v>0.5</v>
      </c>
      <c r="F13" s="337">
        <f t="shared" ref="F13:F44" si="3">C13*(1+$G$1)*D13*E13</f>
        <v>15620.454002999997</v>
      </c>
      <c r="G13" s="337">
        <f t="shared" ref="G13:G44" si="4">F13*12</f>
        <v>187445.44803599996</v>
      </c>
      <c r="H13" s="456">
        <f>G13</f>
        <v>187445.44803599996</v>
      </c>
    </row>
    <row r="14" spans="1:11" x14ac:dyDescent="0.2">
      <c r="A14" s="208" t="s">
        <v>815</v>
      </c>
      <c r="B14" s="208" t="s">
        <v>819</v>
      </c>
      <c r="C14" s="459">
        <v>4513.7299999999996</v>
      </c>
      <c r="D14" s="343">
        <v>2</v>
      </c>
      <c r="E14" s="342">
        <v>0.4</v>
      </c>
      <c r="F14" s="337">
        <f t="shared" si="3"/>
        <v>5048.5167303999997</v>
      </c>
      <c r="G14" s="337">
        <f t="shared" si="4"/>
        <v>60582.2007648</v>
      </c>
      <c r="H14" s="457">
        <f t="shared" si="2"/>
        <v>66600.507431466671</v>
      </c>
    </row>
    <row r="15" spans="1:11" x14ac:dyDescent="0.2">
      <c r="A15" s="208" t="s">
        <v>815</v>
      </c>
      <c r="B15" s="208" t="s">
        <v>863</v>
      </c>
      <c r="C15" s="459">
        <v>10520.27</v>
      </c>
      <c r="D15" s="343">
        <v>2</v>
      </c>
      <c r="E15" s="342">
        <v>1</v>
      </c>
      <c r="F15" s="337">
        <f t="shared" si="3"/>
        <v>29416.778974000001</v>
      </c>
      <c r="G15" s="337">
        <f t="shared" si="4"/>
        <v>353001.34768800001</v>
      </c>
      <c r="H15" s="457">
        <f t="shared" si="2"/>
        <v>367028.37435466668</v>
      </c>
    </row>
    <row r="16" spans="1:11" x14ac:dyDescent="0.2">
      <c r="A16" s="208" t="s">
        <v>815</v>
      </c>
      <c r="B16" s="208" t="s">
        <v>869</v>
      </c>
      <c r="C16" s="459">
        <v>13160.04</v>
      </c>
      <c r="D16" s="343">
        <v>3</v>
      </c>
      <c r="E16" s="342">
        <v>1</v>
      </c>
      <c r="F16" s="337">
        <f t="shared" si="3"/>
        <v>55197.155771999998</v>
      </c>
      <c r="G16" s="337">
        <f t="shared" si="4"/>
        <v>662365.86926399998</v>
      </c>
      <c r="H16" s="457">
        <f t="shared" si="2"/>
        <v>679912.58926399995</v>
      </c>
    </row>
    <row r="17" spans="1:17" x14ac:dyDescent="0.2">
      <c r="A17" s="208" t="s">
        <v>815</v>
      </c>
      <c r="B17" s="208" t="s">
        <v>861</v>
      </c>
      <c r="C17" s="459">
        <v>10520.27</v>
      </c>
      <c r="D17" s="343">
        <v>1</v>
      </c>
      <c r="E17" s="342">
        <v>1</v>
      </c>
      <c r="F17" s="337">
        <f t="shared" si="3"/>
        <v>14708.389487</v>
      </c>
      <c r="G17" s="337">
        <f t="shared" si="4"/>
        <v>176500.673844</v>
      </c>
      <c r="H17" s="457">
        <f t="shared" si="2"/>
        <v>190527.70051066668</v>
      </c>
    </row>
    <row r="18" spans="1:17" x14ac:dyDescent="0.2">
      <c r="A18" s="208" t="s">
        <v>815</v>
      </c>
      <c r="B18" s="208" t="s">
        <v>860</v>
      </c>
      <c r="C18" s="459">
        <v>10520.27</v>
      </c>
      <c r="D18" s="343">
        <v>1</v>
      </c>
      <c r="E18" s="342">
        <v>1</v>
      </c>
      <c r="F18" s="337">
        <f t="shared" si="3"/>
        <v>14708.389487</v>
      </c>
      <c r="G18" s="337">
        <f t="shared" si="4"/>
        <v>176500.673844</v>
      </c>
      <c r="H18" s="457">
        <f t="shared" si="2"/>
        <v>190527.70051066668</v>
      </c>
    </row>
    <row r="19" spans="1:17" x14ac:dyDescent="0.2">
      <c r="A19" s="208" t="s">
        <v>815</v>
      </c>
      <c r="B19" s="208" t="s">
        <v>868</v>
      </c>
      <c r="C19" s="459">
        <v>13160.04</v>
      </c>
      <c r="D19" s="343">
        <v>4</v>
      </c>
      <c r="E19" s="342">
        <v>1</v>
      </c>
      <c r="F19" s="337">
        <f t="shared" si="3"/>
        <v>73596.207695999998</v>
      </c>
      <c r="G19" s="337">
        <f t="shared" si="4"/>
        <v>883154.49235199997</v>
      </c>
      <c r="H19" s="457">
        <f t="shared" si="2"/>
        <v>900701.21235199994</v>
      </c>
    </row>
    <row r="20" spans="1:17" x14ac:dyDescent="0.2">
      <c r="A20" s="208" t="s">
        <v>843</v>
      </c>
      <c r="B20" s="208" t="s">
        <v>868</v>
      </c>
      <c r="C20" s="459">
        <v>13160.04</v>
      </c>
      <c r="D20" s="343">
        <v>1</v>
      </c>
      <c r="E20" s="342">
        <v>1</v>
      </c>
      <c r="F20" s="337">
        <f t="shared" si="3"/>
        <v>18399.051923999999</v>
      </c>
      <c r="G20" s="337">
        <f t="shared" si="4"/>
        <v>220788.62308799999</v>
      </c>
      <c r="H20" s="457">
        <f t="shared" si="2"/>
        <v>238335.34308799999</v>
      </c>
    </row>
    <row r="21" spans="1:17" x14ac:dyDescent="0.2">
      <c r="A21" s="208" t="s">
        <v>843</v>
      </c>
      <c r="B21" s="208" t="s">
        <v>865</v>
      </c>
      <c r="C21" s="459">
        <v>10520.27</v>
      </c>
      <c r="D21" s="343">
        <v>1</v>
      </c>
      <c r="E21" s="342">
        <v>1</v>
      </c>
      <c r="F21" s="337">
        <f t="shared" si="3"/>
        <v>14708.389487</v>
      </c>
      <c r="G21" s="337">
        <f t="shared" si="4"/>
        <v>176500.673844</v>
      </c>
      <c r="H21" s="457">
        <f t="shared" si="2"/>
        <v>190527.70051066668</v>
      </c>
    </row>
    <row r="22" spans="1:17" x14ac:dyDescent="0.2">
      <c r="A22" s="208" t="s">
        <v>843</v>
      </c>
      <c r="B22" s="208" t="s">
        <v>864</v>
      </c>
      <c r="C22" s="459">
        <v>8410.01</v>
      </c>
      <c r="D22" s="343">
        <v>1</v>
      </c>
      <c r="E22" s="342">
        <v>1</v>
      </c>
      <c r="F22" s="337">
        <f t="shared" si="3"/>
        <v>11758.034980999999</v>
      </c>
      <c r="G22" s="337">
        <f t="shared" si="4"/>
        <v>141096.41977199999</v>
      </c>
      <c r="H22" s="457">
        <f t="shared" si="2"/>
        <v>152309.76643866667</v>
      </c>
    </row>
    <row r="23" spans="1:17" x14ac:dyDescent="0.2">
      <c r="A23" s="208" t="s">
        <v>843</v>
      </c>
      <c r="B23" s="208" t="s">
        <v>867</v>
      </c>
      <c r="C23" s="459">
        <v>13160.04</v>
      </c>
      <c r="D23" s="343">
        <v>1</v>
      </c>
      <c r="E23" s="342">
        <v>1</v>
      </c>
      <c r="F23" s="337">
        <f t="shared" si="3"/>
        <v>18399.051923999999</v>
      </c>
      <c r="G23" s="337">
        <f t="shared" si="4"/>
        <v>220788.62308799999</v>
      </c>
      <c r="H23" s="457">
        <f t="shared" si="2"/>
        <v>238335.34308799999</v>
      </c>
    </row>
    <row r="24" spans="1:17" x14ac:dyDescent="0.2">
      <c r="A24" s="208" t="s">
        <v>843</v>
      </c>
      <c r="B24" s="208" t="s">
        <v>866</v>
      </c>
      <c r="C24" s="459">
        <v>10520.27</v>
      </c>
      <c r="D24" s="343">
        <v>1</v>
      </c>
      <c r="E24" s="342">
        <v>1</v>
      </c>
      <c r="F24" s="337">
        <f t="shared" si="3"/>
        <v>14708.389487</v>
      </c>
      <c r="G24" s="337">
        <f t="shared" si="4"/>
        <v>176500.673844</v>
      </c>
      <c r="H24" s="457">
        <f t="shared" si="2"/>
        <v>190527.70051066668</v>
      </c>
    </row>
    <row r="25" spans="1:17" x14ac:dyDescent="0.2">
      <c r="A25" s="208" t="s">
        <v>843</v>
      </c>
      <c r="B25" s="208" t="s">
        <v>853</v>
      </c>
      <c r="C25" s="459">
        <v>3777.03</v>
      </c>
      <c r="D25" s="343">
        <v>2</v>
      </c>
      <c r="E25" s="342">
        <v>1</v>
      </c>
      <c r="F25" s="337">
        <f t="shared" si="3"/>
        <v>10561.331286000001</v>
      </c>
      <c r="G25" s="337">
        <f t="shared" si="4"/>
        <v>126735.97543200001</v>
      </c>
      <c r="H25" s="457">
        <f t="shared" si="2"/>
        <v>131772.01543200001</v>
      </c>
    </row>
    <row r="26" spans="1:17" x14ac:dyDescent="0.2">
      <c r="A26" s="208" t="s">
        <v>843</v>
      </c>
      <c r="B26" s="208" t="s">
        <v>865</v>
      </c>
      <c r="C26" s="459">
        <v>10520.27</v>
      </c>
      <c r="D26" s="343">
        <v>1</v>
      </c>
      <c r="E26" s="342">
        <v>1</v>
      </c>
      <c r="F26" s="337">
        <f t="shared" si="3"/>
        <v>14708.389487</v>
      </c>
      <c r="G26" s="337">
        <f t="shared" si="4"/>
        <v>176500.673844</v>
      </c>
      <c r="H26" s="457">
        <f t="shared" si="2"/>
        <v>190527.70051066668</v>
      </c>
    </row>
    <row r="27" spans="1:17" x14ac:dyDescent="0.2">
      <c r="A27" s="208" t="s">
        <v>843</v>
      </c>
      <c r="B27" s="208" t="s">
        <v>864</v>
      </c>
      <c r="C27" s="459">
        <v>8410.01</v>
      </c>
      <c r="D27" s="343">
        <v>1</v>
      </c>
      <c r="E27" s="342">
        <v>1</v>
      </c>
      <c r="F27" s="337">
        <f t="shared" si="3"/>
        <v>11758.034980999999</v>
      </c>
      <c r="G27" s="337">
        <f t="shared" si="4"/>
        <v>141096.41977199999</v>
      </c>
      <c r="H27" s="457">
        <f t="shared" si="2"/>
        <v>152309.76643866667</v>
      </c>
    </row>
    <row r="28" spans="1:17" x14ac:dyDescent="0.2">
      <c r="A28" s="208" t="s">
        <v>843</v>
      </c>
      <c r="B28" s="208" t="s">
        <v>863</v>
      </c>
      <c r="C28" s="459">
        <v>10520.27</v>
      </c>
      <c r="D28" s="343">
        <v>2</v>
      </c>
      <c r="E28" s="342">
        <v>1</v>
      </c>
      <c r="F28" s="337">
        <f t="shared" si="3"/>
        <v>29416.778974000001</v>
      </c>
      <c r="G28" s="337">
        <f t="shared" si="4"/>
        <v>353001.34768800001</v>
      </c>
      <c r="H28" s="457">
        <f t="shared" si="2"/>
        <v>367028.37435466668</v>
      </c>
    </row>
    <row r="29" spans="1:17" ht="15.75" x14ac:dyDescent="0.25">
      <c r="A29" s="208" t="s">
        <v>843</v>
      </c>
      <c r="B29" s="208" t="s">
        <v>862</v>
      </c>
      <c r="C29" s="459">
        <v>8410.01</v>
      </c>
      <c r="D29" s="343">
        <v>1</v>
      </c>
      <c r="E29" s="342">
        <v>1</v>
      </c>
      <c r="F29" s="337">
        <f t="shared" si="3"/>
        <v>11758.034980999999</v>
      </c>
      <c r="G29" s="337">
        <f t="shared" si="4"/>
        <v>141096.41977199999</v>
      </c>
      <c r="H29" s="457">
        <f t="shared" si="2"/>
        <v>152309.76643866667</v>
      </c>
      <c r="P29" s="769" t="s">
        <v>1393</v>
      </c>
      <c r="Q29"/>
    </row>
    <row r="30" spans="1:17" ht="16.5" x14ac:dyDescent="0.2">
      <c r="A30" s="208" t="s">
        <v>843</v>
      </c>
      <c r="B30" s="208" t="s">
        <v>861</v>
      </c>
      <c r="C30" s="459">
        <v>10520.27</v>
      </c>
      <c r="D30" s="343">
        <v>1</v>
      </c>
      <c r="E30" s="342">
        <v>1</v>
      </c>
      <c r="F30" s="337">
        <f t="shared" si="3"/>
        <v>14708.389487</v>
      </c>
      <c r="G30" s="337">
        <f t="shared" si="4"/>
        <v>176500.673844</v>
      </c>
      <c r="H30" s="457">
        <f t="shared" si="2"/>
        <v>190527.70051066668</v>
      </c>
      <c r="P30" s="713" t="s">
        <v>1394</v>
      </c>
      <c r="Q30" s="714"/>
    </row>
    <row r="31" spans="1:17" ht="16.5" x14ac:dyDescent="0.2">
      <c r="A31" s="208" t="s">
        <v>843</v>
      </c>
      <c r="B31" s="208" t="s">
        <v>860</v>
      </c>
      <c r="C31" s="459">
        <v>10520.27</v>
      </c>
      <c r="D31" s="343">
        <v>1</v>
      </c>
      <c r="E31" s="342">
        <v>1</v>
      </c>
      <c r="F31" s="337">
        <f t="shared" si="3"/>
        <v>14708.389487</v>
      </c>
      <c r="G31" s="337">
        <f t="shared" si="4"/>
        <v>176500.673844</v>
      </c>
      <c r="H31" s="457">
        <f t="shared" si="2"/>
        <v>190527.70051066668</v>
      </c>
      <c r="P31" s="714" t="s">
        <v>1395</v>
      </c>
      <c r="Q31" s="715">
        <v>0.08</v>
      </c>
    </row>
    <row r="32" spans="1:17" ht="16.5" x14ac:dyDescent="0.2">
      <c r="A32" s="208" t="s">
        <v>843</v>
      </c>
      <c r="B32" s="208" t="s">
        <v>859</v>
      </c>
      <c r="C32" s="459">
        <v>10520.27</v>
      </c>
      <c r="D32" s="343">
        <v>2</v>
      </c>
      <c r="E32" s="342">
        <v>1</v>
      </c>
      <c r="F32" s="337">
        <f t="shared" si="3"/>
        <v>29416.778974000001</v>
      </c>
      <c r="G32" s="337">
        <f t="shared" si="4"/>
        <v>353001.34768800001</v>
      </c>
      <c r="H32" s="457">
        <f t="shared" si="2"/>
        <v>367028.37435466668</v>
      </c>
      <c r="P32" s="714" t="s">
        <v>1396</v>
      </c>
      <c r="Q32" s="715">
        <v>0.08</v>
      </c>
    </row>
    <row r="33" spans="1:17" ht="16.5" x14ac:dyDescent="0.2">
      <c r="A33" s="208" t="s">
        <v>843</v>
      </c>
      <c r="B33" s="208" t="s">
        <v>858</v>
      </c>
      <c r="C33" s="459">
        <v>8410.01</v>
      </c>
      <c r="D33" s="343">
        <v>2</v>
      </c>
      <c r="E33" s="342">
        <v>1</v>
      </c>
      <c r="F33" s="337">
        <f t="shared" si="3"/>
        <v>23516.069961999998</v>
      </c>
      <c r="G33" s="337">
        <f t="shared" si="4"/>
        <v>282192.83954399999</v>
      </c>
      <c r="H33" s="457">
        <f t="shared" si="2"/>
        <v>293406.18621066667</v>
      </c>
      <c r="P33" s="714" t="s">
        <v>1397</v>
      </c>
      <c r="Q33" s="715">
        <v>0.2</v>
      </c>
    </row>
    <row r="34" spans="1:17" ht="16.5" x14ac:dyDescent="0.2">
      <c r="A34" s="208" t="s">
        <v>843</v>
      </c>
      <c r="B34" s="208" t="s">
        <v>857</v>
      </c>
      <c r="C34" s="459">
        <v>3174.97</v>
      </c>
      <c r="D34" s="340">
        <v>2</v>
      </c>
      <c r="E34" s="342">
        <v>1</v>
      </c>
      <c r="F34" s="337">
        <f t="shared" si="3"/>
        <v>8877.8511139999991</v>
      </c>
      <c r="G34" s="337">
        <f t="shared" si="4"/>
        <v>106534.213368</v>
      </c>
      <c r="H34" s="457">
        <f t="shared" si="2"/>
        <v>110767.50670133333</v>
      </c>
      <c r="P34" s="714" t="s">
        <v>1398</v>
      </c>
      <c r="Q34" s="715">
        <v>0.02</v>
      </c>
    </row>
    <row r="35" spans="1:17" ht="33" x14ac:dyDescent="0.2">
      <c r="A35" s="208" t="s">
        <v>843</v>
      </c>
      <c r="B35" s="208" t="s">
        <v>856</v>
      </c>
      <c r="C35" s="459">
        <v>3174.97</v>
      </c>
      <c r="D35" s="340">
        <v>4</v>
      </c>
      <c r="E35" s="342">
        <v>1</v>
      </c>
      <c r="F35" s="337">
        <f t="shared" si="3"/>
        <v>17755.702227999998</v>
      </c>
      <c r="G35" s="337">
        <f t="shared" si="4"/>
        <v>213068.42673599999</v>
      </c>
      <c r="H35" s="457">
        <f t="shared" si="2"/>
        <v>217301.72006933333</v>
      </c>
      <c r="P35" s="714" t="s">
        <v>1399</v>
      </c>
      <c r="Q35" s="716">
        <v>0</v>
      </c>
    </row>
    <row r="36" spans="1:17" ht="16.5" x14ac:dyDescent="0.2">
      <c r="A36" s="208" t="s">
        <v>843</v>
      </c>
      <c r="B36" s="208" t="s">
        <v>855</v>
      </c>
      <c r="C36" s="459">
        <v>3174.97</v>
      </c>
      <c r="D36" s="340">
        <v>2</v>
      </c>
      <c r="E36" s="342">
        <v>1</v>
      </c>
      <c r="F36" s="337">
        <f t="shared" si="3"/>
        <v>8877.8511139999991</v>
      </c>
      <c r="G36" s="337">
        <f t="shared" si="4"/>
        <v>106534.213368</v>
      </c>
      <c r="H36" s="457">
        <f t="shared" si="2"/>
        <v>110767.50670133333</v>
      </c>
      <c r="P36" s="714" t="s">
        <v>1400</v>
      </c>
      <c r="Q36" s="715">
        <v>0</v>
      </c>
    </row>
    <row r="37" spans="1:17" ht="16.5" x14ac:dyDescent="0.2">
      <c r="A37" s="208" t="s">
        <v>843</v>
      </c>
      <c r="B37" s="208" t="s">
        <v>854</v>
      </c>
      <c r="C37" s="459">
        <v>10520.27</v>
      </c>
      <c r="D37" s="343">
        <v>1</v>
      </c>
      <c r="E37" s="342">
        <v>0.4</v>
      </c>
      <c r="F37" s="337">
        <f t="shared" si="3"/>
        <v>5883.3557948000007</v>
      </c>
      <c r="G37" s="337">
        <f t="shared" si="4"/>
        <v>70600.269537600005</v>
      </c>
      <c r="H37" s="457">
        <f t="shared" si="2"/>
        <v>84627.296204266677</v>
      </c>
      <c r="P37" s="714" t="s">
        <v>1401</v>
      </c>
      <c r="Q37" s="716">
        <v>1.8065999999999999E-2</v>
      </c>
    </row>
    <row r="38" spans="1:17" ht="16.5" x14ac:dyDescent="0.2">
      <c r="A38" s="208" t="s">
        <v>843</v>
      </c>
      <c r="B38" s="208" t="s">
        <v>853</v>
      </c>
      <c r="C38" s="459">
        <v>3777.03</v>
      </c>
      <c r="D38" s="343">
        <v>1</v>
      </c>
      <c r="E38" s="342">
        <v>1</v>
      </c>
      <c r="F38" s="337">
        <f t="shared" si="3"/>
        <v>5280.6656430000003</v>
      </c>
      <c r="G38" s="337">
        <f t="shared" si="4"/>
        <v>63367.987716000003</v>
      </c>
      <c r="H38" s="457">
        <f t="shared" si="2"/>
        <v>68404.027715999997</v>
      </c>
      <c r="P38" s="717" t="s">
        <v>140</v>
      </c>
      <c r="Q38" s="718">
        <v>0.39806599999999998</v>
      </c>
    </row>
    <row r="39" spans="1:17" x14ac:dyDescent="0.2">
      <c r="A39" s="208" t="s">
        <v>843</v>
      </c>
      <c r="B39" s="208" t="s">
        <v>852</v>
      </c>
      <c r="C39" s="459">
        <v>13160.04</v>
      </c>
      <c r="D39" s="343">
        <v>1</v>
      </c>
      <c r="E39" s="342">
        <v>1</v>
      </c>
      <c r="F39" s="337">
        <f t="shared" si="3"/>
        <v>18399.051923999999</v>
      </c>
      <c r="G39" s="337">
        <f t="shared" si="4"/>
        <v>220788.62308799999</v>
      </c>
      <c r="H39" s="457">
        <f t="shared" si="2"/>
        <v>238335.34308799999</v>
      </c>
    </row>
    <row r="40" spans="1:17" x14ac:dyDescent="0.2">
      <c r="A40" s="208" t="s">
        <v>843</v>
      </c>
      <c r="B40" s="208" t="s">
        <v>851</v>
      </c>
      <c r="C40" s="459">
        <v>3174.97</v>
      </c>
      <c r="D40" s="343">
        <v>4</v>
      </c>
      <c r="E40" s="342">
        <v>1</v>
      </c>
      <c r="F40" s="337">
        <f t="shared" si="3"/>
        <v>17755.702227999998</v>
      </c>
      <c r="G40" s="337">
        <f t="shared" si="4"/>
        <v>213068.42673599999</v>
      </c>
      <c r="H40" s="457">
        <f t="shared" si="2"/>
        <v>217301.72006933333</v>
      </c>
    </row>
    <row r="41" spans="1:17" x14ac:dyDescent="0.2">
      <c r="A41" s="208" t="s">
        <v>843</v>
      </c>
      <c r="B41" s="208" t="s">
        <v>850</v>
      </c>
      <c r="C41" s="459">
        <v>1955.9</v>
      </c>
      <c r="D41" s="343">
        <v>4</v>
      </c>
      <c r="E41" s="342">
        <v>1</v>
      </c>
      <c r="F41" s="337">
        <f t="shared" si="3"/>
        <v>10938.175159999999</v>
      </c>
      <c r="G41" s="337">
        <f t="shared" si="4"/>
        <v>131258.10191999999</v>
      </c>
      <c r="H41" s="457">
        <f t="shared" si="2"/>
        <v>133865.96858666666</v>
      </c>
    </row>
    <row r="42" spans="1:17" x14ac:dyDescent="0.2">
      <c r="A42" s="208" t="s">
        <v>843</v>
      </c>
      <c r="B42" s="208" t="s">
        <v>849</v>
      </c>
      <c r="C42" s="459">
        <v>6257.26</v>
      </c>
      <c r="D42" s="343">
        <v>2</v>
      </c>
      <c r="E42" s="342">
        <v>1</v>
      </c>
      <c r="F42" s="337">
        <f t="shared" si="3"/>
        <v>17496.550412000001</v>
      </c>
      <c r="G42" s="337">
        <f t="shared" si="4"/>
        <v>209958.60494400002</v>
      </c>
      <c r="H42" s="457">
        <f t="shared" si="2"/>
        <v>218301.61827733336</v>
      </c>
    </row>
    <row r="43" spans="1:17" x14ac:dyDescent="0.2">
      <c r="A43" s="208" t="s">
        <v>843</v>
      </c>
      <c r="B43" s="208" t="s">
        <v>817</v>
      </c>
      <c r="C43" s="459">
        <v>10520.27</v>
      </c>
      <c r="D43" s="343">
        <v>2</v>
      </c>
      <c r="E43" s="342">
        <v>1</v>
      </c>
      <c r="F43" s="337">
        <f t="shared" si="3"/>
        <v>29416.778974000001</v>
      </c>
      <c r="G43" s="337">
        <f t="shared" si="4"/>
        <v>353001.34768800001</v>
      </c>
      <c r="H43" s="457">
        <f t="shared" si="2"/>
        <v>367028.37435466668</v>
      </c>
    </row>
    <row r="44" spans="1:17" x14ac:dyDescent="0.2">
      <c r="A44" s="208" t="s">
        <v>843</v>
      </c>
      <c r="B44" s="208" t="s">
        <v>819</v>
      </c>
      <c r="C44" s="459">
        <v>4513.7299999999996</v>
      </c>
      <c r="D44" s="343">
        <v>1</v>
      </c>
      <c r="E44" s="342">
        <v>1</v>
      </c>
      <c r="F44" s="337">
        <f t="shared" si="3"/>
        <v>6310.6459129999994</v>
      </c>
      <c r="G44" s="337">
        <f t="shared" si="4"/>
        <v>75727.750955999989</v>
      </c>
      <c r="H44" s="457">
        <f t="shared" si="2"/>
        <v>81746.05762266666</v>
      </c>
    </row>
    <row r="45" spans="1:17" x14ac:dyDescent="0.2">
      <c r="A45" s="208" t="s">
        <v>815</v>
      </c>
      <c r="B45" s="1043" t="s">
        <v>848</v>
      </c>
      <c r="C45" s="1044"/>
      <c r="D45" s="1044"/>
      <c r="E45" s="1044"/>
      <c r="F45" s="1044"/>
      <c r="G45" s="1044"/>
      <c r="H45" s="1044"/>
    </row>
    <row r="46" spans="1:17" x14ac:dyDescent="0.2">
      <c r="A46" s="208" t="s">
        <v>815</v>
      </c>
      <c r="B46" s="208" t="s">
        <v>847</v>
      </c>
      <c r="C46" s="520">
        <v>22345.26</v>
      </c>
      <c r="D46" s="340">
        <v>1</v>
      </c>
      <c r="E46" s="342">
        <v>0.5</v>
      </c>
      <c r="F46" s="337">
        <f t="shared" ref="F46:F51" si="5">C46*(1+$G$1)*D46*E46</f>
        <v>15620.454002999997</v>
      </c>
      <c r="G46" s="337">
        <f t="shared" ref="G46:G51" si="6">F46*12</f>
        <v>187445.44803599996</v>
      </c>
      <c r="H46" s="456">
        <f>G46</f>
        <v>187445.44803599996</v>
      </c>
    </row>
    <row r="47" spans="1:17" x14ac:dyDescent="0.2">
      <c r="A47" s="208" t="s">
        <v>815</v>
      </c>
      <c r="B47" s="208" t="s">
        <v>846</v>
      </c>
      <c r="C47" s="459">
        <v>17875.55</v>
      </c>
      <c r="D47" s="340">
        <v>1</v>
      </c>
      <c r="E47" s="342">
        <v>0.5</v>
      </c>
      <c r="F47" s="337">
        <f t="shared" si="5"/>
        <v>12495.903227499999</v>
      </c>
      <c r="G47" s="337">
        <f t="shared" si="6"/>
        <v>149950.83872999999</v>
      </c>
      <c r="H47" s="457">
        <f t="shared" si="2"/>
        <v>173784.90539666667</v>
      </c>
    </row>
    <row r="48" spans="1:17" x14ac:dyDescent="0.2">
      <c r="A48" s="208" t="s">
        <v>815</v>
      </c>
      <c r="B48" s="208" t="s">
        <v>845</v>
      </c>
      <c r="C48" s="459">
        <v>10520.27</v>
      </c>
      <c r="D48" s="340">
        <v>2</v>
      </c>
      <c r="E48" s="342">
        <v>1</v>
      </c>
      <c r="F48" s="337">
        <f t="shared" si="5"/>
        <v>29416.778974000001</v>
      </c>
      <c r="G48" s="337">
        <f t="shared" si="6"/>
        <v>353001.34768800001</v>
      </c>
      <c r="H48" s="457">
        <f t="shared" si="2"/>
        <v>367028.37435466668</v>
      </c>
    </row>
    <row r="49" spans="1:8" x14ac:dyDescent="0.2">
      <c r="A49" s="208" t="s">
        <v>843</v>
      </c>
      <c r="B49" s="208" t="s">
        <v>845</v>
      </c>
      <c r="C49" s="459">
        <v>10520.27</v>
      </c>
      <c r="D49" s="340">
        <v>1</v>
      </c>
      <c r="E49" s="342">
        <v>1</v>
      </c>
      <c r="F49" s="337">
        <f t="shared" si="5"/>
        <v>14708.389487</v>
      </c>
      <c r="G49" s="337">
        <f t="shared" si="6"/>
        <v>176500.673844</v>
      </c>
      <c r="H49" s="457">
        <f t="shared" si="2"/>
        <v>190527.70051066668</v>
      </c>
    </row>
    <row r="50" spans="1:8" x14ac:dyDescent="0.2">
      <c r="A50" s="208" t="s">
        <v>843</v>
      </c>
      <c r="B50" s="208" t="s">
        <v>844</v>
      </c>
      <c r="C50" s="459">
        <v>10520.27</v>
      </c>
      <c r="D50" s="340">
        <v>1</v>
      </c>
      <c r="E50" s="342">
        <v>1</v>
      </c>
      <c r="F50" s="337">
        <f t="shared" si="5"/>
        <v>14708.389487</v>
      </c>
      <c r="G50" s="337">
        <f t="shared" si="6"/>
        <v>176500.673844</v>
      </c>
      <c r="H50" s="457">
        <f t="shared" si="2"/>
        <v>190527.70051066668</v>
      </c>
    </row>
    <row r="51" spans="1:8" x14ac:dyDescent="0.2">
      <c r="A51" s="208" t="s">
        <v>843</v>
      </c>
      <c r="B51" s="208" t="s">
        <v>842</v>
      </c>
      <c r="C51" s="459">
        <v>7888.86</v>
      </c>
      <c r="D51" s="340">
        <v>1</v>
      </c>
      <c r="E51" s="342">
        <v>1</v>
      </c>
      <c r="F51" s="337">
        <f t="shared" si="5"/>
        <v>11029.415165999999</v>
      </c>
      <c r="G51" s="337">
        <f t="shared" si="6"/>
        <v>132352.98199199999</v>
      </c>
      <c r="H51" s="457">
        <f t="shared" si="2"/>
        <v>142871.461992</v>
      </c>
    </row>
    <row r="52" spans="1:8" x14ac:dyDescent="0.2">
      <c r="A52" s="208" t="s">
        <v>815</v>
      </c>
      <c r="B52" s="1043" t="s">
        <v>841</v>
      </c>
      <c r="C52" s="1044"/>
      <c r="D52" s="1044"/>
      <c r="E52" s="1044"/>
      <c r="F52" s="1044"/>
      <c r="G52" s="1044"/>
      <c r="H52" s="1044"/>
    </row>
    <row r="53" spans="1:8" x14ac:dyDescent="0.2">
      <c r="A53" s="208" t="s">
        <v>815</v>
      </c>
      <c r="B53" s="208" t="s">
        <v>840</v>
      </c>
      <c r="C53" s="520">
        <v>22345.26</v>
      </c>
      <c r="D53" s="343">
        <v>1</v>
      </c>
      <c r="E53" s="342">
        <v>1</v>
      </c>
      <c r="F53" s="337">
        <f t="shared" ref="F53:F59" si="7">C53*(1+$G$1)*D53*E53</f>
        <v>31240.908005999994</v>
      </c>
      <c r="G53" s="337">
        <f t="shared" ref="G53:G59" si="8">F53*12</f>
        <v>374890.89607199992</v>
      </c>
      <c r="H53" s="456">
        <f>G53</f>
        <v>374890.89607199992</v>
      </c>
    </row>
    <row r="54" spans="1:8" x14ac:dyDescent="0.2">
      <c r="A54" s="208" t="s">
        <v>815</v>
      </c>
      <c r="B54" s="208" t="s">
        <v>839</v>
      </c>
      <c r="C54" s="459">
        <v>6257.26</v>
      </c>
      <c r="D54" s="343">
        <v>1</v>
      </c>
      <c r="E54" s="342">
        <v>1</v>
      </c>
      <c r="F54" s="337">
        <f t="shared" si="7"/>
        <v>8748.2752060000003</v>
      </c>
      <c r="G54" s="337">
        <f t="shared" si="8"/>
        <v>104979.30247200001</v>
      </c>
      <c r="H54" s="457">
        <f t="shared" si="2"/>
        <v>113322.31580533335</v>
      </c>
    </row>
    <row r="55" spans="1:8" x14ac:dyDescent="0.2">
      <c r="A55" s="208" t="s">
        <v>815</v>
      </c>
      <c r="B55" s="208" t="s">
        <v>819</v>
      </c>
      <c r="C55" s="459">
        <v>4513.7299999999996</v>
      </c>
      <c r="D55" s="343">
        <v>1</v>
      </c>
      <c r="E55" s="342">
        <v>1</v>
      </c>
      <c r="F55" s="337">
        <f t="shared" si="7"/>
        <v>6310.6459129999994</v>
      </c>
      <c r="G55" s="337">
        <f t="shared" si="8"/>
        <v>75727.750955999989</v>
      </c>
      <c r="H55" s="457">
        <f t="shared" si="2"/>
        <v>81746.05762266666</v>
      </c>
    </row>
    <row r="56" spans="1:8" x14ac:dyDescent="0.2">
      <c r="A56" s="208" t="s">
        <v>815</v>
      </c>
      <c r="B56" s="208" t="s">
        <v>838</v>
      </c>
      <c r="C56" s="459">
        <v>13160.04</v>
      </c>
      <c r="D56" s="343">
        <v>1</v>
      </c>
      <c r="E56" s="342">
        <v>1</v>
      </c>
      <c r="F56" s="337">
        <f t="shared" si="7"/>
        <v>18399.051923999999</v>
      </c>
      <c r="G56" s="337">
        <f t="shared" si="8"/>
        <v>220788.62308799999</v>
      </c>
      <c r="H56" s="457">
        <f t="shared" si="2"/>
        <v>238335.34308799999</v>
      </c>
    </row>
    <row r="57" spans="1:8" x14ac:dyDescent="0.2">
      <c r="A57" s="208" t="s">
        <v>815</v>
      </c>
      <c r="B57" s="208" t="s">
        <v>837</v>
      </c>
      <c r="C57" s="459">
        <v>10520.27</v>
      </c>
      <c r="D57" s="343">
        <v>1</v>
      </c>
      <c r="E57" s="342">
        <v>1</v>
      </c>
      <c r="F57" s="337">
        <f t="shared" si="7"/>
        <v>14708.389487</v>
      </c>
      <c r="G57" s="337">
        <f t="shared" si="8"/>
        <v>176500.673844</v>
      </c>
      <c r="H57" s="457">
        <f t="shared" si="2"/>
        <v>190527.70051066668</v>
      </c>
    </row>
    <row r="58" spans="1:8" x14ac:dyDescent="0.2">
      <c r="A58" s="208" t="s">
        <v>815</v>
      </c>
      <c r="B58" s="208" t="s">
        <v>836</v>
      </c>
      <c r="C58" s="459">
        <v>13160.04</v>
      </c>
      <c r="D58" s="343">
        <v>1</v>
      </c>
      <c r="E58" s="342">
        <v>1</v>
      </c>
      <c r="F58" s="337">
        <f t="shared" si="7"/>
        <v>18399.051923999999</v>
      </c>
      <c r="G58" s="337">
        <f t="shared" si="8"/>
        <v>220788.62308799999</v>
      </c>
      <c r="H58" s="457">
        <f t="shared" si="2"/>
        <v>238335.34308799999</v>
      </c>
    </row>
    <row r="59" spans="1:8" x14ac:dyDescent="0.2">
      <c r="A59" s="208" t="s">
        <v>815</v>
      </c>
      <c r="B59" s="208" t="s">
        <v>835</v>
      </c>
      <c r="C59" s="459">
        <v>10520.27</v>
      </c>
      <c r="D59" s="340">
        <v>1</v>
      </c>
      <c r="E59" s="342">
        <v>1</v>
      </c>
      <c r="F59" s="337">
        <f t="shared" si="7"/>
        <v>14708.389487</v>
      </c>
      <c r="G59" s="337">
        <f t="shared" si="8"/>
        <v>176500.673844</v>
      </c>
      <c r="H59" s="457">
        <f t="shared" si="2"/>
        <v>190527.70051066668</v>
      </c>
    </row>
    <row r="60" spans="1:8" x14ac:dyDescent="0.2">
      <c r="A60" s="208" t="s">
        <v>815</v>
      </c>
      <c r="B60" s="1043" t="s">
        <v>834</v>
      </c>
      <c r="C60" s="1044"/>
      <c r="D60" s="1044"/>
      <c r="E60" s="1044"/>
      <c r="F60" s="1044"/>
      <c r="G60" s="1044"/>
      <c r="H60" s="1044"/>
    </row>
    <row r="61" spans="1:8" x14ac:dyDescent="0.2">
      <c r="A61" s="208" t="s">
        <v>815</v>
      </c>
      <c r="B61" s="518" t="s">
        <v>833</v>
      </c>
      <c r="C61" s="459">
        <v>17875.55</v>
      </c>
      <c r="D61" s="343">
        <v>1</v>
      </c>
      <c r="E61" s="342">
        <v>1</v>
      </c>
      <c r="F61" s="337">
        <f>C61*(1+$G$1)*D61*E61</f>
        <v>24991.806454999998</v>
      </c>
      <c r="G61" s="337">
        <f>F61*12</f>
        <v>299901.67745999998</v>
      </c>
      <c r="H61" s="457">
        <f>G61+C61*(1+1/3)</f>
        <v>323735.74412666663</v>
      </c>
    </row>
    <row r="62" spans="1:8" x14ac:dyDescent="0.2">
      <c r="A62" s="208" t="s">
        <v>815</v>
      </c>
      <c r="B62" s="208" t="s">
        <v>832</v>
      </c>
      <c r="C62" s="459">
        <v>8410.01</v>
      </c>
      <c r="D62" s="343">
        <v>1</v>
      </c>
      <c r="E62" s="342">
        <v>1</v>
      </c>
      <c r="F62" s="337">
        <f>C62*(1+$G$1)*D62*E62</f>
        <v>11758.034980999999</v>
      </c>
      <c r="G62" s="337">
        <f>F62*12</f>
        <v>141096.41977199999</v>
      </c>
      <c r="H62" s="457">
        <f>G62+C62*(1+1/3)</f>
        <v>152309.76643866667</v>
      </c>
    </row>
    <row r="63" spans="1:8" x14ac:dyDescent="0.2">
      <c r="A63" s="208" t="s">
        <v>815</v>
      </c>
      <c r="B63" s="1043" t="s">
        <v>831</v>
      </c>
      <c r="C63" s="1044"/>
      <c r="D63" s="1044"/>
      <c r="E63" s="1044"/>
      <c r="F63" s="1044"/>
      <c r="G63" s="1044"/>
      <c r="H63" s="1044"/>
    </row>
    <row r="64" spans="1:8" x14ac:dyDescent="0.2">
      <c r="A64" s="208" t="s">
        <v>815</v>
      </c>
      <c r="B64" s="208" t="s">
        <v>830</v>
      </c>
      <c r="C64" s="520">
        <v>22345.26</v>
      </c>
      <c r="D64" s="343">
        <v>1</v>
      </c>
      <c r="E64" s="342">
        <v>0.3</v>
      </c>
      <c r="F64" s="337">
        <f t="shared" ref="F64:F81" si="9">C64*(1+$G$1)*D64*E64</f>
        <v>9372.2724017999972</v>
      </c>
      <c r="G64" s="337">
        <f t="shared" ref="G64:G81" si="10">F64*12</f>
        <v>112467.26882159997</v>
      </c>
      <c r="H64" s="456">
        <f>G64</f>
        <v>112467.26882159997</v>
      </c>
    </row>
    <row r="65" spans="1:8" x14ac:dyDescent="0.2">
      <c r="A65" s="208" t="s">
        <v>815</v>
      </c>
      <c r="B65" s="208" t="s">
        <v>829</v>
      </c>
      <c r="C65" s="459">
        <v>6257.26</v>
      </c>
      <c r="D65" s="343">
        <v>2</v>
      </c>
      <c r="E65" s="342">
        <v>0.3</v>
      </c>
      <c r="F65" s="337">
        <f t="shared" si="9"/>
        <v>5248.9651236</v>
      </c>
      <c r="G65" s="337">
        <f t="shared" si="10"/>
        <v>62987.581483200003</v>
      </c>
      <c r="H65" s="457">
        <f t="shared" ref="H65:H81" si="11">G65+C65*(1+1/3)</f>
        <v>71330.594816533339</v>
      </c>
    </row>
    <row r="66" spans="1:8" x14ac:dyDescent="0.2">
      <c r="A66" s="208" t="s">
        <v>815</v>
      </c>
      <c r="B66" s="341" t="s">
        <v>828</v>
      </c>
      <c r="C66" s="459">
        <v>17875.55</v>
      </c>
      <c r="D66" s="340">
        <v>1</v>
      </c>
      <c r="E66" s="339">
        <v>1</v>
      </c>
      <c r="F66" s="338">
        <f t="shared" si="9"/>
        <v>24991.806454999998</v>
      </c>
      <c r="G66" s="337">
        <f t="shared" si="10"/>
        <v>299901.67745999998</v>
      </c>
      <c r="H66" s="457">
        <f t="shared" si="11"/>
        <v>323735.74412666663</v>
      </c>
    </row>
    <row r="67" spans="1:8" x14ac:dyDescent="0.2">
      <c r="A67" s="208" t="s">
        <v>815</v>
      </c>
      <c r="B67" s="341" t="s">
        <v>827</v>
      </c>
      <c r="C67" s="521">
        <v>8965.5300000000007</v>
      </c>
      <c r="D67" s="340">
        <v>1</v>
      </c>
      <c r="E67" s="339">
        <v>1</v>
      </c>
      <c r="F67" s="338">
        <f t="shared" si="9"/>
        <v>12534.707493</v>
      </c>
      <c r="G67" s="337">
        <f t="shared" si="10"/>
        <v>150416.48991599999</v>
      </c>
      <c r="H67" s="457">
        <f t="shared" si="11"/>
        <v>162370.529916</v>
      </c>
    </row>
    <row r="68" spans="1:8" x14ac:dyDescent="0.2">
      <c r="A68" s="208" t="s">
        <v>815</v>
      </c>
      <c r="B68" s="341" t="s">
        <v>826</v>
      </c>
      <c r="C68" s="459">
        <v>3174.97</v>
      </c>
      <c r="D68" s="340">
        <v>2</v>
      </c>
      <c r="E68" s="339">
        <v>1</v>
      </c>
      <c r="F68" s="338">
        <f t="shared" si="9"/>
        <v>8877.8511139999991</v>
      </c>
      <c r="G68" s="337">
        <f t="shared" si="10"/>
        <v>106534.213368</v>
      </c>
      <c r="H68" s="457">
        <f t="shared" si="11"/>
        <v>110767.50670133333</v>
      </c>
    </row>
    <row r="69" spans="1:8" x14ac:dyDescent="0.2">
      <c r="A69" s="208" t="s">
        <v>815</v>
      </c>
      <c r="B69" s="341" t="s">
        <v>825</v>
      </c>
      <c r="C69" s="459">
        <v>17875.55</v>
      </c>
      <c r="D69" s="340">
        <v>1</v>
      </c>
      <c r="E69" s="339">
        <v>0.6</v>
      </c>
      <c r="F69" s="338">
        <f t="shared" si="9"/>
        <v>14995.083872999998</v>
      </c>
      <c r="G69" s="337">
        <f t="shared" si="10"/>
        <v>179941.00647599998</v>
      </c>
      <c r="H69" s="457">
        <f t="shared" si="11"/>
        <v>203775.07314266666</v>
      </c>
    </row>
    <row r="70" spans="1:8" x14ac:dyDescent="0.2">
      <c r="A70" s="208" t="s">
        <v>815</v>
      </c>
      <c r="B70" s="341" t="s">
        <v>817</v>
      </c>
      <c r="C70" s="521">
        <v>8965.5300000000007</v>
      </c>
      <c r="D70" s="340">
        <v>2</v>
      </c>
      <c r="E70" s="339">
        <v>1</v>
      </c>
      <c r="F70" s="338">
        <f t="shared" si="9"/>
        <v>25069.414986</v>
      </c>
      <c r="G70" s="337">
        <f t="shared" si="10"/>
        <v>300832.97983199998</v>
      </c>
      <c r="H70" s="457">
        <f t="shared" si="11"/>
        <v>312787.01983199996</v>
      </c>
    </row>
    <row r="71" spans="1:8" x14ac:dyDescent="0.2">
      <c r="A71" s="208" t="s">
        <v>815</v>
      </c>
      <c r="B71" s="341" t="s">
        <v>824</v>
      </c>
      <c r="C71" s="521">
        <v>3971.65</v>
      </c>
      <c r="D71" s="340">
        <v>1</v>
      </c>
      <c r="E71" s="339">
        <v>1</v>
      </c>
      <c r="F71" s="338">
        <f t="shared" si="9"/>
        <v>5552.7638649999999</v>
      </c>
      <c r="G71" s="337">
        <f t="shared" si="10"/>
        <v>66633.166379999995</v>
      </c>
      <c r="H71" s="457">
        <f t="shared" si="11"/>
        <v>71928.699713333335</v>
      </c>
    </row>
    <row r="72" spans="1:8" x14ac:dyDescent="0.2">
      <c r="A72" s="208" t="s">
        <v>815</v>
      </c>
      <c r="B72" s="341" t="s">
        <v>823</v>
      </c>
      <c r="C72" s="459">
        <v>4513.7299999999996</v>
      </c>
      <c r="D72" s="340">
        <v>1</v>
      </c>
      <c r="E72" s="339">
        <v>1</v>
      </c>
      <c r="F72" s="338">
        <f t="shared" si="9"/>
        <v>6310.6459129999994</v>
      </c>
      <c r="G72" s="337">
        <f t="shared" si="10"/>
        <v>75727.750955999989</v>
      </c>
      <c r="H72" s="457">
        <f t="shared" si="11"/>
        <v>81746.05762266666</v>
      </c>
    </row>
    <row r="73" spans="1:8" x14ac:dyDescent="0.2">
      <c r="A73" s="208" t="s">
        <v>815</v>
      </c>
      <c r="B73" s="341" t="s">
        <v>822</v>
      </c>
      <c r="C73" s="521">
        <v>4660.43</v>
      </c>
      <c r="D73" s="340">
        <v>1</v>
      </c>
      <c r="E73" s="339">
        <v>1</v>
      </c>
      <c r="F73" s="338">
        <f t="shared" si="9"/>
        <v>6515.7471829999995</v>
      </c>
      <c r="G73" s="337">
        <f t="shared" si="10"/>
        <v>78188.966195999994</v>
      </c>
      <c r="H73" s="457">
        <f t="shared" si="11"/>
        <v>84402.872862666656</v>
      </c>
    </row>
    <row r="74" spans="1:8" x14ac:dyDescent="0.2">
      <c r="A74" s="208" t="s">
        <v>815</v>
      </c>
      <c r="B74" s="341" t="s">
        <v>821</v>
      </c>
      <c r="C74" s="521">
        <v>3971.65</v>
      </c>
      <c r="D74" s="340">
        <v>1</v>
      </c>
      <c r="E74" s="339">
        <v>0.2</v>
      </c>
      <c r="F74" s="338">
        <f t="shared" si="9"/>
        <v>1110.5527730000001</v>
      </c>
      <c r="G74" s="337">
        <f t="shared" si="10"/>
        <v>13326.633276</v>
      </c>
      <c r="H74" s="457">
        <f t="shared" si="11"/>
        <v>18622.166609333333</v>
      </c>
    </row>
    <row r="75" spans="1:8" x14ac:dyDescent="0.2">
      <c r="A75" s="208" t="s">
        <v>815</v>
      </c>
      <c r="B75" s="341" t="s">
        <v>820</v>
      </c>
      <c r="C75" s="459">
        <v>17875.55</v>
      </c>
      <c r="D75" s="340">
        <v>1</v>
      </c>
      <c r="E75" s="339">
        <v>0.06</v>
      </c>
      <c r="F75" s="338">
        <f t="shared" si="9"/>
        <v>1499.5083872999999</v>
      </c>
      <c r="G75" s="337">
        <f t="shared" si="10"/>
        <v>17994.100647599997</v>
      </c>
      <c r="H75" s="457">
        <f t="shared" si="11"/>
        <v>41828.167314266662</v>
      </c>
    </row>
    <row r="76" spans="1:8" x14ac:dyDescent="0.2">
      <c r="A76" s="208" t="s">
        <v>815</v>
      </c>
      <c r="B76" s="341" t="s">
        <v>817</v>
      </c>
      <c r="C76" s="459">
        <v>7888.86</v>
      </c>
      <c r="D76" s="340">
        <v>2</v>
      </c>
      <c r="E76" s="339">
        <v>1</v>
      </c>
      <c r="F76" s="338">
        <f t="shared" si="9"/>
        <v>22058.830331999998</v>
      </c>
      <c r="G76" s="337">
        <f t="shared" si="10"/>
        <v>264705.96398399997</v>
      </c>
      <c r="H76" s="457">
        <f t="shared" si="11"/>
        <v>275224.44398399995</v>
      </c>
    </row>
    <row r="77" spans="1:8" x14ac:dyDescent="0.2">
      <c r="A77" s="208" t="s">
        <v>815</v>
      </c>
      <c r="B77" s="341" t="s">
        <v>819</v>
      </c>
      <c r="C77" s="459">
        <v>4513.7299999999996</v>
      </c>
      <c r="D77" s="340">
        <v>1</v>
      </c>
      <c r="E77" s="339">
        <v>1</v>
      </c>
      <c r="F77" s="338">
        <f t="shared" si="9"/>
        <v>6310.6459129999994</v>
      </c>
      <c r="G77" s="337">
        <f t="shared" si="10"/>
        <v>75727.750955999989</v>
      </c>
      <c r="H77" s="457">
        <f t="shared" si="11"/>
        <v>81746.05762266666</v>
      </c>
    </row>
    <row r="78" spans="1:8" x14ac:dyDescent="0.2">
      <c r="A78" s="208" t="s">
        <v>815</v>
      </c>
      <c r="B78" s="341" t="s">
        <v>818</v>
      </c>
      <c r="C78" s="459">
        <v>17875.55</v>
      </c>
      <c r="D78" s="340">
        <v>1</v>
      </c>
      <c r="E78" s="339">
        <v>0.6</v>
      </c>
      <c r="F78" s="338">
        <f t="shared" si="9"/>
        <v>14995.083872999998</v>
      </c>
      <c r="G78" s="337">
        <f t="shared" si="10"/>
        <v>179941.00647599998</v>
      </c>
      <c r="H78" s="457">
        <f t="shared" si="11"/>
        <v>203775.07314266666</v>
      </c>
    </row>
    <row r="79" spans="1:8" x14ac:dyDescent="0.2">
      <c r="A79" s="208" t="s">
        <v>815</v>
      </c>
      <c r="B79" s="341" t="s">
        <v>817</v>
      </c>
      <c r="C79" s="459">
        <v>7888.86</v>
      </c>
      <c r="D79" s="340">
        <v>1</v>
      </c>
      <c r="E79" s="339">
        <v>1</v>
      </c>
      <c r="F79" s="338">
        <f t="shared" si="9"/>
        <v>11029.415165999999</v>
      </c>
      <c r="G79" s="337">
        <f t="shared" si="10"/>
        <v>132352.98199199999</v>
      </c>
      <c r="H79" s="457">
        <f t="shared" si="11"/>
        <v>142871.461992</v>
      </c>
    </row>
    <row r="80" spans="1:8" x14ac:dyDescent="0.2">
      <c r="A80" s="208" t="s">
        <v>815</v>
      </c>
      <c r="B80" s="341" t="s">
        <v>816</v>
      </c>
      <c r="C80" s="521">
        <v>8965.5300000000007</v>
      </c>
      <c r="D80" s="340">
        <v>2</v>
      </c>
      <c r="E80" s="339">
        <v>1</v>
      </c>
      <c r="F80" s="338">
        <f t="shared" si="9"/>
        <v>25069.414986</v>
      </c>
      <c r="G80" s="337">
        <f t="shared" si="10"/>
        <v>300832.97983199998</v>
      </c>
      <c r="H80" s="457">
        <f t="shared" si="11"/>
        <v>312787.01983199996</v>
      </c>
    </row>
    <row r="81" spans="1:9" x14ac:dyDescent="0.2">
      <c r="A81" s="208" t="s">
        <v>815</v>
      </c>
      <c r="B81" s="341" t="s">
        <v>814</v>
      </c>
      <c r="C81" s="521">
        <v>3494.7</v>
      </c>
      <c r="D81" s="340">
        <v>2</v>
      </c>
      <c r="E81" s="339">
        <v>1</v>
      </c>
      <c r="F81" s="338">
        <f t="shared" si="9"/>
        <v>9771.8801399999993</v>
      </c>
      <c r="G81" s="337">
        <f t="shared" si="10"/>
        <v>117262.56167999998</v>
      </c>
      <c r="H81" s="457">
        <f t="shared" si="11"/>
        <v>121922.16167999999</v>
      </c>
    </row>
    <row r="82" spans="1:9" x14ac:dyDescent="0.2">
      <c r="F82" s="336" t="s">
        <v>140</v>
      </c>
      <c r="G82" s="335">
        <f>SUM(G6:G11,G13:G44,G46:G51,G53:G59,G61:G62,G64:G81)</f>
        <v>13384004.622674404</v>
      </c>
      <c r="H82" s="458">
        <f>SUM(H6:H11,H13:H44,H46:H51,H53:H59,H61:H62,H64:H81)</f>
        <v>14181785.329341061</v>
      </c>
      <c r="I82" s="452"/>
    </row>
    <row r="84" spans="1:9" x14ac:dyDescent="0.2">
      <c r="B84" s="719" t="s">
        <v>1403</v>
      </c>
      <c r="C84" s="719"/>
      <c r="D84" s="719"/>
      <c r="E84" s="719"/>
      <c r="F84" s="719"/>
      <c r="G84" s="719"/>
      <c r="H84" s="719"/>
      <c r="I84" s="719"/>
    </row>
    <row r="86" spans="1:9" x14ac:dyDescent="0.2">
      <c r="B86" s="719" t="s">
        <v>1433</v>
      </c>
      <c r="C86" s="719"/>
      <c r="D86" s="719"/>
      <c r="E86" s="719"/>
      <c r="F86" s="719"/>
      <c r="G86" s="719"/>
      <c r="H86" s="719"/>
    </row>
  </sheetData>
  <mergeCells count="13">
    <mergeCell ref="J4:K4"/>
    <mergeCell ref="B60:H60"/>
    <mergeCell ref="B63:H63"/>
    <mergeCell ref="H2:H4"/>
    <mergeCell ref="B5:H5"/>
    <mergeCell ref="B12:H12"/>
    <mergeCell ref="B45:H45"/>
    <mergeCell ref="B52:H52"/>
    <mergeCell ref="E2:E4"/>
    <mergeCell ref="F2:F4"/>
    <mergeCell ref="G2:G4"/>
    <mergeCell ref="B2:B4"/>
    <mergeCell ref="D2:D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5:M124"/>
  <sheetViews>
    <sheetView showGridLines="0" topLeftCell="A9" workbookViewId="0">
      <selection activeCell="L33" sqref="L33"/>
    </sheetView>
  </sheetViews>
  <sheetFormatPr defaultRowHeight="15" x14ac:dyDescent="0.25"/>
  <cols>
    <col min="3" max="3" width="40.7109375" customWidth="1"/>
    <col min="4" max="4" width="16" customWidth="1"/>
    <col min="6" max="6" width="15.140625" customWidth="1"/>
    <col min="9" max="9" width="41.5703125" customWidth="1"/>
    <col min="12" max="12" width="35" customWidth="1"/>
    <col min="13" max="13" width="37.42578125" customWidth="1"/>
    <col min="14" max="14" width="18.5703125" customWidth="1"/>
  </cols>
  <sheetData>
    <row r="5" spans="2:10" x14ac:dyDescent="0.25">
      <c r="B5" s="324"/>
      <c r="C5" s="357" t="s">
        <v>1269</v>
      </c>
      <c r="D5" s="357"/>
      <c r="E5" s="357"/>
      <c r="F5" s="324"/>
      <c r="G5" s="324"/>
      <c r="H5" s="324"/>
      <c r="I5" s="324"/>
    </row>
    <row r="8" spans="2:10" x14ac:dyDescent="0.25">
      <c r="B8" s="2" t="s">
        <v>1042</v>
      </c>
      <c r="C8" s="2"/>
      <c r="E8" s="357" t="s">
        <v>1041</v>
      </c>
      <c r="F8" s="357"/>
      <c r="H8" s="2" t="s">
        <v>1040</v>
      </c>
      <c r="I8" s="2"/>
      <c r="J8" s="2"/>
    </row>
    <row r="9" spans="2:10" ht="15.75" thickBot="1" x14ac:dyDescent="0.3"/>
    <row r="10" spans="2:10" x14ac:dyDescent="0.25">
      <c r="B10" s="356" t="s">
        <v>1039</v>
      </c>
      <c r="C10" s="460" t="s">
        <v>1038</v>
      </c>
      <c r="E10" s="355" t="s">
        <v>1039</v>
      </c>
      <c r="F10" s="354" t="s">
        <v>1038</v>
      </c>
      <c r="H10" s="355" t="s">
        <v>1039</v>
      </c>
      <c r="I10" s="354" t="s">
        <v>1038</v>
      </c>
    </row>
    <row r="11" spans="2:10" x14ac:dyDescent="0.25">
      <c r="B11" s="352" t="s">
        <v>1037</v>
      </c>
      <c r="C11" s="463">
        <v>7888.86</v>
      </c>
      <c r="E11" s="352" t="s">
        <v>1036</v>
      </c>
      <c r="F11" s="353">
        <v>3174.97</v>
      </c>
      <c r="H11" s="352" t="s">
        <v>1035</v>
      </c>
      <c r="I11" s="353">
        <v>1466.7</v>
      </c>
    </row>
    <row r="12" spans="2:10" x14ac:dyDescent="0.25">
      <c r="B12" s="352" t="s">
        <v>1034</v>
      </c>
      <c r="C12" s="463">
        <v>8145.18</v>
      </c>
      <c r="E12" s="352" t="s">
        <v>1033</v>
      </c>
      <c r="F12" s="353">
        <v>3278.17</v>
      </c>
      <c r="H12" s="352" t="s">
        <v>1032</v>
      </c>
      <c r="I12" s="353">
        <v>1514.34</v>
      </c>
    </row>
    <row r="13" spans="2:10" x14ac:dyDescent="0.25">
      <c r="B13" s="352" t="s">
        <v>1031</v>
      </c>
      <c r="C13" s="463">
        <v>8410.01</v>
      </c>
      <c r="E13" s="352" t="s">
        <v>1030</v>
      </c>
      <c r="F13" s="353">
        <v>3384.75</v>
      </c>
      <c r="H13" s="352" t="s">
        <v>1029</v>
      </c>
      <c r="I13" s="353">
        <v>1563.57</v>
      </c>
    </row>
    <row r="14" spans="2:10" x14ac:dyDescent="0.25">
      <c r="B14" s="352" t="s">
        <v>1028</v>
      </c>
      <c r="C14" s="463">
        <v>8683.31</v>
      </c>
      <c r="E14" s="352" t="s">
        <v>1027</v>
      </c>
      <c r="F14" s="353">
        <v>3494.7</v>
      </c>
      <c r="H14" s="352" t="s">
        <v>1026</v>
      </c>
      <c r="I14" s="353">
        <v>1614.36</v>
      </c>
    </row>
    <row r="15" spans="2:10" x14ac:dyDescent="0.25">
      <c r="B15" s="352" t="s">
        <v>1025</v>
      </c>
      <c r="C15" s="461">
        <v>8965.5300000000007</v>
      </c>
      <c r="E15" s="352" t="s">
        <v>1024</v>
      </c>
      <c r="F15" s="353">
        <v>3608.29</v>
      </c>
      <c r="H15" s="352" t="s">
        <v>1023</v>
      </c>
      <c r="I15" s="353">
        <v>1666.85</v>
      </c>
    </row>
    <row r="16" spans="2:10" x14ac:dyDescent="0.25">
      <c r="B16" s="352" t="s">
        <v>1022</v>
      </c>
      <c r="C16" s="463">
        <v>9256.94</v>
      </c>
      <c r="E16" s="352" t="s">
        <v>1021</v>
      </c>
      <c r="F16" s="353">
        <v>3725.56</v>
      </c>
      <c r="H16" s="352" t="s">
        <v>1020</v>
      </c>
      <c r="I16" s="353">
        <v>1721</v>
      </c>
    </row>
    <row r="17" spans="2:12" x14ac:dyDescent="0.25">
      <c r="B17" s="352" t="s">
        <v>1019</v>
      </c>
      <c r="C17" s="463">
        <v>9557.77</v>
      </c>
      <c r="E17" s="352" t="s">
        <v>1018</v>
      </c>
      <c r="F17" s="353">
        <v>3846.69</v>
      </c>
      <c r="H17" s="352" t="s">
        <v>1017</v>
      </c>
      <c r="I17" s="353">
        <v>1776.92</v>
      </c>
    </row>
    <row r="18" spans="2:12" x14ac:dyDescent="0.25">
      <c r="B18" s="352" t="s">
        <v>1016</v>
      </c>
      <c r="C18" s="463">
        <v>9868.4500000000007</v>
      </c>
      <c r="E18" s="352" t="s">
        <v>1015</v>
      </c>
      <c r="F18" s="353">
        <v>3971.65</v>
      </c>
      <c r="H18" s="352" t="s">
        <v>1014</v>
      </c>
      <c r="I18" s="353">
        <v>1834.69</v>
      </c>
      <c r="K18" s="17"/>
      <c r="L18" s="17"/>
    </row>
    <row r="19" spans="2:12" x14ac:dyDescent="0.25">
      <c r="B19" s="352" t="s">
        <v>1013</v>
      </c>
      <c r="C19" s="463">
        <v>10189.14</v>
      </c>
      <c r="E19" s="352" t="s">
        <v>1012</v>
      </c>
      <c r="F19" s="353">
        <v>4100.75</v>
      </c>
      <c r="H19" s="352" t="s">
        <v>1011</v>
      </c>
      <c r="I19" s="353">
        <v>1894.32</v>
      </c>
      <c r="K19" s="17"/>
      <c r="L19" s="17"/>
    </row>
    <row r="20" spans="2:12" x14ac:dyDescent="0.25">
      <c r="B20" s="352" t="s">
        <v>1010</v>
      </c>
      <c r="C20" s="463">
        <v>10520.27</v>
      </c>
      <c r="E20" s="352" t="s">
        <v>1009</v>
      </c>
      <c r="F20" s="353">
        <v>4234.03</v>
      </c>
      <c r="H20" s="352" t="s">
        <v>1008</v>
      </c>
      <c r="I20" s="353">
        <v>1955.9</v>
      </c>
      <c r="K20" s="17"/>
      <c r="L20" s="17"/>
    </row>
    <row r="21" spans="2:12" x14ac:dyDescent="0.25">
      <c r="B21" s="352" t="s">
        <v>1007</v>
      </c>
      <c r="C21" s="463">
        <v>10862.2</v>
      </c>
      <c r="E21" s="352" t="s">
        <v>1006</v>
      </c>
      <c r="F21" s="353">
        <v>4371.63</v>
      </c>
      <c r="H21" s="352" t="s">
        <v>1005</v>
      </c>
      <c r="I21" s="353">
        <v>2019.46</v>
      </c>
      <c r="K21" s="17"/>
      <c r="L21" s="17"/>
    </row>
    <row r="22" spans="2:12" x14ac:dyDescent="0.25">
      <c r="B22" s="352" t="s">
        <v>1004</v>
      </c>
      <c r="C22" s="463">
        <v>11215.18</v>
      </c>
      <c r="E22" s="352" t="s">
        <v>1003</v>
      </c>
      <c r="F22" s="353">
        <v>4513.7299999999996</v>
      </c>
      <c r="H22" s="352" t="s">
        <v>1002</v>
      </c>
      <c r="I22" s="353">
        <v>2085.09</v>
      </c>
      <c r="K22" s="17"/>
      <c r="L22" s="17"/>
    </row>
    <row r="23" spans="2:12" x14ac:dyDescent="0.25">
      <c r="B23" s="352" t="s">
        <v>1001</v>
      </c>
      <c r="C23" s="463">
        <v>11579.7</v>
      </c>
      <c r="E23" s="352" t="s">
        <v>1000</v>
      </c>
      <c r="F23" s="353">
        <v>4660.43</v>
      </c>
      <c r="H23" s="352" t="s">
        <v>999</v>
      </c>
      <c r="I23" s="353">
        <v>2152.88</v>
      </c>
      <c r="K23" s="17"/>
      <c r="L23" s="17"/>
    </row>
    <row r="24" spans="2:12" x14ac:dyDescent="0.25">
      <c r="B24" s="352" t="s">
        <v>998</v>
      </c>
      <c r="C24" s="463">
        <v>11956.02</v>
      </c>
      <c r="E24" s="352" t="s">
        <v>997</v>
      </c>
      <c r="F24" s="353">
        <v>4811.8500000000004</v>
      </c>
      <c r="H24" s="352" t="s">
        <v>996</v>
      </c>
      <c r="I24" s="353">
        <v>2222.83</v>
      </c>
      <c r="K24" s="17"/>
      <c r="L24" s="17"/>
    </row>
    <row r="25" spans="2:12" x14ac:dyDescent="0.25">
      <c r="B25" s="352" t="s">
        <v>995</v>
      </c>
      <c r="C25" s="463">
        <v>12344.55</v>
      </c>
      <c r="E25" s="352" t="s">
        <v>994</v>
      </c>
      <c r="F25" s="353">
        <v>4968.28</v>
      </c>
      <c r="H25" s="352" t="s">
        <v>993</v>
      </c>
      <c r="I25" s="353">
        <v>2295.08</v>
      </c>
      <c r="K25" s="17"/>
      <c r="L25" s="17"/>
    </row>
    <row r="26" spans="2:12" x14ac:dyDescent="0.25">
      <c r="B26" s="352" t="s">
        <v>992</v>
      </c>
      <c r="C26" s="463">
        <v>12745.78</v>
      </c>
      <c r="E26" s="352" t="s">
        <v>991</v>
      </c>
      <c r="F26" s="353">
        <v>5129.75</v>
      </c>
      <c r="H26" s="352" t="s">
        <v>990</v>
      </c>
      <c r="I26" s="353">
        <v>2369.67</v>
      </c>
      <c r="K26" s="17"/>
      <c r="L26" s="17"/>
    </row>
    <row r="27" spans="2:12" x14ac:dyDescent="0.25">
      <c r="B27" s="352" t="s">
        <v>989</v>
      </c>
      <c r="C27" s="463">
        <v>13160.04</v>
      </c>
      <c r="E27" s="352" t="s">
        <v>988</v>
      </c>
      <c r="F27" s="353">
        <v>5296.45</v>
      </c>
      <c r="H27" s="352" t="s">
        <v>987</v>
      </c>
      <c r="I27" s="353">
        <v>2446.6799999999998</v>
      </c>
      <c r="K27" s="17"/>
      <c r="L27" s="17"/>
    </row>
    <row r="28" spans="2:12" x14ac:dyDescent="0.25">
      <c r="B28" s="352" t="s">
        <v>986</v>
      </c>
      <c r="C28" s="463">
        <v>13587.71</v>
      </c>
      <c r="E28" s="352" t="s">
        <v>985</v>
      </c>
      <c r="F28" s="353">
        <v>5468.59</v>
      </c>
      <c r="H28" s="352" t="s">
        <v>984</v>
      </c>
      <c r="I28" s="353">
        <v>2526.17</v>
      </c>
      <c r="K28" s="17"/>
      <c r="L28" s="17"/>
    </row>
    <row r="29" spans="2:12" x14ac:dyDescent="0.25">
      <c r="B29" s="352" t="s">
        <v>983</v>
      </c>
      <c r="C29" s="463">
        <v>14029.33</v>
      </c>
      <c r="E29" s="352" t="s">
        <v>982</v>
      </c>
      <c r="F29" s="353">
        <v>5646.35</v>
      </c>
      <c r="H29" s="352" t="s">
        <v>981</v>
      </c>
      <c r="I29" s="353">
        <v>2608.2800000000002</v>
      </c>
      <c r="K29" s="17"/>
      <c r="L29" s="17"/>
    </row>
    <row r="30" spans="2:12" x14ac:dyDescent="0.25">
      <c r="B30" s="352" t="s">
        <v>980</v>
      </c>
      <c r="C30" s="463">
        <v>14485.29</v>
      </c>
      <c r="E30" s="352" t="s">
        <v>979</v>
      </c>
      <c r="F30" s="353">
        <v>5829.87</v>
      </c>
      <c r="H30" s="352" t="s">
        <v>978</v>
      </c>
      <c r="I30" s="353">
        <v>2693.05</v>
      </c>
    </row>
    <row r="31" spans="2:12" x14ac:dyDescent="0.25">
      <c r="B31" s="352" t="s">
        <v>977</v>
      </c>
      <c r="C31" s="463">
        <v>14956.05</v>
      </c>
      <c r="E31" s="352" t="s">
        <v>976</v>
      </c>
      <c r="F31" s="353">
        <v>6019.35</v>
      </c>
      <c r="H31" s="352" t="s">
        <v>975</v>
      </c>
      <c r="I31" s="353">
        <v>2780.58</v>
      </c>
    </row>
    <row r="32" spans="2:12" ht="15.75" thickBot="1" x14ac:dyDescent="0.3">
      <c r="B32" s="352" t="s">
        <v>974</v>
      </c>
      <c r="C32" s="463">
        <v>15442.12</v>
      </c>
      <c r="E32" s="352" t="s">
        <v>973</v>
      </c>
      <c r="F32" s="353">
        <v>6214.95</v>
      </c>
      <c r="H32" s="351" t="s">
        <v>972</v>
      </c>
      <c r="I32" s="464">
        <v>2870.95</v>
      </c>
    </row>
    <row r="33" spans="2:13" x14ac:dyDescent="0.25">
      <c r="B33" s="352" t="s">
        <v>971</v>
      </c>
      <c r="C33" s="463">
        <v>15944</v>
      </c>
      <c r="E33" s="352" t="s">
        <v>970</v>
      </c>
      <c r="F33" s="353">
        <v>6416.93</v>
      </c>
    </row>
    <row r="34" spans="2:13" x14ac:dyDescent="0.25">
      <c r="B34" s="352" t="s">
        <v>969</v>
      </c>
      <c r="C34" s="463">
        <v>16462.150000000001</v>
      </c>
      <c r="E34" s="352" t="s">
        <v>968</v>
      </c>
      <c r="F34" s="353">
        <v>6625.5</v>
      </c>
    </row>
    <row r="35" spans="2:13" x14ac:dyDescent="0.25">
      <c r="B35" s="352" t="s">
        <v>967</v>
      </c>
      <c r="C35" s="463">
        <v>16997.189999999999</v>
      </c>
      <c r="E35" s="352" t="s">
        <v>966</v>
      </c>
      <c r="F35" s="353">
        <v>6840.84</v>
      </c>
    </row>
    <row r="36" spans="2:13" x14ac:dyDescent="0.25">
      <c r="B36" s="352" t="s">
        <v>965</v>
      </c>
      <c r="C36" s="463">
        <v>17549.59</v>
      </c>
      <c r="E36" s="352" t="s">
        <v>964</v>
      </c>
      <c r="F36" s="353">
        <v>7063.14</v>
      </c>
    </row>
    <row r="37" spans="2:13" x14ac:dyDescent="0.25">
      <c r="B37" s="352" t="s">
        <v>963</v>
      </c>
      <c r="C37" s="463">
        <v>18119.97</v>
      </c>
      <c r="E37" s="352" t="s">
        <v>962</v>
      </c>
      <c r="F37" s="353">
        <v>7292.71</v>
      </c>
    </row>
    <row r="38" spans="2:13" ht="15.75" thickBot="1" x14ac:dyDescent="0.3">
      <c r="B38" s="351" t="s">
        <v>961</v>
      </c>
      <c r="C38" s="462">
        <v>18708.86</v>
      </c>
      <c r="E38" s="351" t="s">
        <v>960</v>
      </c>
      <c r="F38" s="464">
        <v>7529.72</v>
      </c>
    </row>
    <row r="39" spans="2:13" x14ac:dyDescent="0.25">
      <c r="B39" s="522" t="s">
        <v>1403</v>
      </c>
    </row>
    <row r="40" spans="2:13" x14ac:dyDescent="0.25">
      <c r="B40" t="s">
        <v>891</v>
      </c>
    </row>
    <row r="43" spans="2:13" ht="15.75" x14ac:dyDescent="0.25">
      <c r="B43" s="523"/>
      <c r="C43" s="524" t="s">
        <v>1271</v>
      </c>
      <c r="D43" s="524"/>
      <c r="E43" s="524"/>
      <c r="F43" s="523"/>
      <c r="G43" s="523"/>
      <c r="H43" s="523"/>
      <c r="I43" s="523"/>
      <c r="J43" s="523"/>
      <c r="K43" s="523"/>
      <c r="L43" s="523"/>
      <c r="M43" s="523"/>
    </row>
    <row r="44" spans="2:13" ht="15.75" x14ac:dyDescent="0.25">
      <c r="B44" s="52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</row>
    <row r="45" spans="2:13" ht="15.75" x14ac:dyDescent="0.25"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</row>
    <row r="46" spans="2:13" ht="16.5" thickBot="1" x14ac:dyDescent="0.3">
      <c r="B46" s="523"/>
      <c r="C46" s="523"/>
      <c r="D46" s="523"/>
      <c r="E46" s="523"/>
      <c r="F46" s="523"/>
      <c r="G46" s="523"/>
      <c r="H46" s="523"/>
      <c r="I46" s="523" t="s">
        <v>1388</v>
      </c>
      <c r="J46" s="523"/>
      <c r="K46" s="523"/>
      <c r="L46" s="523"/>
      <c r="M46" s="523"/>
    </row>
    <row r="47" spans="2:13" ht="16.5" thickBot="1" x14ac:dyDescent="0.3">
      <c r="B47" s="525" t="s">
        <v>890</v>
      </c>
      <c r="C47" s="526" t="s">
        <v>889</v>
      </c>
      <c r="D47" s="526" t="s">
        <v>888</v>
      </c>
      <c r="E47" s="526" t="s">
        <v>887</v>
      </c>
      <c r="F47" s="527" t="s">
        <v>886</v>
      </c>
      <c r="G47" s="523"/>
      <c r="H47" s="523"/>
      <c r="I47" s="1054" t="s">
        <v>7</v>
      </c>
      <c r="J47" s="1056" t="s">
        <v>38</v>
      </c>
      <c r="K47" s="1057"/>
      <c r="L47" s="1058" t="s">
        <v>959</v>
      </c>
      <c r="M47" s="1054" t="s">
        <v>958</v>
      </c>
    </row>
    <row r="48" spans="2:13" ht="16.5" thickBot="1" x14ac:dyDescent="0.3">
      <c r="B48" s="1060" t="s">
        <v>957</v>
      </c>
      <c r="C48" s="528" t="s">
        <v>908</v>
      </c>
      <c r="D48" s="529" t="s">
        <v>884</v>
      </c>
      <c r="E48" s="529">
        <v>2</v>
      </c>
      <c r="F48" s="1063">
        <v>22345.26</v>
      </c>
      <c r="G48" s="523"/>
      <c r="H48" s="523"/>
      <c r="I48" s="1055"/>
      <c r="J48" s="1056" t="s">
        <v>956</v>
      </c>
      <c r="K48" s="1057"/>
      <c r="L48" s="1059"/>
      <c r="M48" s="1055"/>
    </row>
    <row r="49" spans="2:13" ht="15.75" x14ac:dyDescent="0.25">
      <c r="B49" s="1061"/>
      <c r="C49" s="530" t="s">
        <v>907</v>
      </c>
      <c r="D49" s="531" t="s">
        <v>884</v>
      </c>
      <c r="E49" s="531">
        <v>1</v>
      </c>
      <c r="F49" s="1064"/>
      <c r="G49" s="523"/>
      <c r="H49" s="523"/>
      <c r="I49" s="532" t="s">
        <v>955</v>
      </c>
      <c r="J49" s="533">
        <v>1685</v>
      </c>
      <c r="K49" s="534"/>
      <c r="L49" s="535" t="s">
        <v>1166</v>
      </c>
      <c r="M49" s="532" t="s">
        <v>1387</v>
      </c>
    </row>
    <row r="50" spans="2:13" ht="16.5" thickBot="1" x14ac:dyDescent="0.3">
      <c r="B50" s="1062"/>
      <c r="C50" s="536" t="s">
        <v>906</v>
      </c>
      <c r="D50" s="537" t="s">
        <v>884</v>
      </c>
      <c r="E50" s="537">
        <v>8</v>
      </c>
      <c r="F50" s="1065"/>
      <c r="G50" s="523"/>
      <c r="H50" s="538"/>
      <c r="I50" s="532" t="s">
        <v>954</v>
      </c>
      <c r="J50" s="539">
        <v>410</v>
      </c>
      <c r="K50" s="534"/>
      <c r="L50" s="534">
        <v>516.72</v>
      </c>
      <c r="M50" s="532" t="s">
        <v>1387</v>
      </c>
    </row>
    <row r="51" spans="2:13" ht="16.5" thickBot="1" x14ac:dyDescent="0.3">
      <c r="B51" s="540" t="s">
        <v>953</v>
      </c>
      <c r="C51" s="541" t="s">
        <v>952</v>
      </c>
      <c r="D51" s="542" t="s">
        <v>884</v>
      </c>
      <c r="E51" s="542">
        <v>3</v>
      </c>
      <c r="F51" s="543">
        <v>20111.240000000002</v>
      </c>
      <c r="G51" s="523"/>
      <c r="H51" s="523"/>
      <c r="I51" s="532" t="s">
        <v>951</v>
      </c>
      <c r="J51" s="539">
        <v>20</v>
      </c>
      <c r="K51" s="534"/>
      <c r="L51" s="534">
        <v>200</v>
      </c>
      <c r="M51" s="532" t="s">
        <v>1387</v>
      </c>
    </row>
    <row r="52" spans="2:13" ht="15.75" x14ac:dyDescent="0.25">
      <c r="B52" s="1060" t="s">
        <v>950</v>
      </c>
      <c r="C52" s="528" t="s">
        <v>904</v>
      </c>
      <c r="D52" s="529" t="s">
        <v>901</v>
      </c>
      <c r="E52" s="529">
        <v>15</v>
      </c>
      <c r="F52" s="1063">
        <v>17875.55</v>
      </c>
      <c r="G52" s="523"/>
      <c r="H52" s="523"/>
      <c r="I52" s="532" t="s">
        <v>949</v>
      </c>
      <c r="J52" s="533">
        <v>1685</v>
      </c>
      <c r="K52" s="534"/>
      <c r="L52" s="534">
        <v>719.52</v>
      </c>
      <c r="M52" s="532" t="s">
        <v>1387</v>
      </c>
    </row>
    <row r="53" spans="2:13" ht="15.75" x14ac:dyDescent="0.25">
      <c r="B53" s="1061"/>
      <c r="C53" s="530" t="s">
        <v>903</v>
      </c>
      <c r="D53" s="531" t="s">
        <v>901</v>
      </c>
      <c r="E53" s="531">
        <v>12</v>
      </c>
      <c r="F53" s="1064"/>
      <c r="G53" s="523"/>
      <c r="H53" s="523"/>
      <c r="I53" s="532" t="s">
        <v>948</v>
      </c>
      <c r="J53" s="533">
        <v>5224</v>
      </c>
      <c r="K53" s="544"/>
      <c r="L53" s="534">
        <v>157.44999999999999</v>
      </c>
      <c r="M53" s="532" t="s">
        <v>1389</v>
      </c>
    </row>
    <row r="54" spans="2:13" ht="16.5" thickBot="1" x14ac:dyDescent="0.3">
      <c r="B54" s="1061"/>
      <c r="C54" s="530" t="s">
        <v>902</v>
      </c>
      <c r="D54" s="531" t="s">
        <v>901</v>
      </c>
      <c r="E54" s="531">
        <v>4</v>
      </c>
      <c r="F54" s="1064"/>
      <c r="G54" s="523"/>
      <c r="H54" s="523"/>
      <c r="I54" s="532"/>
      <c r="J54" s="539"/>
      <c r="K54" s="534"/>
      <c r="L54" s="534"/>
      <c r="M54" s="532"/>
    </row>
    <row r="55" spans="2:13" ht="16.5" thickBot="1" x14ac:dyDescent="0.3">
      <c r="B55" s="1061"/>
      <c r="C55" s="530" t="s">
        <v>900</v>
      </c>
      <c r="D55" s="531" t="s">
        <v>884</v>
      </c>
      <c r="E55" s="531">
        <v>1</v>
      </c>
      <c r="F55" s="1064"/>
      <c r="G55" s="523"/>
      <c r="H55" s="523"/>
      <c r="I55" s="545"/>
      <c r="J55" s="1066"/>
      <c r="K55" s="1067"/>
      <c r="L55" s="546"/>
      <c r="M55" s="547"/>
    </row>
    <row r="56" spans="2:13" ht="15.75" x14ac:dyDescent="0.25">
      <c r="B56" s="1061"/>
      <c r="C56" s="530" t="s">
        <v>899</v>
      </c>
      <c r="D56" s="531" t="s">
        <v>1165</v>
      </c>
      <c r="E56" s="531">
        <v>1</v>
      </c>
      <c r="F56" s="1064"/>
      <c r="G56" s="523"/>
      <c r="H56" s="523"/>
      <c r="I56" s="548"/>
      <c r="J56" s="549"/>
      <c r="K56" s="549"/>
      <c r="L56" s="538"/>
      <c r="M56" s="538"/>
    </row>
    <row r="57" spans="2:13" ht="15.75" x14ac:dyDescent="0.25">
      <c r="B57" s="1061"/>
      <c r="C57" s="530" t="s">
        <v>898</v>
      </c>
      <c r="D57" s="531" t="s">
        <v>884</v>
      </c>
      <c r="E57" s="531">
        <v>3</v>
      </c>
      <c r="F57" s="1064"/>
      <c r="G57" s="523"/>
      <c r="H57" s="523"/>
      <c r="I57" s="550" t="s">
        <v>891</v>
      </c>
      <c r="J57" s="523"/>
      <c r="K57" s="523"/>
      <c r="L57" s="523"/>
      <c r="M57" s="523"/>
    </row>
    <row r="58" spans="2:13" ht="15.75" x14ac:dyDescent="0.25">
      <c r="B58" s="1061"/>
      <c r="C58" s="530" t="s">
        <v>1164</v>
      </c>
      <c r="D58" s="531" t="s">
        <v>884</v>
      </c>
      <c r="E58" s="531">
        <v>2</v>
      </c>
      <c r="F58" s="1064"/>
      <c r="G58" s="523"/>
      <c r="H58" s="523"/>
      <c r="I58" s="550"/>
      <c r="J58" s="523"/>
      <c r="K58" s="523"/>
      <c r="L58" s="523"/>
      <c r="M58" s="523"/>
    </row>
    <row r="59" spans="2:13" ht="15.75" x14ac:dyDescent="0.25">
      <c r="B59" s="1061"/>
      <c r="C59" s="530" t="s">
        <v>947</v>
      </c>
      <c r="D59" s="531" t="s">
        <v>884</v>
      </c>
      <c r="E59" s="531">
        <v>18</v>
      </c>
      <c r="F59" s="1064"/>
      <c r="G59" s="523"/>
      <c r="H59" s="523"/>
      <c r="I59" s="550"/>
      <c r="J59" s="523"/>
      <c r="K59" s="523"/>
      <c r="L59" s="523"/>
      <c r="M59" s="523"/>
    </row>
    <row r="60" spans="2:13" ht="16.5" thickBot="1" x14ac:dyDescent="0.3">
      <c r="B60" s="1061"/>
      <c r="C60" s="530" t="s">
        <v>1163</v>
      </c>
      <c r="D60" s="531" t="s">
        <v>884</v>
      </c>
      <c r="E60" s="531">
        <v>8</v>
      </c>
      <c r="F60" s="1064"/>
      <c r="G60" s="523"/>
      <c r="H60" s="523"/>
      <c r="I60" s="523" t="s">
        <v>1390</v>
      </c>
      <c r="J60" s="523"/>
      <c r="K60" s="523"/>
      <c r="L60" s="523"/>
      <c r="M60" s="523"/>
    </row>
    <row r="61" spans="2:13" ht="15.75" x14ac:dyDescent="0.25">
      <c r="B61" s="1060" t="s">
        <v>946</v>
      </c>
      <c r="C61" s="528" t="s">
        <v>945</v>
      </c>
      <c r="D61" s="529" t="s">
        <v>884</v>
      </c>
      <c r="E61" s="529">
        <v>41</v>
      </c>
      <c r="F61" s="1063">
        <v>14078.03</v>
      </c>
      <c r="G61" s="523"/>
      <c r="H61" s="523"/>
      <c r="I61" s="523"/>
      <c r="J61" s="523"/>
      <c r="K61" s="523"/>
      <c r="L61" s="523"/>
      <c r="M61" s="523"/>
    </row>
    <row r="62" spans="2:13" ht="15.75" x14ac:dyDescent="0.25">
      <c r="B62" s="1061"/>
      <c r="C62" s="530" t="s">
        <v>944</v>
      </c>
      <c r="D62" s="531" t="s">
        <v>901</v>
      </c>
      <c r="E62" s="531">
        <v>1</v>
      </c>
      <c r="F62" s="1064"/>
      <c r="G62" s="523"/>
      <c r="H62" s="523"/>
      <c r="I62" s="523"/>
      <c r="J62" s="523"/>
      <c r="K62" s="523"/>
      <c r="L62" s="523"/>
      <c r="M62" s="523"/>
    </row>
    <row r="63" spans="2:13" ht="15.75" x14ac:dyDescent="0.25">
      <c r="B63" s="1061"/>
      <c r="C63" s="530" t="s">
        <v>943</v>
      </c>
      <c r="D63" s="531" t="s">
        <v>884</v>
      </c>
      <c r="E63" s="531">
        <v>3</v>
      </c>
      <c r="F63" s="1064"/>
      <c r="G63" s="523"/>
      <c r="H63" s="523"/>
      <c r="I63" s="523"/>
      <c r="J63" s="523"/>
      <c r="K63" s="523"/>
      <c r="L63" s="523"/>
      <c r="M63" s="523"/>
    </row>
    <row r="64" spans="2:13" ht="15.75" x14ac:dyDescent="0.25">
      <c r="B64" s="1061"/>
      <c r="C64" s="530" t="s">
        <v>942</v>
      </c>
      <c r="D64" s="531" t="s">
        <v>901</v>
      </c>
      <c r="E64" s="531">
        <v>8</v>
      </c>
      <c r="F64" s="1064"/>
      <c r="G64" s="523"/>
      <c r="H64" s="523"/>
      <c r="I64" s="1068"/>
      <c r="J64" s="1068"/>
      <c r="K64" s="523"/>
      <c r="L64" s="523"/>
      <c r="M64" s="523"/>
    </row>
    <row r="65" spans="2:13" ht="15.75" x14ac:dyDescent="0.25">
      <c r="B65" s="1061"/>
      <c r="C65" s="530" t="s">
        <v>941</v>
      </c>
      <c r="D65" s="531" t="s">
        <v>884</v>
      </c>
      <c r="E65" s="531">
        <v>16</v>
      </c>
      <c r="F65" s="1064"/>
      <c r="G65" s="523"/>
      <c r="H65" s="523"/>
      <c r="I65" s="538"/>
      <c r="J65" s="551"/>
      <c r="K65" s="523"/>
      <c r="L65" s="523"/>
      <c r="M65" s="523"/>
    </row>
    <row r="66" spans="2:13" ht="15.75" x14ac:dyDescent="0.25">
      <c r="B66" s="1061"/>
      <c r="C66" s="530" t="s">
        <v>940</v>
      </c>
      <c r="D66" s="531" t="s">
        <v>884</v>
      </c>
      <c r="E66" s="531">
        <v>8</v>
      </c>
      <c r="F66" s="1064"/>
      <c r="G66" s="523"/>
      <c r="H66" s="523"/>
      <c r="I66" s="538"/>
      <c r="J66" s="551"/>
      <c r="K66" s="523"/>
      <c r="L66" s="523"/>
      <c r="M66" s="523"/>
    </row>
    <row r="67" spans="2:13" ht="16.5" thickBot="1" x14ac:dyDescent="0.3">
      <c r="B67" s="1061"/>
      <c r="C67" s="536" t="s">
        <v>939</v>
      </c>
      <c r="D67" s="537" t="s">
        <v>884</v>
      </c>
      <c r="E67" s="537">
        <v>40</v>
      </c>
      <c r="F67" s="1064"/>
      <c r="G67" s="523"/>
      <c r="H67" s="523"/>
      <c r="I67" s="538"/>
      <c r="J67" s="551"/>
      <c r="K67" s="523"/>
      <c r="L67" s="523"/>
      <c r="M67" s="523"/>
    </row>
    <row r="68" spans="2:13" ht="16.5" thickBot="1" x14ac:dyDescent="0.3">
      <c r="B68" s="1062"/>
      <c r="C68" s="536" t="s">
        <v>1272</v>
      </c>
      <c r="D68" s="537" t="s">
        <v>884</v>
      </c>
      <c r="E68" s="537">
        <v>1</v>
      </c>
      <c r="F68" s="1065"/>
      <c r="G68" s="523"/>
      <c r="H68" s="523"/>
      <c r="I68" s="538"/>
      <c r="J68" s="551"/>
      <c r="K68" s="523"/>
      <c r="L68" s="523"/>
      <c r="M68" s="523"/>
    </row>
    <row r="69" spans="2:13" ht="15.75" x14ac:dyDescent="0.25">
      <c r="B69" s="1060" t="s">
        <v>938</v>
      </c>
      <c r="C69" s="528" t="s">
        <v>937</v>
      </c>
      <c r="D69" s="529" t="s">
        <v>884</v>
      </c>
      <c r="E69" s="529">
        <v>128</v>
      </c>
      <c r="F69" s="1063">
        <v>11173.46</v>
      </c>
      <c r="G69" s="523"/>
      <c r="H69" s="523"/>
      <c r="I69" s="550"/>
      <c r="J69" s="538"/>
      <c r="K69" s="523"/>
      <c r="L69" s="523"/>
      <c r="M69" s="523"/>
    </row>
    <row r="70" spans="2:13" ht="15.75" x14ac:dyDescent="0.25">
      <c r="B70" s="1061"/>
      <c r="C70" s="530" t="s">
        <v>936</v>
      </c>
      <c r="D70" s="531" t="s">
        <v>884</v>
      </c>
      <c r="E70" s="531">
        <v>14</v>
      </c>
      <c r="F70" s="1064"/>
      <c r="G70" s="523"/>
      <c r="H70" s="523"/>
      <c r="I70" s="538"/>
      <c r="J70" s="538"/>
      <c r="K70" s="523"/>
      <c r="L70" s="523"/>
      <c r="M70" s="523"/>
    </row>
    <row r="71" spans="2:13" ht="16.5" thickBot="1" x14ac:dyDescent="0.3">
      <c r="B71" s="1062"/>
      <c r="C71" s="536" t="s">
        <v>935</v>
      </c>
      <c r="D71" s="537" t="s">
        <v>884</v>
      </c>
      <c r="E71" s="537">
        <v>9</v>
      </c>
      <c r="F71" s="1065"/>
      <c r="G71" s="523"/>
      <c r="H71" s="523"/>
      <c r="I71" s="538"/>
      <c r="J71" s="538"/>
      <c r="K71" s="523"/>
      <c r="L71" s="523"/>
      <c r="M71" s="523"/>
    </row>
    <row r="72" spans="2:13" ht="15.75" x14ac:dyDescent="0.25">
      <c r="B72" s="1060" t="s">
        <v>934</v>
      </c>
      <c r="C72" s="528" t="s">
        <v>933</v>
      </c>
      <c r="D72" s="529" t="s">
        <v>884</v>
      </c>
      <c r="E72" s="529">
        <v>8</v>
      </c>
      <c r="F72" s="1063">
        <v>6257.26</v>
      </c>
      <c r="G72" s="523"/>
      <c r="H72" s="523"/>
      <c r="I72" s="552"/>
      <c r="J72" s="552"/>
      <c r="K72" s="524"/>
      <c r="L72" s="524"/>
      <c r="M72" s="523"/>
    </row>
    <row r="73" spans="2:13" ht="15.75" x14ac:dyDescent="0.25">
      <c r="B73" s="1061"/>
      <c r="C73" s="530" t="s">
        <v>897</v>
      </c>
      <c r="D73" s="531" t="s">
        <v>892</v>
      </c>
      <c r="E73" s="531">
        <v>2</v>
      </c>
      <c r="F73" s="1064"/>
      <c r="G73" s="523"/>
      <c r="H73" s="523"/>
      <c r="I73" s="552"/>
      <c r="J73" s="552"/>
      <c r="K73" s="524"/>
      <c r="L73" s="524"/>
      <c r="M73" s="523"/>
    </row>
    <row r="74" spans="2:13" ht="16.5" thickBot="1" x14ac:dyDescent="0.3">
      <c r="B74" s="1061"/>
      <c r="C74" s="530" t="s">
        <v>896</v>
      </c>
      <c r="D74" s="531" t="s">
        <v>892</v>
      </c>
      <c r="E74" s="531">
        <v>6</v>
      </c>
      <c r="F74" s="1064"/>
      <c r="G74" s="523"/>
      <c r="H74" s="523"/>
      <c r="I74" s="538"/>
      <c r="J74" s="538"/>
      <c r="K74" s="523"/>
      <c r="L74" s="523"/>
      <c r="M74" s="523"/>
    </row>
    <row r="75" spans="2:13" ht="15.75" x14ac:dyDescent="0.25">
      <c r="B75" s="1069" t="s">
        <v>932</v>
      </c>
      <c r="C75" s="528" t="s">
        <v>894</v>
      </c>
      <c r="D75" s="528" t="s">
        <v>892</v>
      </c>
      <c r="E75" s="529">
        <v>4</v>
      </c>
      <c r="F75" s="1063">
        <v>5586.72</v>
      </c>
      <c r="G75" s="523"/>
      <c r="H75" s="523"/>
      <c r="I75" s="538"/>
      <c r="J75" s="551"/>
      <c r="K75" s="523"/>
      <c r="L75" s="523"/>
      <c r="M75" s="523"/>
    </row>
    <row r="76" spans="2:13" ht="15.75" x14ac:dyDescent="0.25">
      <c r="B76" s="1070"/>
      <c r="C76" s="530" t="s">
        <v>893</v>
      </c>
      <c r="D76" s="530" t="s">
        <v>892</v>
      </c>
      <c r="E76" s="531">
        <v>2</v>
      </c>
      <c r="F76" s="1064"/>
      <c r="G76" s="523"/>
      <c r="H76" s="523"/>
      <c r="I76" s="538"/>
      <c r="J76" s="551"/>
      <c r="K76" s="523"/>
      <c r="L76" s="523"/>
      <c r="M76" s="523"/>
    </row>
    <row r="77" spans="2:13" ht="16.5" thickBot="1" x14ac:dyDescent="0.3">
      <c r="B77" s="1071"/>
      <c r="C77" s="536" t="s">
        <v>931</v>
      </c>
      <c r="D77" s="536" t="s">
        <v>892</v>
      </c>
      <c r="E77" s="537">
        <v>8</v>
      </c>
      <c r="F77" s="1065"/>
      <c r="G77" s="523"/>
      <c r="H77" s="523"/>
      <c r="I77" s="538"/>
      <c r="J77" s="551"/>
      <c r="K77" s="523"/>
      <c r="L77" s="523"/>
      <c r="M77" s="523"/>
    </row>
    <row r="78" spans="2:13" ht="15.75" x14ac:dyDescent="0.25">
      <c r="B78" s="550" t="s">
        <v>1404</v>
      </c>
      <c r="C78" s="523"/>
      <c r="D78" s="523"/>
      <c r="E78" s="523"/>
      <c r="F78" s="523"/>
      <c r="G78" s="523"/>
      <c r="H78" s="523"/>
      <c r="I78" s="523"/>
      <c r="J78" s="523"/>
      <c r="K78" s="523"/>
      <c r="L78" s="523"/>
      <c r="M78" s="523"/>
    </row>
    <row r="79" spans="2:13" ht="15.75" x14ac:dyDescent="0.25">
      <c r="B79" s="523" t="s">
        <v>891</v>
      </c>
      <c r="C79" s="523"/>
      <c r="D79" s="523"/>
      <c r="E79" s="523"/>
      <c r="F79" s="523"/>
      <c r="G79" s="523"/>
      <c r="H79" s="523"/>
      <c r="I79" s="523"/>
      <c r="J79" s="523"/>
      <c r="K79" s="523"/>
      <c r="L79" s="523"/>
      <c r="M79" s="523"/>
    </row>
    <row r="80" spans="2:13" ht="15.75" x14ac:dyDescent="0.25"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</row>
    <row r="81" spans="2:13" ht="15.75" x14ac:dyDescent="0.25">
      <c r="B81" s="523"/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3"/>
    </row>
    <row r="82" spans="2:13" ht="15.75" x14ac:dyDescent="0.25">
      <c r="B82" s="523"/>
      <c r="C82" s="524" t="s">
        <v>930</v>
      </c>
      <c r="D82" s="523"/>
      <c r="E82" s="523"/>
      <c r="F82" s="523"/>
      <c r="G82" s="523"/>
      <c r="H82" s="523"/>
      <c r="I82" s="523"/>
      <c r="J82" s="523"/>
      <c r="K82" s="523"/>
      <c r="L82" s="523"/>
      <c r="M82" s="523"/>
    </row>
    <row r="83" spans="2:13" ht="16.5" thickBot="1" x14ac:dyDescent="0.3">
      <c r="B83" s="523"/>
      <c r="C83" s="523"/>
      <c r="D83" s="523"/>
      <c r="E83" s="523"/>
      <c r="F83" s="523"/>
      <c r="G83" s="523"/>
      <c r="H83" s="523"/>
      <c r="I83" s="523"/>
      <c r="J83" s="523"/>
      <c r="K83" s="523"/>
      <c r="L83" s="523"/>
      <c r="M83" s="523"/>
    </row>
    <row r="84" spans="2:13" ht="16.5" thickBot="1" x14ac:dyDescent="0.3">
      <c r="B84" s="545" t="s">
        <v>890</v>
      </c>
      <c r="C84" s="553" t="s">
        <v>889</v>
      </c>
      <c r="D84" s="526" t="s">
        <v>888</v>
      </c>
      <c r="E84" s="554" t="s">
        <v>887</v>
      </c>
      <c r="F84" s="545" t="s">
        <v>886</v>
      </c>
      <c r="G84" s="523"/>
      <c r="H84" s="523"/>
      <c r="I84" s="523"/>
      <c r="J84" s="523"/>
      <c r="K84" s="523"/>
      <c r="L84" s="523"/>
      <c r="M84" s="523"/>
    </row>
    <row r="85" spans="2:13" ht="15.75" x14ac:dyDescent="0.25">
      <c r="B85" s="555" t="s">
        <v>929</v>
      </c>
      <c r="C85" s="528" t="s">
        <v>928</v>
      </c>
      <c r="D85" s="529" t="s">
        <v>926</v>
      </c>
      <c r="E85" s="529">
        <v>25</v>
      </c>
      <c r="F85" s="1064">
        <v>3777.03</v>
      </c>
      <c r="G85" s="523"/>
      <c r="H85" s="523"/>
      <c r="I85" s="523"/>
      <c r="J85" s="523"/>
      <c r="K85" s="523"/>
      <c r="L85" s="523"/>
      <c r="M85" s="523"/>
    </row>
    <row r="86" spans="2:13" ht="15.75" x14ac:dyDescent="0.25">
      <c r="B86" s="556"/>
      <c r="C86" s="530" t="s">
        <v>927</v>
      </c>
      <c r="D86" s="531" t="s">
        <v>926</v>
      </c>
      <c r="E86" s="531">
        <v>25</v>
      </c>
      <c r="F86" s="1072"/>
      <c r="G86" s="523"/>
      <c r="H86" s="523"/>
      <c r="I86" s="523"/>
      <c r="J86" s="523"/>
      <c r="K86" s="523"/>
      <c r="L86" s="523"/>
      <c r="M86" s="523"/>
    </row>
    <row r="87" spans="2:13" ht="16.5" thickBot="1" x14ac:dyDescent="0.3">
      <c r="B87" s="557" t="s">
        <v>925</v>
      </c>
      <c r="C87" s="536" t="s">
        <v>924</v>
      </c>
      <c r="D87" s="537" t="s">
        <v>915</v>
      </c>
      <c r="E87" s="537">
        <v>29</v>
      </c>
      <c r="F87" s="558">
        <v>3777.03</v>
      </c>
      <c r="G87" s="523"/>
      <c r="H87" s="523"/>
      <c r="I87" s="523"/>
      <c r="J87" s="523"/>
      <c r="K87" s="523"/>
      <c r="L87" s="523"/>
      <c r="M87" s="523"/>
    </row>
    <row r="88" spans="2:13" ht="16.5" thickBot="1" x14ac:dyDescent="0.3">
      <c r="B88" s="559" t="s">
        <v>923</v>
      </c>
      <c r="C88" s="541" t="s">
        <v>922</v>
      </c>
      <c r="D88" s="537" t="s">
        <v>915</v>
      </c>
      <c r="E88" s="542">
        <v>11</v>
      </c>
      <c r="F88" s="543">
        <v>4290.1400000000003</v>
      </c>
      <c r="G88" s="523"/>
      <c r="H88" s="523"/>
      <c r="I88" s="523"/>
      <c r="J88" s="523"/>
      <c r="K88" s="523"/>
      <c r="L88" s="523"/>
      <c r="M88" s="523"/>
    </row>
    <row r="89" spans="2:13" ht="16.5" thickBot="1" x14ac:dyDescent="0.3">
      <c r="B89" s="560" t="s">
        <v>921</v>
      </c>
      <c r="C89" s="561" t="s">
        <v>920</v>
      </c>
      <c r="D89" s="537" t="s">
        <v>915</v>
      </c>
      <c r="E89" s="562">
        <v>34</v>
      </c>
      <c r="F89" s="563">
        <v>3575.09</v>
      </c>
      <c r="G89" s="523"/>
      <c r="H89" s="523"/>
      <c r="I89" s="523"/>
      <c r="J89" s="523"/>
      <c r="K89" s="523"/>
      <c r="L89" s="523"/>
      <c r="M89" s="523"/>
    </row>
    <row r="90" spans="2:13" ht="15.75" x14ac:dyDescent="0.25">
      <c r="B90" s="1073" t="s">
        <v>919</v>
      </c>
      <c r="C90" s="528" t="s">
        <v>918</v>
      </c>
      <c r="D90" s="529" t="s">
        <v>915</v>
      </c>
      <c r="E90" s="529">
        <v>15</v>
      </c>
      <c r="F90" s="1063">
        <v>1787.55</v>
      </c>
      <c r="G90" s="523"/>
      <c r="H90" s="523"/>
      <c r="I90" s="523"/>
      <c r="J90" s="523"/>
      <c r="K90" s="523"/>
      <c r="L90" s="523"/>
      <c r="M90" s="523"/>
    </row>
    <row r="91" spans="2:13" ht="15.75" x14ac:dyDescent="0.25">
      <c r="B91" s="1074"/>
      <c r="C91" s="530" t="s">
        <v>917</v>
      </c>
      <c r="D91" s="531" t="s">
        <v>915</v>
      </c>
      <c r="E91" s="531">
        <v>12</v>
      </c>
      <c r="F91" s="1064"/>
      <c r="G91" s="523"/>
      <c r="H91" s="523"/>
      <c r="I91" s="523"/>
      <c r="J91" s="523"/>
      <c r="K91" s="523"/>
      <c r="L91" s="523"/>
      <c r="M91" s="523"/>
    </row>
    <row r="92" spans="2:13" ht="16.5" thickBot="1" x14ac:dyDescent="0.3">
      <c r="B92" s="1075"/>
      <c r="C92" s="536" t="s">
        <v>916</v>
      </c>
      <c r="D92" s="537" t="s">
        <v>915</v>
      </c>
      <c r="E92" s="537">
        <v>24</v>
      </c>
      <c r="F92" s="1065"/>
      <c r="G92" s="523"/>
      <c r="H92" s="523"/>
      <c r="I92" s="523"/>
      <c r="J92" s="523"/>
      <c r="K92" s="523"/>
      <c r="L92" s="523"/>
      <c r="M92" s="523"/>
    </row>
    <row r="93" spans="2:13" ht="16.5" thickBot="1" x14ac:dyDescent="0.3">
      <c r="B93" s="564" t="s">
        <v>914</v>
      </c>
      <c r="C93" s="541" t="s">
        <v>913</v>
      </c>
      <c r="D93" s="542" t="s">
        <v>910</v>
      </c>
      <c r="E93" s="542">
        <v>80</v>
      </c>
      <c r="F93" s="565">
        <v>1510.77</v>
      </c>
      <c r="G93" s="523"/>
      <c r="H93" s="523"/>
      <c r="I93" s="523"/>
      <c r="J93" s="523"/>
      <c r="K93" s="523"/>
      <c r="L93" s="523"/>
      <c r="M93" s="523"/>
    </row>
    <row r="94" spans="2:13" ht="15.75" x14ac:dyDescent="0.25">
      <c r="B94" s="1060" t="s">
        <v>912</v>
      </c>
      <c r="C94" s="528" t="s">
        <v>911</v>
      </c>
      <c r="D94" s="529" t="s">
        <v>910</v>
      </c>
      <c r="E94" s="529">
        <v>38</v>
      </c>
      <c r="F94" s="1063">
        <v>894.6</v>
      </c>
      <c r="G94" s="523"/>
      <c r="H94" s="523"/>
      <c r="I94" s="523"/>
      <c r="J94" s="523"/>
      <c r="K94" s="523"/>
      <c r="L94" s="523"/>
      <c r="M94" s="523"/>
    </row>
    <row r="95" spans="2:13" ht="16.5" thickBot="1" x14ac:dyDescent="0.3">
      <c r="B95" s="1062"/>
      <c r="C95" s="536" t="s">
        <v>910</v>
      </c>
      <c r="D95" s="537" t="s">
        <v>910</v>
      </c>
      <c r="E95" s="537">
        <v>12</v>
      </c>
      <c r="F95" s="1065"/>
      <c r="G95" s="523"/>
      <c r="H95" s="523"/>
      <c r="I95" s="523"/>
      <c r="J95" s="523"/>
      <c r="K95" s="523"/>
      <c r="L95" s="523"/>
      <c r="M95" s="523"/>
    </row>
    <row r="96" spans="2:13" ht="15.75" x14ac:dyDescent="0.25">
      <c r="B96" s="550" t="s">
        <v>1405</v>
      </c>
      <c r="C96" s="523"/>
      <c r="D96" s="523"/>
      <c r="E96" s="523"/>
      <c r="F96" s="523"/>
      <c r="G96" s="523"/>
      <c r="H96" s="523"/>
      <c r="I96" s="523"/>
      <c r="J96" s="523"/>
      <c r="K96" s="523"/>
      <c r="L96" s="523"/>
      <c r="M96" s="523"/>
    </row>
    <row r="97" spans="2:13" ht="15.75" x14ac:dyDescent="0.25">
      <c r="B97" s="523" t="s">
        <v>891</v>
      </c>
      <c r="C97" s="523"/>
      <c r="D97" s="523"/>
      <c r="E97" s="523"/>
      <c r="F97" s="523"/>
      <c r="G97" s="523"/>
      <c r="H97" s="523"/>
      <c r="I97" s="523"/>
      <c r="J97" s="523"/>
      <c r="K97" s="523"/>
      <c r="L97" s="523"/>
      <c r="M97" s="523"/>
    </row>
    <row r="98" spans="2:13" ht="15.75" x14ac:dyDescent="0.25">
      <c r="B98" s="523"/>
      <c r="C98" s="523"/>
      <c r="D98" s="523"/>
      <c r="E98" s="523"/>
      <c r="F98" s="523"/>
      <c r="G98" s="523"/>
      <c r="H98" s="523"/>
      <c r="I98" s="523"/>
      <c r="J98" s="523"/>
      <c r="K98" s="523"/>
      <c r="L98" s="523"/>
      <c r="M98" s="523"/>
    </row>
    <row r="99" spans="2:13" ht="15.75" x14ac:dyDescent="0.25">
      <c r="B99" s="523"/>
      <c r="C99" s="523"/>
      <c r="D99" s="523"/>
      <c r="E99" s="523"/>
      <c r="F99" s="523"/>
      <c r="G99" s="523"/>
      <c r="H99" s="523"/>
      <c r="I99" s="523"/>
      <c r="J99" s="523"/>
      <c r="K99" s="523"/>
      <c r="L99" s="523"/>
      <c r="M99" s="523"/>
    </row>
    <row r="100" spans="2:13" ht="15.75" x14ac:dyDescent="0.25">
      <c r="B100" s="523"/>
      <c r="C100" s="524" t="s">
        <v>1273</v>
      </c>
      <c r="D100" s="523"/>
      <c r="E100" s="523"/>
      <c r="F100" s="523"/>
      <c r="G100" s="523"/>
      <c r="H100" s="523"/>
      <c r="I100" s="523"/>
      <c r="J100" s="523"/>
      <c r="K100" s="523"/>
      <c r="L100" s="523"/>
      <c r="M100" s="523"/>
    </row>
    <row r="101" spans="2:13" ht="16.5" thickBot="1" x14ac:dyDescent="0.3">
      <c r="B101" s="523"/>
      <c r="C101" s="523"/>
      <c r="D101" s="523"/>
      <c r="E101" s="523"/>
      <c r="F101" s="523"/>
      <c r="G101" s="523"/>
      <c r="H101" s="523"/>
      <c r="I101" s="523"/>
      <c r="J101" s="523"/>
      <c r="K101" s="523"/>
      <c r="L101" s="523"/>
      <c r="M101" s="523"/>
    </row>
    <row r="102" spans="2:13" ht="16.5" thickBot="1" x14ac:dyDescent="0.3">
      <c r="B102" s="525" t="s">
        <v>890</v>
      </c>
      <c r="C102" s="526" t="s">
        <v>889</v>
      </c>
      <c r="D102" s="526" t="s">
        <v>888</v>
      </c>
      <c r="E102" s="526" t="s">
        <v>887</v>
      </c>
      <c r="F102" s="527" t="s">
        <v>886</v>
      </c>
      <c r="G102" s="523"/>
      <c r="H102" s="523"/>
      <c r="I102" s="523"/>
      <c r="J102" s="523"/>
      <c r="K102" s="523"/>
      <c r="L102" s="523"/>
      <c r="M102" s="523"/>
    </row>
    <row r="103" spans="2:13" ht="15.75" x14ac:dyDescent="0.25">
      <c r="B103" s="1060" t="s">
        <v>909</v>
      </c>
      <c r="C103" s="528" t="s">
        <v>908</v>
      </c>
      <c r="D103" s="529" t="s">
        <v>884</v>
      </c>
      <c r="E103" s="529">
        <v>1</v>
      </c>
      <c r="F103" s="1063">
        <v>22345.26</v>
      </c>
      <c r="G103" s="523"/>
      <c r="H103" s="523"/>
      <c r="I103" s="523"/>
      <c r="J103" s="523"/>
      <c r="K103" s="523"/>
      <c r="L103" s="523"/>
      <c r="M103" s="523"/>
    </row>
    <row r="104" spans="2:13" ht="15.75" x14ac:dyDescent="0.25">
      <c r="B104" s="1061"/>
      <c r="C104" s="530" t="s">
        <v>907</v>
      </c>
      <c r="D104" s="531" t="s">
        <v>884</v>
      </c>
      <c r="E104" s="531">
        <v>1</v>
      </c>
      <c r="F104" s="1064"/>
      <c r="G104" s="523"/>
      <c r="H104" s="523"/>
      <c r="I104" s="523"/>
      <c r="J104" s="523"/>
      <c r="K104" s="523"/>
      <c r="L104" s="523"/>
      <c r="M104" s="523"/>
    </row>
    <row r="105" spans="2:13" ht="16.5" thickBot="1" x14ac:dyDescent="0.3">
      <c r="B105" s="1062"/>
      <c r="C105" s="536" t="s">
        <v>906</v>
      </c>
      <c r="D105" s="537" t="s">
        <v>884</v>
      </c>
      <c r="E105" s="537">
        <v>8</v>
      </c>
      <c r="F105" s="1065"/>
      <c r="G105" s="523"/>
      <c r="H105" s="523"/>
      <c r="I105" s="523"/>
      <c r="J105" s="523"/>
      <c r="K105" s="523"/>
      <c r="L105" s="523"/>
      <c r="M105" s="523"/>
    </row>
    <row r="106" spans="2:13" ht="15.75" x14ac:dyDescent="0.25">
      <c r="B106" s="1060" t="s">
        <v>905</v>
      </c>
      <c r="C106" s="528" t="s">
        <v>904</v>
      </c>
      <c r="D106" s="529" t="s">
        <v>901</v>
      </c>
      <c r="E106" s="529">
        <v>8</v>
      </c>
      <c r="F106" s="1063">
        <v>17875.55</v>
      </c>
      <c r="G106" s="523"/>
      <c r="H106" s="523"/>
      <c r="I106" s="523"/>
      <c r="J106" s="523"/>
      <c r="K106" s="523"/>
      <c r="L106" s="523"/>
      <c r="M106" s="523"/>
    </row>
    <row r="107" spans="2:13" ht="15.75" x14ac:dyDescent="0.25">
      <c r="B107" s="1061"/>
      <c r="C107" s="530" t="s">
        <v>903</v>
      </c>
      <c r="D107" s="531" t="s">
        <v>901</v>
      </c>
      <c r="E107" s="531">
        <v>6</v>
      </c>
      <c r="F107" s="1064"/>
      <c r="G107" s="523"/>
      <c r="H107" s="523"/>
      <c r="I107" s="523"/>
      <c r="J107" s="523"/>
      <c r="K107" s="523"/>
      <c r="L107" s="523"/>
      <c r="M107" s="523"/>
    </row>
    <row r="108" spans="2:13" ht="15.75" x14ac:dyDescent="0.25">
      <c r="B108" s="1061"/>
      <c r="C108" s="530" t="s">
        <v>902</v>
      </c>
      <c r="D108" s="531" t="s">
        <v>901</v>
      </c>
      <c r="E108" s="531">
        <v>2</v>
      </c>
      <c r="F108" s="1064"/>
      <c r="G108" s="523"/>
      <c r="H108" s="523"/>
      <c r="I108" s="523"/>
      <c r="J108" s="523"/>
      <c r="K108" s="523"/>
      <c r="L108" s="523"/>
      <c r="M108" s="523"/>
    </row>
    <row r="109" spans="2:13" ht="15.75" x14ac:dyDescent="0.25">
      <c r="B109" s="1061"/>
      <c r="C109" s="530" t="s">
        <v>900</v>
      </c>
      <c r="D109" s="531" t="s">
        <v>884</v>
      </c>
      <c r="E109" s="531">
        <v>1</v>
      </c>
      <c r="F109" s="1064"/>
      <c r="G109" s="523"/>
      <c r="H109" s="523"/>
      <c r="I109" s="523"/>
      <c r="J109" s="523"/>
      <c r="K109" s="523"/>
      <c r="L109" s="523"/>
      <c r="M109" s="523"/>
    </row>
    <row r="110" spans="2:13" ht="15.75" x14ac:dyDescent="0.25">
      <c r="B110" s="1061"/>
      <c r="C110" s="530" t="s">
        <v>899</v>
      </c>
      <c r="D110" s="531" t="s">
        <v>884</v>
      </c>
      <c r="E110" s="531">
        <v>1</v>
      </c>
      <c r="F110" s="1064"/>
      <c r="G110" s="523"/>
      <c r="H110" s="523"/>
      <c r="I110" s="523"/>
      <c r="J110" s="523"/>
      <c r="K110" s="523"/>
      <c r="L110" s="523"/>
      <c r="M110" s="523"/>
    </row>
    <row r="111" spans="2:13" ht="16.5" thickBot="1" x14ac:dyDescent="0.3">
      <c r="B111" s="1062"/>
      <c r="C111" s="530" t="s">
        <v>898</v>
      </c>
      <c r="D111" s="531" t="s">
        <v>884</v>
      </c>
      <c r="E111" s="531">
        <v>3</v>
      </c>
      <c r="F111" s="1064"/>
      <c r="G111" s="523"/>
      <c r="H111" s="523"/>
      <c r="I111" s="523"/>
      <c r="J111" s="523"/>
      <c r="K111" s="523"/>
      <c r="L111" s="523"/>
      <c r="M111" s="523"/>
    </row>
    <row r="112" spans="2:13" ht="15.75" x14ac:dyDescent="0.25">
      <c r="B112" s="1061" t="s">
        <v>1274</v>
      </c>
      <c r="C112" s="530" t="s">
        <v>897</v>
      </c>
      <c r="D112" s="531" t="s">
        <v>892</v>
      </c>
      <c r="E112" s="566">
        <v>2</v>
      </c>
      <c r="F112" s="1076">
        <v>6257.26</v>
      </c>
      <c r="G112" s="523"/>
      <c r="H112" s="523"/>
      <c r="I112" s="523"/>
      <c r="J112" s="523"/>
      <c r="K112" s="523"/>
      <c r="L112" s="523"/>
      <c r="M112" s="523"/>
    </row>
    <row r="113" spans="2:13" ht="16.5" thickBot="1" x14ac:dyDescent="0.3">
      <c r="B113" s="1062"/>
      <c r="C113" s="536" t="s">
        <v>896</v>
      </c>
      <c r="D113" s="537" t="s">
        <v>892</v>
      </c>
      <c r="E113" s="567">
        <v>6</v>
      </c>
      <c r="F113" s="1077"/>
      <c r="G113" s="523"/>
      <c r="H113" s="523"/>
      <c r="I113" s="523"/>
      <c r="J113" s="523"/>
      <c r="K113" s="523"/>
      <c r="L113" s="523"/>
      <c r="M113" s="523"/>
    </row>
    <row r="114" spans="2:13" ht="15.75" x14ac:dyDescent="0.25">
      <c r="B114" s="1060" t="s">
        <v>895</v>
      </c>
      <c r="C114" s="528" t="s">
        <v>894</v>
      </c>
      <c r="D114" s="528" t="s">
        <v>892</v>
      </c>
      <c r="E114" s="529">
        <v>2</v>
      </c>
      <c r="F114" s="1063">
        <v>5586.72</v>
      </c>
      <c r="G114" s="523"/>
      <c r="H114" s="523"/>
      <c r="I114" s="523"/>
      <c r="J114" s="523"/>
      <c r="K114" s="523"/>
      <c r="L114" s="523"/>
      <c r="M114" s="523"/>
    </row>
    <row r="115" spans="2:13" ht="16.5" thickBot="1" x14ac:dyDescent="0.3">
      <c r="B115" s="1062"/>
      <c r="C115" s="536" t="s">
        <v>893</v>
      </c>
      <c r="D115" s="536" t="s">
        <v>892</v>
      </c>
      <c r="E115" s="537">
        <v>1</v>
      </c>
      <c r="F115" s="1065"/>
      <c r="G115" s="523"/>
      <c r="H115" s="523"/>
      <c r="I115" s="523"/>
      <c r="J115" s="523"/>
      <c r="K115" s="523"/>
      <c r="L115" s="523"/>
      <c r="M115" s="523"/>
    </row>
    <row r="116" spans="2:13" ht="15.75" x14ac:dyDescent="0.25">
      <c r="B116" s="550" t="s">
        <v>1270</v>
      </c>
      <c r="C116" s="523"/>
      <c r="D116" s="523"/>
      <c r="E116" s="523"/>
      <c r="F116" s="523"/>
      <c r="G116" s="523"/>
      <c r="H116" s="523"/>
      <c r="I116" s="523"/>
      <c r="J116" s="523"/>
      <c r="K116" s="523"/>
      <c r="L116" s="523"/>
      <c r="M116" s="523"/>
    </row>
    <row r="117" spans="2:13" ht="15.75" x14ac:dyDescent="0.25">
      <c r="B117" s="523" t="s">
        <v>891</v>
      </c>
      <c r="C117" s="523"/>
      <c r="D117" s="523"/>
      <c r="E117" s="523"/>
      <c r="F117" s="523"/>
      <c r="G117" s="523"/>
      <c r="H117" s="523"/>
      <c r="I117" s="523"/>
      <c r="J117" s="523"/>
      <c r="K117" s="523"/>
      <c r="L117" s="523"/>
      <c r="M117" s="523"/>
    </row>
    <row r="118" spans="2:13" ht="16.5" thickBot="1" x14ac:dyDescent="0.3">
      <c r="B118" s="523"/>
      <c r="C118" s="523"/>
      <c r="D118" s="523"/>
      <c r="E118" s="523"/>
      <c r="F118" s="523"/>
      <c r="G118" s="523"/>
      <c r="H118" s="523"/>
      <c r="I118" s="523"/>
      <c r="J118" s="523"/>
      <c r="K118" s="523"/>
      <c r="L118" s="523"/>
      <c r="M118" s="523"/>
    </row>
    <row r="119" spans="2:13" ht="16.5" thickBot="1" x14ac:dyDescent="0.3">
      <c r="B119" s="525" t="s">
        <v>890</v>
      </c>
      <c r="C119" s="526" t="s">
        <v>889</v>
      </c>
      <c r="D119" s="526" t="s">
        <v>888</v>
      </c>
      <c r="E119" s="526" t="s">
        <v>887</v>
      </c>
      <c r="F119" s="527" t="s">
        <v>886</v>
      </c>
      <c r="G119" s="523"/>
      <c r="H119" s="523"/>
      <c r="I119" s="523"/>
      <c r="J119" s="523"/>
      <c r="K119" s="523"/>
      <c r="L119" s="523"/>
      <c r="M119" s="523"/>
    </row>
    <row r="120" spans="2:13" ht="16.5" thickBot="1" x14ac:dyDescent="0.3">
      <c r="B120" s="564"/>
      <c r="C120" s="541" t="s">
        <v>885</v>
      </c>
      <c r="D120" s="542" t="s">
        <v>884</v>
      </c>
      <c r="E120" s="542">
        <v>1</v>
      </c>
      <c r="F120" s="565">
        <v>33047.43</v>
      </c>
      <c r="G120" s="523"/>
      <c r="H120" s="523"/>
      <c r="I120" s="523"/>
      <c r="J120" s="523"/>
      <c r="K120" s="523"/>
      <c r="L120" s="523"/>
      <c r="M120" s="523"/>
    </row>
    <row r="121" spans="2:13" ht="15.75" x14ac:dyDescent="0.25">
      <c r="B121" s="523"/>
      <c r="C121" s="523"/>
      <c r="D121" s="523"/>
      <c r="E121" s="523"/>
      <c r="F121" s="523"/>
      <c r="G121" s="523"/>
      <c r="H121" s="523"/>
      <c r="I121" s="523"/>
      <c r="J121" s="523"/>
      <c r="K121" s="523"/>
      <c r="L121" s="523"/>
      <c r="M121" s="523"/>
    </row>
    <row r="122" spans="2:13" ht="15.75" x14ac:dyDescent="0.25">
      <c r="B122" s="523"/>
      <c r="C122" s="523"/>
      <c r="D122" s="523"/>
      <c r="E122" s="523"/>
      <c r="F122" s="523"/>
      <c r="G122" s="523"/>
      <c r="H122" s="523"/>
      <c r="I122" s="523"/>
      <c r="J122" s="523"/>
      <c r="K122" s="523"/>
      <c r="L122" s="523"/>
      <c r="M122" s="523"/>
    </row>
    <row r="123" spans="2:13" ht="15.75" x14ac:dyDescent="0.25">
      <c r="B123" s="523"/>
      <c r="C123" s="523"/>
      <c r="D123" s="523"/>
      <c r="E123" s="523"/>
      <c r="F123" s="523"/>
      <c r="G123" s="523"/>
      <c r="H123" s="523"/>
      <c r="I123" s="523"/>
      <c r="J123" s="523"/>
      <c r="K123" s="523"/>
      <c r="L123" s="523"/>
      <c r="M123" s="523"/>
    </row>
    <row r="124" spans="2:13" ht="15.75" x14ac:dyDescent="0.25">
      <c r="B124" s="523"/>
      <c r="C124" s="523"/>
      <c r="D124" s="523"/>
      <c r="E124" s="523"/>
      <c r="F124" s="523"/>
      <c r="G124" s="523"/>
      <c r="H124" s="523"/>
      <c r="I124" s="523"/>
      <c r="J124" s="523"/>
      <c r="K124" s="523"/>
      <c r="L124" s="523"/>
      <c r="M124" s="523"/>
    </row>
  </sheetData>
  <mergeCells count="32">
    <mergeCell ref="B114:B115"/>
    <mergeCell ref="F114:F115"/>
    <mergeCell ref="B103:B105"/>
    <mergeCell ref="F103:F105"/>
    <mergeCell ref="B106:B111"/>
    <mergeCell ref="F106:F111"/>
    <mergeCell ref="B112:B113"/>
    <mergeCell ref="F112:F113"/>
    <mergeCell ref="F85:F86"/>
    <mergeCell ref="B90:B92"/>
    <mergeCell ref="F90:F92"/>
    <mergeCell ref="B94:B95"/>
    <mergeCell ref="F94:F95"/>
    <mergeCell ref="B69:B71"/>
    <mergeCell ref="F69:F71"/>
    <mergeCell ref="B72:B74"/>
    <mergeCell ref="F72:F74"/>
    <mergeCell ref="B75:B77"/>
    <mergeCell ref="F75:F77"/>
    <mergeCell ref="B52:B60"/>
    <mergeCell ref="F52:F60"/>
    <mergeCell ref="J55:K55"/>
    <mergeCell ref="B61:B68"/>
    <mergeCell ref="F61:F68"/>
    <mergeCell ref="I64:J64"/>
    <mergeCell ref="I47:I48"/>
    <mergeCell ref="J47:K47"/>
    <mergeCell ref="L47:L48"/>
    <mergeCell ref="M47:M48"/>
    <mergeCell ref="B48:B50"/>
    <mergeCell ref="F48:F50"/>
    <mergeCell ref="J48:K4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75"/>
  <sheetViews>
    <sheetView showGridLines="0" topLeftCell="A43" workbookViewId="0">
      <selection activeCell="S71" sqref="S71"/>
    </sheetView>
  </sheetViews>
  <sheetFormatPr defaultRowHeight="15" x14ac:dyDescent="0.25"/>
  <cols>
    <col min="4" max="4" width="12.7109375" bestFit="1" customWidth="1"/>
    <col min="5" max="5" width="22.5703125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1" spans="1:23" ht="15.75" thickBot="1" x14ac:dyDescent="0.3"/>
    <row r="2" spans="1:23" ht="15.75" thickBot="1" x14ac:dyDescent="0.3">
      <c r="A2" s="772" t="s">
        <v>1436</v>
      </c>
      <c r="B2" s="773"/>
      <c r="C2" s="773"/>
      <c r="D2" s="773"/>
      <c r="E2" s="773"/>
      <c r="F2" s="740"/>
    </row>
    <row r="3" spans="1:23" ht="15.75" thickBot="1" x14ac:dyDescent="0.3">
      <c r="A3" s="17"/>
      <c r="G3" s="17"/>
    </row>
    <row r="4" spans="1:23" ht="16.5" thickBot="1" x14ac:dyDescent="0.3">
      <c r="A4" s="568" t="s">
        <v>1275</v>
      </c>
      <c r="B4" s="569"/>
      <c r="C4" s="569"/>
      <c r="D4" s="569"/>
      <c r="E4" s="570"/>
      <c r="F4" s="777">
        <v>335205.13</v>
      </c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</row>
    <row r="5" spans="1:23" ht="16.5" thickBot="1" x14ac:dyDescent="0.3">
      <c r="A5" s="571" t="s">
        <v>1276</v>
      </c>
      <c r="B5" s="572"/>
      <c r="C5" s="572"/>
      <c r="D5" s="572"/>
      <c r="E5" s="573"/>
      <c r="F5" s="777">
        <v>354544.62</v>
      </c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</row>
    <row r="6" spans="1:23" ht="15.75" x14ac:dyDescent="0.25">
      <c r="A6" s="571" t="s">
        <v>1277</v>
      </c>
      <c r="B6" s="572"/>
      <c r="C6" s="572"/>
      <c r="D6" s="572"/>
      <c r="E6" s="573"/>
      <c r="F6" s="777">
        <v>35479.74</v>
      </c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</row>
    <row r="7" spans="1:23" ht="15.75" x14ac:dyDescent="0.25">
      <c r="A7" s="571" t="s">
        <v>1184</v>
      </c>
      <c r="B7" s="572"/>
      <c r="C7" s="572"/>
      <c r="D7" s="572"/>
      <c r="E7" s="573"/>
      <c r="F7" s="778">
        <v>3352.05</v>
      </c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8"/>
      <c r="T7" s="538"/>
      <c r="U7" s="538"/>
      <c r="V7" s="538"/>
      <c r="W7" s="538"/>
    </row>
    <row r="8" spans="1:23" ht="16.5" thickBot="1" x14ac:dyDescent="0.3">
      <c r="A8" s="571" t="s">
        <v>1185</v>
      </c>
      <c r="B8" s="572"/>
      <c r="C8" s="572"/>
      <c r="D8" s="572"/>
      <c r="E8" s="573"/>
      <c r="F8" s="778">
        <v>7583.28</v>
      </c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</row>
    <row r="9" spans="1:23" ht="15.75" x14ac:dyDescent="0.25">
      <c r="A9" s="571" t="s">
        <v>1278</v>
      </c>
      <c r="B9" s="572"/>
      <c r="C9" s="572"/>
      <c r="D9" s="572"/>
      <c r="E9" s="573"/>
      <c r="F9" s="779">
        <v>53377.06</v>
      </c>
      <c r="G9" s="538"/>
      <c r="H9" s="538"/>
      <c r="I9" s="538"/>
      <c r="J9" s="538"/>
      <c r="K9" s="782" t="s">
        <v>949</v>
      </c>
      <c r="L9" s="783"/>
      <c r="M9" s="783" t="s">
        <v>1295</v>
      </c>
      <c r="N9" s="783"/>
      <c r="O9" s="784"/>
      <c r="P9" s="604">
        <v>58.44</v>
      </c>
      <c r="Q9" s="44" t="s">
        <v>1296</v>
      </c>
      <c r="R9" s="180"/>
      <c r="S9" s="604">
        <v>91.73</v>
      </c>
      <c r="T9" s="604"/>
      <c r="U9" s="604"/>
      <c r="V9" s="788">
        <f>SUM(58.44*91.73)</f>
        <v>5360.7012000000004</v>
      </c>
      <c r="W9" s="538"/>
    </row>
    <row r="10" spans="1:23" ht="16.5" thickBot="1" x14ac:dyDescent="0.3">
      <c r="A10" s="571" t="s">
        <v>1190</v>
      </c>
      <c r="B10" s="572"/>
      <c r="C10" s="572"/>
      <c r="D10" s="572"/>
      <c r="E10" s="573"/>
      <c r="F10" s="779">
        <v>9193.14</v>
      </c>
      <c r="G10" s="538"/>
      <c r="H10" s="538"/>
      <c r="I10" s="538"/>
      <c r="J10" s="538"/>
      <c r="K10" s="785"/>
      <c r="L10" s="786"/>
      <c r="M10" s="786"/>
      <c r="N10" s="786"/>
      <c r="O10" s="787"/>
      <c r="P10" s="350"/>
      <c r="Q10" s="39"/>
      <c r="R10" s="171"/>
      <c r="S10" s="350"/>
      <c r="T10" s="350"/>
      <c r="U10" s="350"/>
      <c r="V10" s="590"/>
      <c r="W10" s="538"/>
    </row>
    <row r="11" spans="1:23" ht="15.75" x14ac:dyDescent="0.25">
      <c r="A11" s="571" t="s">
        <v>1194</v>
      </c>
      <c r="B11" s="572"/>
      <c r="C11" s="572"/>
      <c r="D11" s="572"/>
      <c r="E11" s="573"/>
      <c r="F11" s="779">
        <v>409765.22</v>
      </c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8"/>
      <c r="R11" s="538"/>
      <c r="S11" s="538"/>
      <c r="T11" s="538"/>
      <c r="U11" s="538"/>
      <c r="V11" s="538"/>
      <c r="W11" s="538"/>
    </row>
    <row r="12" spans="1:23" ht="15.75" x14ac:dyDescent="0.25">
      <c r="A12" s="574" t="s">
        <v>1360</v>
      </c>
      <c r="B12" s="603"/>
      <c r="C12" s="603"/>
      <c r="D12" s="603"/>
      <c r="E12" s="576"/>
      <c r="F12" s="780">
        <v>5360.7</v>
      </c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8"/>
      <c r="T12" s="538"/>
      <c r="U12" s="538"/>
      <c r="V12" s="538"/>
      <c r="W12" s="538"/>
    </row>
    <row r="13" spans="1:23" ht="16.5" thickBot="1" x14ac:dyDescent="0.3">
      <c r="A13" s="574" t="s">
        <v>1279</v>
      </c>
      <c r="B13" s="575"/>
      <c r="C13" s="575"/>
      <c r="D13" s="575"/>
      <c r="E13" s="576"/>
      <c r="F13" s="780">
        <v>29570.69</v>
      </c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</row>
    <row r="14" spans="1:23" ht="16.5" thickBot="1" x14ac:dyDescent="0.3">
      <c r="A14" s="774" t="s">
        <v>8</v>
      </c>
      <c r="B14" s="775"/>
      <c r="C14" s="775"/>
      <c r="D14" s="775"/>
      <c r="E14" s="776"/>
      <c r="F14" s="781">
        <f>SUM(F4:F13)</f>
        <v>1243431.6300000001</v>
      </c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</row>
    <row r="15" spans="1:23" ht="15.75" x14ac:dyDescent="0.25">
      <c r="A15" s="539"/>
      <c r="B15" s="538"/>
      <c r="C15" s="538"/>
      <c r="D15" s="538"/>
      <c r="E15" s="538"/>
      <c r="F15" s="538"/>
      <c r="G15" s="538"/>
      <c r="H15" s="538"/>
      <c r="I15" s="538"/>
      <c r="J15" s="538"/>
      <c r="K15" s="538"/>
      <c r="L15" s="538"/>
      <c r="M15" s="538"/>
      <c r="N15" s="538"/>
      <c r="O15" s="538"/>
      <c r="P15" s="538"/>
      <c r="Q15" s="538"/>
      <c r="R15" s="538"/>
      <c r="S15" s="538"/>
      <c r="T15" s="538"/>
      <c r="U15" s="538"/>
      <c r="V15" s="538"/>
      <c r="W15" s="538"/>
    </row>
    <row r="16" spans="1:23" ht="16.5" thickBot="1" x14ac:dyDescent="0.3">
      <c r="A16" s="539"/>
      <c r="B16" s="538"/>
      <c r="C16" s="538"/>
      <c r="D16" s="538"/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8"/>
      <c r="R16" s="538"/>
      <c r="S16" s="538"/>
      <c r="T16" s="538"/>
      <c r="U16" s="538"/>
      <c r="V16" s="538"/>
      <c r="W16" s="538"/>
    </row>
    <row r="17" spans="1:23" ht="15.75" x14ac:dyDescent="0.25">
      <c r="A17" s="577" t="s">
        <v>1170</v>
      </c>
      <c r="B17" s="578"/>
      <c r="C17" s="579"/>
      <c r="D17" s="579" t="s">
        <v>1171</v>
      </c>
      <c r="E17" s="579"/>
      <c r="F17" s="579"/>
      <c r="G17" s="579"/>
      <c r="H17" s="579" t="s">
        <v>1172</v>
      </c>
      <c r="I17" s="579"/>
      <c r="J17" s="579" t="s">
        <v>1173</v>
      </c>
      <c r="K17" s="579"/>
      <c r="L17" s="579"/>
      <c r="M17" s="579" t="s">
        <v>1423</v>
      </c>
      <c r="N17" s="579"/>
      <c r="O17" s="579"/>
      <c r="P17" s="579"/>
      <c r="Q17" s="579"/>
      <c r="R17" s="579"/>
      <c r="S17" s="579"/>
      <c r="T17" s="579"/>
      <c r="U17" s="579"/>
      <c r="V17" s="579"/>
      <c r="W17" s="580"/>
    </row>
    <row r="18" spans="1:23" ht="15.75" x14ac:dyDescent="0.25">
      <c r="A18" s="581" t="s">
        <v>1174</v>
      </c>
      <c r="B18" s="552"/>
      <c r="C18" s="538"/>
      <c r="D18" s="538" t="s">
        <v>1175</v>
      </c>
      <c r="E18" s="538"/>
      <c r="F18" s="538"/>
      <c r="G18" s="538"/>
      <c r="H18" s="538">
        <v>91.73</v>
      </c>
      <c r="I18" s="538"/>
      <c r="J18" s="538"/>
      <c r="K18" s="538"/>
      <c r="L18" s="538"/>
      <c r="M18" s="538" t="s">
        <v>1280</v>
      </c>
      <c r="N18" s="538"/>
      <c r="O18" s="538"/>
      <c r="P18" s="538"/>
      <c r="Q18" s="538"/>
      <c r="R18" s="538"/>
      <c r="S18" s="538"/>
      <c r="T18" s="538"/>
      <c r="U18" s="538"/>
      <c r="V18" s="538"/>
      <c r="W18" s="534"/>
    </row>
    <row r="19" spans="1:23" ht="15.75" x14ac:dyDescent="0.25">
      <c r="A19" s="581" t="s">
        <v>1176</v>
      </c>
      <c r="B19" s="552"/>
      <c r="C19" s="538"/>
      <c r="D19" s="538" t="s">
        <v>1177</v>
      </c>
      <c r="E19" s="538"/>
      <c r="F19" s="538"/>
      <c r="G19" s="538"/>
      <c r="H19" s="538">
        <v>917.3</v>
      </c>
      <c r="I19" s="538"/>
      <c r="J19" s="538"/>
      <c r="K19" s="538"/>
      <c r="L19" s="538"/>
      <c r="M19" s="538"/>
      <c r="N19" s="538"/>
      <c r="O19" s="538"/>
      <c r="P19" s="538"/>
      <c r="Q19" s="538"/>
      <c r="R19" s="538"/>
      <c r="S19" s="538"/>
      <c r="T19" s="538"/>
      <c r="U19" s="538"/>
      <c r="V19" s="538"/>
      <c r="W19" s="534"/>
    </row>
    <row r="20" spans="1:23" ht="15.75" x14ac:dyDescent="0.25">
      <c r="A20" s="539"/>
      <c r="B20" s="538"/>
      <c r="C20" s="538"/>
      <c r="D20" s="538" t="s">
        <v>1178</v>
      </c>
      <c r="E20" s="538"/>
      <c r="F20" s="538"/>
      <c r="G20" s="538"/>
      <c r="H20" s="582"/>
      <c r="I20" s="538"/>
      <c r="J20" s="538"/>
      <c r="K20" s="538"/>
      <c r="L20" s="538" t="s">
        <v>1281</v>
      </c>
      <c r="M20" s="538"/>
      <c r="N20" s="538"/>
      <c r="O20" s="538"/>
      <c r="P20" s="538"/>
      <c r="Q20" s="538"/>
      <c r="R20" s="538"/>
      <c r="S20" s="538"/>
      <c r="T20" s="538"/>
      <c r="U20" s="538"/>
      <c r="V20" s="538"/>
      <c r="W20" s="534"/>
    </row>
    <row r="21" spans="1:23" ht="15.75" x14ac:dyDescent="0.25">
      <c r="A21" s="581" t="s">
        <v>1282</v>
      </c>
      <c r="B21" s="538"/>
      <c r="C21" s="538"/>
      <c r="D21" s="538"/>
      <c r="E21" s="538"/>
      <c r="F21" s="720" t="s">
        <v>1424</v>
      </c>
      <c r="G21" s="720"/>
      <c r="H21" s="720"/>
      <c r="I21" s="720"/>
      <c r="J21" s="720"/>
      <c r="K21" s="720"/>
      <c r="L21" s="764"/>
      <c r="M21" s="538"/>
      <c r="N21" s="538"/>
      <c r="O21" s="538"/>
      <c r="P21" s="538"/>
      <c r="Q21" s="538"/>
      <c r="R21" s="538"/>
      <c r="S21" s="538"/>
      <c r="T21" s="538"/>
      <c r="U21" s="538"/>
      <c r="V21" s="538"/>
      <c r="W21" s="534"/>
    </row>
    <row r="22" spans="1:23" ht="16.5" thickBot="1" x14ac:dyDescent="0.3">
      <c r="A22" s="583"/>
      <c r="B22" s="584"/>
      <c r="C22" s="584"/>
      <c r="D22" s="584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  <c r="T22" s="584"/>
      <c r="U22" s="584"/>
      <c r="V22" s="584"/>
      <c r="W22" s="546"/>
    </row>
    <row r="23" spans="1:23" ht="15.75" x14ac:dyDescent="0.25">
      <c r="A23" s="577" t="s">
        <v>1179</v>
      </c>
      <c r="B23" s="578"/>
      <c r="C23" s="578"/>
      <c r="D23" s="578"/>
      <c r="E23" s="578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80"/>
    </row>
    <row r="24" spans="1:23" ht="15.75" x14ac:dyDescent="0.25">
      <c r="A24" s="539"/>
      <c r="B24" s="538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8"/>
      <c r="R24" s="538"/>
      <c r="S24" s="538"/>
      <c r="T24" s="538"/>
      <c r="U24" s="538"/>
      <c r="V24" s="538"/>
      <c r="W24" s="534"/>
    </row>
    <row r="25" spans="1:23" ht="15.75" x14ac:dyDescent="0.25">
      <c r="A25" s="539" t="s">
        <v>1180</v>
      </c>
      <c r="B25" s="538"/>
      <c r="C25" s="538"/>
      <c r="D25" s="538" t="s">
        <v>1283</v>
      </c>
      <c r="E25" s="538"/>
      <c r="F25" s="538"/>
      <c r="G25" s="538"/>
      <c r="H25" s="538"/>
      <c r="I25" s="538"/>
      <c r="J25" s="538"/>
      <c r="K25" s="538"/>
      <c r="L25" s="538"/>
      <c r="M25" s="538"/>
      <c r="N25" s="538"/>
      <c r="O25" s="538"/>
      <c r="P25" s="538"/>
      <c r="Q25" s="538"/>
      <c r="R25" s="538"/>
      <c r="S25" s="538"/>
      <c r="T25" s="538"/>
      <c r="U25" s="538"/>
      <c r="V25" s="538"/>
      <c r="W25" s="534"/>
    </row>
    <row r="26" spans="1:23" ht="15.75" x14ac:dyDescent="0.25">
      <c r="A26" s="539" t="s">
        <v>1181</v>
      </c>
      <c r="B26" s="538"/>
      <c r="C26" s="538"/>
      <c r="D26" s="720" t="s">
        <v>1407</v>
      </c>
      <c r="E26" s="720"/>
      <c r="F26" s="720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8"/>
      <c r="R26" s="538"/>
      <c r="S26" s="538"/>
      <c r="T26" s="538"/>
      <c r="U26" s="538"/>
      <c r="V26" s="538"/>
      <c r="W26" s="534"/>
    </row>
    <row r="27" spans="1:23" ht="16.5" thickBot="1" x14ac:dyDescent="0.3">
      <c r="A27" s="583"/>
      <c r="B27" s="584"/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  <c r="T27" s="584"/>
      <c r="U27" s="584"/>
      <c r="V27" s="584"/>
      <c r="W27" s="546"/>
    </row>
    <row r="28" spans="1:23" ht="15.75" x14ac:dyDescent="0.25">
      <c r="A28" s="585"/>
      <c r="B28" s="579"/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80"/>
    </row>
    <row r="29" spans="1:23" ht="15.75" x14ac:dyDescent="0.25">
      <c r="A29" s="581" t="s">
        <v>1182</v>
      </c>
      <c r="B29" s="552"/>
      <c r="C29" s="538" t="s">
        <v>1284</v>
      </c>
      <c r="D29" s="538"/>
      <c r="E29" s="538"/>
      <c r="F29" s="538"/>
      <c r="G29" s="551">
        <v>39421.93</v>
      </c>
      <c r="H29" s="538"/>
      <c r="I29" s="538" t="s">
        <v>1183</v>
      </c>
      <c r="J29" s="538"/>
      <c r="K29" s="552" t="s">
        <v>1285</v>
      </c>
      <c r="L29" s="582"/>
      <c r="M29" s="538"/>
      <c r="N29" s="538"/>
      <c r="O29" s="538"/>
      <c r="P29" s="538"/>
      <c r="Q29" s="538"/>
      <c r="R29" s="538"/>
      <c r="S29" s="538"/>
      <c r="T29" s="538"/>
      <c r="U29" s="538"/>
      <c r="V29" s="538"/>
      <c r="W29" s="534"/>
    </row>
    <row r="30" spans="1:23" ht="15.75" x14ac:dyDescent="0.25">
      <c r="A30" s="539"/>
      <c r="B30" s="538"/>
      <c r="C30" s="538"/>
      <c r="D30" s="538"/>
      <c r="E30" s="538"/>
      <c r="F30" s="538"/>
      <c r="G30" s="538"/>
      <c r="H30" s="538"/>
      <c r="I30" s="720" t="s">
        <v>1408</v>
      </c>
      <c r="J30" s="720"/>
      <c r="K30" s="720"/>
      <c r="L30" s="538"/>
      <c r="M30" s="538"/>
      <c r="N30" s="538"/>
      <c r="O30" s="538"/>
      <c r="P30" s="538"/>
      <c r="Q30" s="538"/>
      <c r="R30" s="538"/>
      <c r="S30" s="538"/>
      <c r="T30" s="538"/>
      <c r="U30" s="538"/>
      <c r="V30" s="538"/>
      <c r="W30" s="534"/>
    </row>
    <row r="31" spans="1:23" ht="16.5" thickBot="1" x14ac:dyDescent="0.3">
      <c r="A31" s="583"/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  <c r="U31" s="584"/>
      <c r="V31" s="584"/>
      <c r="W31" s="546"/>
    </row>
    <row r="32" spans="1:23" ht="15.75" x14ac:dyDescent="0.25">
      <c r="A32" s="585"/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80"/>
    </row>
    <row r="33" spans="1:23" ht="15.75" x14ac:dyDescent="0.25">
      <c r="A33" s="581" t="s">
        <v>1184</v>
      </c>
      <c r="B33" s="552"/>
      <c r="C33" s="586"/>
      <c r="D33" s="538"/>
      <c r="E33" s="538" t="s">
        <v>1286</v>
      </c>
      <c r="F33" s="538"/>
      <c r="G33" s="538"/>
      <c r="H33" s="538"/>
      <c r="I33" s="552"/>
      <c r="J33" s="720" t="s">
        <v>1425</v>
      </c>
      <c r="K33" s="720"/>
      <c r="L33" s="538"/>
      <c r="M33" s="538"/>
      <c r="N33" s="538"/>
      <c r="O33" s="538"/>
      <c r="P33" s="538"/>
      <c r="Q33" s="538"/>
      <c r="R33" s="538"/>
      <c r="S33" s="538"/>
      <c r="T33" s="538"/>
      <c r="U33" s="538"/>
      <c r="V33" s="538"/>
      <c r="W33" s="534"/>
    </row>
    <row r="34" spans="1:23" ht="16.5" thickBot="1" x14ac:dyDescent="0.3">
      <c r="A34" s="583"/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46"/>
    </row>
    <row r="35" spans="1:23" ht="15.75" x14ac:dyDescent="0.25">
      <c r="A35" s="585"/>
      <c r="B35" s="579"/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80"/>
    </row>
    <row r="36" spans="1:23" ht="15.75" x14ac:dyDescent="0.25">
      <c r="A36" s="581" t="s">
        <v>1185</v>
      </c>
      <c r="B36" s="552"/>
      <c r="C36" s="538" t="s">
        <v>1186</v>
      </c>
      <c r="D36" s="538"/>
      <c r="E36" s="538"/>
      <c r="F36" s="538">
        <v>473</v>
      </c>
      <c r="G36" s="538" t="s">
        <v>1187</v>
      </c>
      <c r="H36" s="538"/>
      <c r="I36" s="538" t="s">
        <v>1426</v>
      </c>
      <c r="J36" s="538"/>
      <c r="K36" s="538"/>
      <c r="L36" s="538"/>
      <c r="M36" s="538"/>
      <c r="N36" s="538"/>
      <c r="O36" s="538"/>
      <c r="P36" s="538"/>
      <c r="Q36" s="538"/>
      <c r="R36" s="538"/>
      <c r="S36" s="538"/>
      <c r="T36" s="538"/>
      <c r="U36" s="538"/>
      <c r="V36" s="538"/>
      <c r="W36" s="534"/>
    </row>
    <row r="37" spans="1:23" ht="15.75" x14ac:dyDescent="0.25">
      <c r="A37" s="539"/>
      <c r="B37" s="538"/>
      <c r="C37" s="538" t="s">
        <v>1188</v>
      </c>
      <c r="D37" s="538"/>
      <c r="E37" s="538"/>
      <c r="F37" s="538">
        <v>91.73</v>
      </c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38"/>
      <c r="T37" s="538"/>
      <c r="U37" s="538"/>
      <c r="V37" s="538"/>
      <c r="W37" s="534"/>
    </row>
    <row r="38" spans="1:23" ht="16.5" thickBot="1" x14ac:dyDescent="0.3">
      <c r="A38" s="583"/>
      <c r="B38" s="584"/>
      <c r="C38" s="584" t="s">
        <v>1189</v>
      </c>
      <c r="D38" s="765" t="s">
        <v>1287</v>
      </c>
      <c r="E38" s="765"/>
      <c r="F38" s="766">
        <v>7583.28</v>
      </c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46"/>
    </row>
    <row r="39" spans="1:23" ht="15.75" x14ac:dyDescent="0.25">
      <c r="A39" s="585"/>
      <c r="B39" s="579"/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80"/>
    </row>
    <row r="40" spans="1:23" ht="15.75" x14ac:dyDescent="0.25">
      <c r="A40" s="581" t="s">
        <v>1050</v>
      </c>
      <c r="B40" s="552"/>
      <c r="C40" s="538"/>
      <c r="D40" s="587"/>
      <c r="E40" s="538"/>
      <c r="F40" s="538" t="s">
        <v>1288</v>
      </c>
      <c r="G40" s="538"/>
      <c r="H40" s="538"/>
      <c r="I40" s="538" t="s">
        <v>1428</v>
      </c>
      <c r="J40" s="538"/>
      <c r="K40" s="538"/>
      <c r="L40" s="538" t="s">
        <v>1427</v>
      </c>
      <c r="M40" s="538"/>
      <c r="N40" s="538"/>
      <c r="O40" s="538"/>
      <c r="P40" s="538"/>
      <c r="Q40" s="538"/>
      <c r="R40" s="538"/>
      <c r="S40" s="538"/>
      <c r="T40" s="538"/>
      <c r="U40" s="538"/>
      <c r="V40" s="538"/>
      <c r="W40" s="534"/>
    </row>
    <row r="41" spans="1:23" ht="15.75" x14ac:dyDescent="0.25">
      <c r="A41" s="539"/>
      <c r="B41" s="538"/>
      <c r="C41" s="538"/>
      <c r="D41" s="538"/>
      <c r="E41" s="538"/>
      <c r="F41" s="550">
        <v>91.73</v>
      </c>
      <c r="G41" s="538"/>
      <c r="H41" s="538"/>
      <c r="I41" s="538"/>
      <c r="J41" s="582"/>
      <c r="K41" s="538"/>
      <c r="L41" s="538"/>
      <c r="M41" s="538"/>
      <c r="N41" s="538"/>
      <c r="O41" s="538"/>
      <c r="P41" s="538"/>
      <c r="Q41" s="538"/>
      <c r="R41" s="538"/>
      <c r="S41" s="538"/>
      <c r="T41" s="538"/>
      <c r="U41" s="538"/>
      <c r="V41" s="538"/>
      <c r="W41" s="534"/>
    </row>
    <row r="42" spans="1:23" ht="16.5" thickBot="1" x14ac:dyDescent="0.3">
      <c r="A42" s="583"/>
      <c r="B42" s="765" t="s">
        <v>1289</v>
      </c>
      <c r="C42" s="765"/>
      <c r="D42" s="765"/>
      <c r="E42" s="765"/>
      <c r="F42" s="766">
        <v>53377.06</v>
      </c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  <c r="T42" s="584"/>
      <c r="U42" s="584"/>
      <c r="V42" s="584"/>
      <c r="W42" s="546"/>
    </row>
    <row r="43" spans="1:23" ht="15.75" x14ac:dyDescent="0.25">
      <c r="A43" s="585"/>
      <c r="B43" s="579"/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80"/>
    </row>
    <row r="44" spans="1:23" ht="15.75" x14ac:dyDescent="0.25">
      <c r="A44" s="581" t="s">
        <v>1190</v>
      </c>
      <c r="B44" s="552"/>
      <c r="C44" s="538"/>
      <c r="D44" s="538" t="s">
        <v>1191</v>
      </c>
      <c r="E44" s="538"/>
      <c r="F44" s="538"/>
      <c r="G44" s="538"/>
      <c r="H44" s="538">
        <v>473</v>
      </c>
      <c r="I44" s="538" t="s">
        <v>1187</v>
      </c>
      <c r="J44" s="538"/>
      <c r="K44" s="538" t="s">
        <v>1429</v>
      </c>
      <c r="L44" s="538"/>
      <c r="M44" s="538"/>
      <c r="N44" s="538"/>
      <c r="O44" s="538"/>
      <c r="P44" s="538"/>
      <c r="Q44" s="538"/>
      <c r="R44" s="538"/>
      <c r="S44" s="538"/>
      <c r="T44" s="538"/>
      <c r="U44" s="538"/>
      <c r="V44" s="538"/>
      <c r="W44" s="534"/>
    </row>
    <row r="45" spans="1:23" ht="15.75" x14ac:dyDescent="0.25">
      <c r="A45" s="539"/>
      <c r="B45" s="538"/>
      <c r="C45" s="538"/>
      <c r="D45" s="538" t="s">
        <v>1192</v>
      </c>
      <c r="E45" s="538"/>
      <c r="F45" s="538"/>
      <c r="G45" s="538"/>
      <c r="H45" s="538">
        <v>91.73</v>
      </c>
      <c r="I45" s="538"/>
      <c r="J45" s="538"/>
      <c r="K45" s="538"/>
      <c r="L45" s="538"/>
      <c r="M45" s="538"/>
      <c r="N45" s="538"/>
      <c r="O45" s="538"/>
      <c r="P45" s="538"/>
      <c r="Q45" s="538"/>
      <c r="R45" s="538"/>
      <c r="S45" s="538"/>
      <c r="T45" s="538"/>
      <c r="U45" s="538"/>
      <c r="V45" s="538"/>
      <c r="W45" s="534"/>
    </row>
    <row r="46" spans="1:23" ht="15.75" x14ac:dyDescent="0.25">
      <c r="A46" s="539"/>
      <c r="B46" s="538"/>
      <c r="C46" s="538"/>
      <c r="D46" s="538" t="s">
        <v>1191</v>
      </c>
      <c r="E46" s="538"/>
      <c r="F46" s="538"/>
      <c r="G46" s="538"/>
      <c r="H46" s="538"/>
      <c r="I46" s="538"/>
      <c r="J46" s="538"/>
      <c r="K46" s="538"/>
      <c r="L46" s="538"/>
      <c r="M46" s="538"/>
      <c r="N46" s="538"/>
      <c r="O46" s="538"/>
      <c r="P46" s="538"/>
      <c r="Q46" s="538"/>
      <c r="R46" s="538"/>
      <c r="S46" s="538"/>
      <c r="T46" s="538"/>
      <c r="U46" s="538"/>
      <c r="V46" s="538"/>
      <c r="W46" s="534"/>
    </row>
    <row r="47" spans="1:23" ht="15.75" x14ac:dyDescent="0.25">
      <c r="A47" s="539"/>
      <c r="B47" s="538"/>
      <c r="C47" s="538"/>
      <c r="D47" s="538" t="s">
        <v>1193</v>
      </c>
      <c r="E47" s="538"/>
      <c r="F47" s="720" t="s">
        <v>1290</v>
      </c>
      <c r="G47" s="720"/>
      <c r="H47" s="767">
        <v>9193.14</v>
      </c>
      <c r="I47" s="538"/>
      <c r="J47" s="538"/>
      <c r="K47" s="538"/>
      <c r="L47" s="538"/>
      <c r="M47" s="538"/>
      <c r="N47" s="538"/>
      <c r="O47" s="538"/>
      <c r="P47" s="538"/>
      <c r="Q47" s="538"/>
      <c r="R47" s="538"/>
      <c r="S47" s="538"/>
      <c r="T47" s="538"/>
      <c r="U47" s="538"/>
      <c r="V47" s="538"/>
      <c r="W47" s="534"/>
    </row>
    <row r="48" spans="1:23" ht="16.5" thickBot="1" x14ac:dyDescent="0.3">
      <c r="A48" s="583"/>
      <c r="B48" s="584"/>
      <c r="C48" s="584"/>
      <c r="D48" s="584"/>
      <c r="E48" s="584"/>
      <c r="F48" s="584"/>
      <c r="G48" s="584"/>
      <c r="H48" s="584"/>
      <c r="I48" s="584"/>
      <c r="J48" s="584"/>
      <c r="K48" s="584"/>
      <c r="L48" s="584"/>
      <c r="M48" s="584"/>
      <c r="N48" s="584"/>
      <c r="O48" s="584"/>
      <c r="P48" s="584"/>
      <c r="Q48" s="584"/>
      <c r="R48" s="584"/>
      <c r="S48" s="584"/>
      <c r="T48" s="584"/>
      <c r="U48" s="584"/>
      <c r="V48" s="584"/>
      <c r="W48" s="546"/>
    </row>
    <row r="49" spans="1:23" ht="15.75" x14ac:dyDescent="0.25">
      <c r="A49" s="585"/>
      <c r="B49" s="579"/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80"/>
    </row>
    <row r="50" spans="1:23" ht="15.75" x14ac:dyDescent="0.25">
      <c r="A50" s="581" t="s">
        <v>1194</v>
      </c>
      <c r="B50" s="552"/>
      <c r="C50" s="552"/>
      <c r="D50" s="538"/>
      <c r="E50" s="538"/>
      <c r="F50" s="538" t="s">
        <v>1195</v>
      </c>
      <c r="G50" s="538"/>
      <c r="H50" s="538"/>
      <c r="I50" s="538"/>
      <c r="J50" s="538">
        <v>473</v>
      </c>
      <c r="K50" s="538" t="s">
        <v>1187</v>
      </c>
      <c r="L50" s="538"/>
      <c r="M50" s="538" t="s">
        <v>1430</v>
      </c>
      <c r="N50" s="538"/>
      <c r="O50" s="538"/>
      <c r="P50" s="538"/>
      <c r="Q50" s="538"/>
      <c r="R50" s="538"/>
      <c r="S50" s="538"/>
      <c r="T50" s="538"/>
      <c r="U50" s="538"/>
      <c r="V50" s="538"/>
      <c r="W50" s="534"/>
    </row>
    <row r="51" spans="1:23" ht="15.75" x14ac:dyDescent="0.25">
      <c r="A51" s="539"/>
      <c r="B51" s="538"/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8"/>
      <c r="T51" s="538"/>
      <c r="U51" s="538"/>
      <c r="V51" s="538"/>
      <c r="W51" s="534"/>
    </row>
    <row r="52" spans="1:23" ht="15.75" x14ac:dyDescent="0.25">
      <c r="A52" s="539"/>
      <c r="B52" s="538"/>
      <c r="C52" s="538"/>
      <c r="D52" s="538"/>
      <c r="E52" s="538"/>
      <c r="F52" s="538" t="s">
        <v>1192</v>
      </c>
      <c r="G52" s="538"/>
      <c r="H52" s="538"/>
      <c r="I52" s="538"/>
      <c r="J52" s="538">
        <v>91.73</v>
      </c>
      <c r="K52" s="538"/>
      <c r="L52" s="538"/>
      <c r="M52" s="538"/>
      <c r="N52" s="538"/>
      <c r="O52" s="538"/>
      <c r="P52" s="538"/>
      <c r="Q52" s="538"/>
      <c r="R52" s="538"/>
      <c r="S52" s="538"/>
      <c r="T52" s="538"/>
      <c r="U52" s="538"/>
      <c r="V52" s="538"/>
      <c r="W52" s="534"/>
    </row>
    <row r="53" spans="1:23" ht="15.75" x14ac:dyDescent="0.25">
      <c r="A53" s="539" t="s">
        <v>1196</v>
      </c>
      <c r="B53" s="538"/>
      <c r="C53" s="538"/>
      <c r="D53" s="538"/>
      <c r="E53" s="538"/>
      <c r="F53" s="538"/>
      <c r="G53" s="538"/>
      <c r="H53" s="538"/>
      <c r="I53" s="538"/>
      <c r="J53" s="538"/>
      <c r="K53" s="538"/>
      <c r="L53" s="538"/>
      <c r="M53" s="538"/>
      <c r="N53" s="538"/>
      <c r="O53" s="538"/>
      <c r="P53" s="538"/>
      <c r="Q53" s="538"/>
      <c r="R53" s="538"/>
      <c r="S53" s="538"/>
      <c r="T53" s="538"/>
      <c r="U53" s="538"/>
      <c r="V53" s="538"/>
      <c r="W53" s="534"/>
    </row>
    <row r="54" spans="1:23" ht="15.75" x14ac:dyDescent="0.25">
      <c r="A54" s="539"/>
      <c r="B54" s="538"/>
      <c r="C54" s="538"/>
      <c r="D54" s="538"/>
      <c r="E54" s="538"/>
      <c r="F54" s="538" t="s">
        <v>1193</v>
      </c>
      <c r="G54" s="720" t="s">
        <v>1291</v>
      </c>
      <c r="H54" s="720"/>
      <c r="I54" s="720"/>
      <c r="J54" s="767">
        <v>409765.22</v>
      </c>
      <c r="K54" s="538"/>
      <c r="L54" s="538"/>
      <c r="M54" s="538"/>
      <c r="N54" s="538"/>
      <c r="O54" s="538"/>
      <c r="P54" s="538"/>
      <c r="Q54" s="538"/>
      <c r="R54" s="538"/>
      <c r="S54" s="538"/>
      <c r="T54" s="538"/>
      <c r="U54" s="538"/>
      <c r="V54" s="538"/>
      <c r="W54" s="534"/>
    </row>
    <row r="55" spans="1:23" ht="15.75" x14ac:dyDescent="0.25">
      <c r="A55" s="539" t="s">
        <v>1197</v>
      </c>
      <c r="B55" s="538"/>
      <c r="C55" s="538"/>
      <c r="D55" s="538"/>
      <c r="E55" s="538"/>
      <c r="F55" s="538"/>
      <c r="G55" s="552"/>
      <c r="H55" s="552"/>
      <c r="I55" s="552"/>
      <c r="J55" s="552"/>
      <c r="K55" s="538"/>
      <c r="L55" s="538"/>
      <c r="M55" s="538"/>
      <c r="N55" s="538"/>
      <c r="O55" s="538"/>
      <c r="P55" s="538"/>
      <c r="Q55" s="538"/>
      <c r="R55" s="538"/>
      <c r="S55" s="538"/>
      <c r="T55" s="538"/>
      <c r="U55" s="538"/>
      <c r="V55" s="538"/>
      <c r="W55" s="534"/>
    </row>
    <row r="56" spans="1:23" ht="15.75" x14ac:dyDescent="0.25">
      <c r="A56" s="539"/>
      <c r="B56" s="538"/>
      <c r="C56" s="538"/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  <c r="O56" s="538"/>
      <c r="P56" s="538"/>
      <c r="Q56" s="538"/>
      <c r="R56" s="538"/>
      <c r="S56" s="538"/>
      <c r="T56" s="538"/>
      <c r="U56" s="538"/>
      <c r="V56" s="538"/>
      <c r="W56" s="534"/>
    </row>
    <row r="57" spans="1:23" ht="15.75" x14ac:dyDescent="0.25">
      <c r="A57" s="539" t="s">
        <v>1198</v>
      </c>
      <c r="B57" s="538"/>
      <c r="C57" s="538"/>
      <c r="D57" s="538"/>
      <c r="E57" s="538"/>
      <c r="F57" s="538"/>
      <c r="G57" s="538"/>
      <c r="H57" s="538"/>
      <c r="I57" s="538"/>
      <c r="J57" s="538"/>
      <c r="K57" s="538"/>
      <c r="L57" s="538"/>
      <c r="M57" s="538"/>
      <c r="N57" s="538"/>
      <c r="O57" s="538"/>
      <c r="P57" s="538"/>
      <c r="Q57" s="538"/>
      <c r="R57" s="538"/>
      <c r="S57" s="538"/>
      <c r="T57" s="538"/>
      <c r="U57" s="538"/>
      <c r="V57" s="538"/>
      <c r="W57" s="534"/>
    </row>
    <row r="58" spans="1:23" ht="16.5" thickBot="1" x14ac:dyDescent="0.3">
      <c r="A58" s="583"/>
      <c r="B58" s="584"/>
      <c r="C58" s="584"/>
      <c r="D58" s="584"/>
      <c r="E58" s="584"/>
      <c r="F58" s="584"/>
      <c r="G58" s="584"/>
      <c r="H58" s="584"/>
      <c r="I58" s="584"/>
      <c r="J58" s="584"/>
      <c r="K58" s="584"/>
      <c r="L58" s="584"/>
      <c r="M58" s="584"/>
      <c r="N58" s="584"/>
      <c r="O58" s="584"/>
      <c r="P58" s="584"/>
      <c r="Q58" s="584"/>
      <c r="R58" s="584"/>
      <c r="S58" s="584"/>
      <c r="T58" s="584"/>
      <c r="U58" s="584"/>
      <c r="V58" s="584"/>
      <c r="W58" s="546"/>
    </row>
    <row r="59" spans="1:23" ht="15.75" x14ac:dyDescent="0.25">
      <c r="A59" s="588" t="s">
        <v>1043</v>
      </c>
      <c r="B59" s="578"/>
      <c r="C59" s="578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  <c r="O59" s="579"/>
      <c r="P59" s="579"/>
      <c r="Q59" s="579"/>
      <c r="R59" s="579"/>
      <c r="S59" s="579"/>
      <c r="T59" s="579"/>
      <c r="U59" s="579"/>
      <c r="V59" s="579"/>
      <c r="W59" s="580"/>
    </row>
    <row r="60" spans="1:23" ht="15.75" x14ac:dyDescent="0.25">
      <c r="A60" s="581"/>
      <c r="B60" s="552"/>
      <c r="C60" s="552"/>
      <c r="D60" s="538"/>
      <c r="E60" s="538"/>
      <c r="F60" s="538"/>
      <c r="G60" s="538"/>
      <c r="H60" s="538"/>
      <c r="I60" s="538"/>
      <c r="J60" s="538"/>
      <c r="K60" s="538" t="s">
        <v>1432</v>
      </c>
      <c r="L60" s="538"/>
      <c r="M60" s="538"/>
      <c r="N60" s="538"/>
      <c r="O60" s="538"/>
      <c r="P60" s="538"/>
      <c r="Q60" s="538"/>
      <c r="R60" s="538"/>
      <c r="S60" s="538"/>
      <c r="T60" s="538"/>
      <c r="U60" s="538"/>
      <c r="V60" s="538"/>
      <c r="W60" s="534"/>
    </row>
    <row r="61" spans="1:23" ht="15.75" x14ac:dyDescent="0.25">
      <c r="A61" s="539" t="s">
        <v>1292</v>
      </c>
      <c r="B61" s="538"/>
      <c r="C61" s="538"/>
      <c r="D61" s="538"/>
      <c r="E61" s="538"/>
      <c r="F61" s="538"/>
      <c r="G61" s="538"/>
      <c r="H61" s="538"/>
      <c r="I61" s="538"/>
      <c r="J61" s="538"/>
      <c r="K61" s="538"/>
      <c r="L61" s="538"/>
      <c r="M61" s="538" t="s">
        <v>1431</v>
      </c>
      <c r="N61" s="538"/>
      <c r="O61" s="538"/>
      <c r="P61" s="538"/>
      <c r="Q61" s="538"/>
      <c r="R61" s="538"/>
      <c r="S61" s="538"/>
      <c r="T61" s="538"/>
      <c r="U61" s="538"/>
      <c r="V61" s="538"/>
      <c r="W61" s="534"/>
    </row>
    <row r="62" spans="1:23" ht="15.75" x14ac:dyDescent="0.25">
      <c r="A62" s="539"/>
      <c r="B62" s="538"/>
      <c r="C62" s="538"/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38"/>
      <c r="O62" s="538"/>
      <c r="P62" s="538"/>
      <c r="Q62" s="538"/>
      <c r="R62" s="538"/>
      <c r="S62" s="538"/>
      <c r="T62" s="538"/>
      <c r="U62" s="538"/>
      <c r="V62" s="538"/>
      <c r="W62" s="534"/>
    </row>
    <row r="63" spans="1:23" ht="15.75" x14ac:dyDescent="0.25">
      <c r="A63" s="539" t="s">
        <v>1438</v>
      </c>
      <c r="B63" s="538"/>
      <c r="C63" s="538"/>
      <c r="D63" s="538"/>
      <c r="E63" s="538"/>
      <c r="F63" s="538"/>
      <c r="G63" s="538"/>
      <c r="H63" s="538"/>
      <c r="I63" s="538"/>
      <c r="J63" s="538"/>
      <c r="K63" s="538" t="s">
        <v>1293</v>
      </c>
      <c r="L63" s="538"/>
      <c r="M63" s="538"/>
      <c r="N63" s="538"/>
      <c r="O63" s="538"/>
      <c r="P63" s="538"/>
      <c r="Q63" s="538"/>
      <c r="R63" s="538"/>
      <c r="S63" s="538"/>
      <c r="T63" s="538"/>
      <c r="U63" s="538"/>
      <c r="V63" s="538"/>
      <c r="W63" s="534"/>
    </row>
    <row r="64" spans="1:23" ht="15.75" x14ac:dyDescent="0.25">
      <c r="A64" s="539"/>
      <c r="B64" s="538"/>
      <c r="C64" s="538"/>
      <c r="D64" s="538"/>
      <c r="E64" s="538"/>
      <c r="F64" s="552"/>
      <c r="G64" s="538"/>
      <c r="H64" s="538"/>
      <c r="I64" s="538"/>
      <c r="J64" s="538"/>
      <c r="K64" s="538"/>
      <c r="L64" s="538"/>
      <c r="M64" s="538"/>
      <c r="N64" s="538"/>
      <c r="O64" s="538"/>
      <c r="P64" s="538"/>
      <c r="Q64" s="538"/>
      <c r="R64" s="538"/>
      <c r="S64" s="538"/>
      <c r="T64" s="538"/>
      <c r="U64" s="538"/>
      <c r="V64" s="538"/>
      <c r="W64" s="534"/>
    </row>
    <row r="65" spans="1:23" ht="15.75" x14ac:dyDescent="0.25">
      <c r="A65" s="539" t="s">
        <v>1440</v>
      </c>
      <c r="B65" s="538"/>
      <c r="C65" s="538"/>
      <c r="D65" s="538"/>
      <c r="E65" s="538"/>
      <c r="F65" s="538"/>
      <c r="G65" s="538"/>
      <c r="H65" s="538"/>
      <c r="I65" s="538"/>
      <c r="J65" s="538"/>
      <c r="K65" s="538"/>
      <c r="L65" s="538"/>
      <c r="M65" s="538"/>
      <c r="N65" s="538"/>
      <c r="O65" s="538"/>
      <c r="P65" s="538"/>
      <c r="Q65" s="538"/>
      <c r="R65" s="538"/>
      <c r="S65" s="538"/>
      <c r="T65" s="538"/>
      <c r="U65" s="538"/>
      <c r="V65" s="538"/>
      <c r="W65" s="534"/>
    </row>
    <row r="66" spans="1:23" ht="15.75" x14ac:dyDescent="0.25">
      <c r="A66" s="539"/>
      <c r="B66" s="538"/>
      <c r="C66" s="538"/>
      <c r="D66" s="538"/>
      <c r="E66" s="538"/>
      <c r="F66" s="538"/>
      <c r="G66" s="538"/>
      <c r="H66" s="538"/>
      <c r="I66" s="538"/>
      <c r="J66" s="538"/>
      <c r="K66" s="538" t="s">
        <v>1442</v>
      </c>
      <c r="L66" s="538"/>
      <c r="M66" s="538"/>
      <c r="N66" s="538"/>
      <c r="O66" s="538"/>
      <c r="P66" s="538"/>
      <c r="Q66" s="538"/>
      <c r="R66" s="538"/>
      <c r="S66" s="538"/>
      <c r="T66" s="538"/>
      <c r="U66" s="538"/>
      <c r="V66" s="538"/>
      <c r="W66" s="534"/>
    </row>
    <row r="67" spans="1:23" ht="15.75" x14ac:dyDescent="0.25">
      <c r="A67" s="539" t="s">
        <v>1294</v>
      </c>
      <c r="B67" s="538"/>
      <c r="C67" s="538"/>
      <c r="D67" s="538"/>
      <c r="E67" s="538"/>
      <c r="F67" s="538"/>
      <c r="G67" s="538"/>
      <c r="H67" s="538"/>
      <c r="I67" s="538"/>
      <c r="J67" s="538"/>
      <c r="K67" s="538" t="s">
        <v>1439</v>
      </c>
      <c r="L67" s="538"/>
      <c r="M67" s="538"/>
      <c r="N67" s="538"/>
      <c r="O67" s="538"/>
      <c r="P67" s="538"/>
      <c r="Q67" s="538"/>
      <c r="R67" s="538"/>
      <c r="S67" s="538"/>
      <c r="T67" s="538"/>
      <c r="U67" s="538"/>
      <c r="V67" s="538"/>
      <c r="W67" s="534"/>
    </row>
    <row r="68" spans="1:23" ht="15.75" x14ac:dyDescent="0.25">
      <c r="A68" s="539" t="s">
        <v>1441</v>
      </c>
      <c r="B68" s="538"/>
      <c r="C68" s="538"/>
      <c r="D68" s="538"/>
      <c r="E68" s="538"/>
      <c r="F68" s="538"/>
      <c r="G68" s="538"/>
      <c r="H68" s="538"/>
      <c r="I68" s="538"/>
      <c r="J68" s="538"/>
      <c r="K68" s="550" t="s">
        <v>1444</v>
      </c>
      <c r="L68" s="538"/>
      <c r="M68" s="538"/>
      <c r="N68" s="538"/>
      <c r="O68" s="538"/>
      <c r="P68" s="538"/>
      <c r="Q68" s="538"/>
      <c r="R68" s="538"/>
      <c r="S68" s="538"/>
      <c r="T68" s="538"/>
      <c r="U68" s="538"/>
      <c r="V68" s="538"/>
      <c r="W68" s="534"/>
    </row>
    <row r="69" spans="1:23" ht="15.75" x14ac:dyDescent="0.25">
      <c r="A69" s="539" t="s">
        <v>1443</v>
      </c>
      <c r="B69" s="538"/>
      <c r="C69" s="538"/>
      <c r="D69" s="538"/>
      <c r="E69" s="538"/>
      <c r="F69" s="538"/>
      <c r="G69" s="538"/>
      <c r="H69" s="538"/>
      <c r="I69" s="538"/>
      <c r="J69" s="538"/>
      <c r="K69" s="538"/>
      <c r="L69" s="538"/>
      <c r="M69" s="538"/>
      <c r="N69" s="538"/>
      <c r="O69" s="538"/>
      <c r="P69" s="538"/>
      <c r="Q69" s="538"/>
      <c r="R69" s="538"/>
      <c r="S69" s="538"/>
      <c r="T69" s="538"/>
      <c r="U69" s="538"/>
      <c r="V69" s="538"/>
      <c r="W69" s="534"/>
    </row>
    <row r="70" spans="1:23" ht="15.75" x14ac:dyDescent="0.25">
      <c r="A70" s="539"/>
      <c r="B70" s="538"/>
      <c r="C70" s="538"/>
      <c r="D70" s="538"/>
      <c r="E70" s="538"/>
      <c r="F70" s="538"/>
      <c r="G70" s="538"/>
      <c r="H70" s="538"/>
      <c r="I70" s="538"/>
      <c r="J70" s="538"/>
      <c r="K70" s="768" t="s">
        <v>1446</v>
      </c>
      <c r="L70" s="720"/>
      <c r="M70" s="720"/>
      <c r="N70" s="720"/>
      <c r="O70" s="720"/>
      <c r="P70" s="764"/>
      <c r="Q70" s="764"/>
      <c r="R70" s="538"/>
      <c r="S70" s="538"/>
      <c r="T70" s="538"/>
      <c r="U70" s="538"/>
      <c r="V70" s="538"/>
      <c r="W70" s="534"/>
    </row>
    <row r="71" spans="1:23" ht="15.75" x14ac:dyDescent="0.25">
      <c r="A71" s="539"/>
      <c r="B71" s="538"/>
      <c r="C71" s="538"/>
      <c r="D71" s="538"/>
      <c r="E71" s="538" t="s">
        <v>1445</v>
      </c>
      <c r="F71" s="538"/>
      <c r="G71" s="538"/>
      <c r="H71" s="538"/>
      <c r="I71" s="538"/>
      <c r="J71" s="538"/>
      <c r="K71" s="538"/>
      <c r="L71" s="538"/>
      <c r="M71" s="538"/>
      <c r="N71" s="538"/>
      <c r="O71" s="538"/>
      <c r="P71" s="538"/>
      <c r="Q71" s="538"/>
      <c r="R71" s="538"/>
      <c r="S71" s="538"/>
      <c r="T71" s="538"/>
      <c r="U71" s="538"/>
      <c r="V71" s="538"/>
      <c r="W71" s="534"/>
    </row>
    <row r="72" spans="1:23" ht="15.75" x14ac:dyDescent="0.25">
      <c r="A72" s="539"/>
      <c r="B72" s="538"/>
      <c r="C72" s="538"/>
      <c r="D72" s="538"/>
      <c r="E72" s="538"/>
      <c r="F72" s="538"/>
      <c r="G72" s="538"/>
      <c r="H72" s="538"/>
      <c r="I72" s="538"/>
      <c r="J72" s="538"/>
      <c r="K72" s="538"/>
      <c r="L72" s="538"/>
      <c r="M72" s="538"/>
      <c r="N72" s="538"/>
      <c r="O72" s="538"/>
      <c r="P72" s="538"/>
      <c r="Q72" s="538"/>
      <c r="R72" s="538"/>
      <c r="S72" s="538"/>
      <c r="T72" s="538"/>
      <c r="U72" s="538"/>
      <c r="V72" s="538"/>
      <c r="W72" s="534"/>
    </row>
    <row r="73" spans="1:23" ht="15.75" x14ac:dyDescent="0.25">
      <c r="A73" s="539"/>
      <c r="B73" s="538"/>
      <c r="C73" s="538"/>
      <c r="D73" s="538"/>
      <c r="E73" s="538"/>
      <c r="F73" s="538"/>
      <c r="G73" s="538"/>
      <c r="H73" s="538"/>
      <c r="I73" s="538"/>
      <c r="J73" s="538"/>
      <c r="K73" s="538"/>
      <c r="L73" s="538"/>
      <c r="M73" s="538"/>
      <c r="N73" s="538"/>
      <c r="O73" s="538"/>
      <c r="P73" s="538"/>
      <c r="Q73" s="538"/>
      <c r="R73" s="538"/>
      <c r="S73" s="538"/>
      <c r="T73" s="538"/>
      <c r="U73" s="538"/>
      <c r="V73" s="538"/>
      <c r="W73" s="534"/>
    </row>
    <row r="74" spans="1:23" ht="15.75" x14ac:dyDescent="0.25">
      <c r="A74" s="539"/>
      <c r="B74" s="538"/>
      <c r="C74" s="538"/>
      <c r="D74" s="538"/>
      <c r="E74" s="538"/>
      <c r="F74" s="538"/>
      <c r="G74" s="538"/>
      <c r="H74" s="538"/>
      <c r="I74" s="538"/>
      <c r="J74" s="538"/>
      <c r="K74" s="538"/>
      <c r="L74" s="538"/>
      <c r="M74" s="538"/>
      <c r="N74" s="538"/>
      <c r="O74" s="538"/>
      <c r="P74" s="538"/>
      <c r="Q74" s="538"/>
      <c r="R74" s="538"/>
      <c r="S74" s="538"/>
      <c r="T74" s="538"/>
      <c r="U74" s="538"/>
      <c r="V74" s="538"/>
      <c r="W74" s="534"/>
    </row>
    <row r="75" spans="1:23" ht="16.5" thickBot="1" x14ac:dyDescent="0.3">
      <c r="A75" s="583"/>
      <c r="B75" s="584"/>
      <c r="C75" s="584"/>
      <c r="D75" s="584"/>
      <c r="E75" s="584"/>
      <c r="F75" s="584"/>
      <c r="G75" s="584"/>
      <c r="H75" s="584"/>
      <c r="I75" s="584"/>
      <c r="J75" s="584"/>
      <c r="K75" s="584"/>
      <c r="L75" s="584"/>
      <c r="M75" s="584"/>
      <c r="N75" s="584"/>
      <c r="O75" s="584"/>
      <c r="P75" s="584"/>
      <c r="Q75" s="584"/>
      <c r="R75" s="584"/>
      <c r="S75" s="584"/>
      <c r="T75" s="584"/>
      <c r="U75" s="584"/>
      <c r="V75" s="584"/>
      <c r="W75" s="54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3:Z25"/>
  <sheetViews>
    <sheetView topLeftCell="L11" workbookViewId="0">
      <selection activeCell="AC24" sqref="AC24"/>
    </sheetView>
  </sheetViews>
  <sheetFormatPr defaultRowHeight="15" x14ac:dyDescent="0.25"/>
  <cols>
    <col min="2" max="2" width="12.140625" customWidth="1"/>
    <col min="3" max="3" width="13.42578125" customWidth="1"/>
    <col min="4" max="4" width="12.85546875" customWidth="1"/>
    <col min="5" max="5" width="16.7109375" customWidth="1"/>
    <col min="6" max="6" width="13" customWidth="1"/>
    <col min="7" max="7" width="13.5703125" customWidth="1"/>
    <col min="8" max="8" width="13.28515625" customWidth="1"/>
    <col min="9" max="9" width="13.85546875" customWidth="1"/>
    <col min="10" max="10" width="17.28515625" customWidth="1"/>
    <col min="11" max="11" width="12" customWidth="1"/>
    <col min="12" max="12" width="15.42578125" customWidth="1"/>
    <col min="13" max="13" width="14.7109375" customWidth="1"/>
    <col min="14" max="14" width="10.85546875" customWidth="1"/>
    <col min="15" max="15" width="31.85546875" customWidth="1"/>
    <col min="16" max="16" width="12.5703125" customWidth="1"/>
    <col min="17" max="17" width="11.28515625" customWidth="1"/>
    <col min="18" max="18" width="21.42578125" customWidth="1"/>
    <col min="19" max="19" width="36" customWidth="1"/>
    <col min="20" max="20" width="12.42578125" customWidth="1"/>
    <col min="21" max="21" width="11.85546875" customWidth="1"/>
    <col min="22" max="22" width="12" customWidth="1"/>
    <col min="23" max="23" width="11.42578125" customWidth="1"/>
    <col min="24" max="24" width="11.7109375" customWidth="1"/>
    <col min="25" max="25" width="12.140625" customWidth="1"/>
    <col min="26" max="26" width="11.42578125" customWidth="1"/>
  </cols>
  <sheetData>
    <row r="3" spans="1:19" ht="15.75" x14ac:dyDescent="0.25">
      <c r="A3" s="524" t="s">
        <v>1199</v>
      </c>
      <c r="B3" s="524"/>
      <c r="C3" s="524"/>
      <c r="D3" s="524"/>
      <c r="E3" s="524"/>
      <c r="F3" s="524"/>
      <c r="G3" s="524"/>
    </row>
    <row r="6" spans="1:19" ht="16.5" thickBot="1" x14ac:dyDescent="0.3">
      <c r="A6" s="589">
        <v>43739</v>
      </c>
    </row>
    <row r="7" spans="1:19" ht="15.75" thickBot="1" x14ac:dyDescent="0.3">
      <c r="A7" s="1080" t="s">
        <v>1386</v>
      </c>
      <c r="B7" s="1090"/>
      <c r="C7" s="1090"/>
      <c r="D7" s="1090"/>
      <c r="E7" s="1081"/>
      <c r="F7" s="757" t="s">
        <v>1200</v>
      </c>
      <c r="G7" s="1080" t="s">
        <v>1201</v>
      </c>
      <c r="H7" s="1081"/>
      <c r="I7" s="757" t="s">
        <v>1202</v>
      </c>
      <c r="J7" s="757" t="s">
        <v>1203</v>
      </c>
      <c r="K7" s="757" t="s">
        <v>1204</v>
      </c>
      <c r="L7" s="757" t="s">
        <v>1</v>
      </c>
      <c r="O7" s="1078" t="s">
        <v>7</v>
      </c>
      <c r="P7" s="1080" t="s">
        <v>38</v>
      </c>
      <c r="Q7" s="1081"/>
      <c r="R7" s="1091" t="s">
        <v>959</v>
      </c>
      <c r="S7" s="1078" t="s">
        <v>958</v>
      </c>
    </row>
    <row r="8" spans="1:19" ht="15.75" thickBot="1" x14ac:dyDescent="0.3">
      <c r="A8" s="721" t="s">
        <v>1412</v>
      </c>
      <c r="B8" s="722"/>
      <c r="C8" s="722"/>
      <c r="D8" s="722"/>
      <c r="E8" s="723"/>
      <c r="F8" s="724">
        <v>157.44999999999999</v>
      </c>
      <c r="G8" s="725" t="s">
        <v>1205</v>
      </c>
      <c r="H8" s="726"/>
      <c r="I8" s="724">
        <v>284</v>
      </c>
      <c r="J8" s="724"/>
      <c r="K8" s="724"/>
      <c r="L8" s="790">
        <v>536589.6</v>
      </c>
      <c r="O8" s="1079"/>
      <c r="P8" s="1080" t="s">
        <v>956</v>
      </c>
      <c r="Q8" s="1081"/>
      <c r="R8" s="1092"/>
      <c r="S8" s="1079"/>
    </row>
    <row r="9" spans="1:19" x14ac:dyDescent="0.25">
      <c r="A9" s="725" t="s">
        <v>1413</v>
      </c>
      <c r="B9" s="728"/>
      <c r="C9" s="728"/>
      <c r="D9" s="728"/>
      <c r="E9" s="726"/>
      <c r="F9" s="727">
        <v>48</v>
      </c>
      <c r="G9" s="725" t="s">
        <v>1206</v>
      </c>
      <c r="H9" s="726"/>
      <c r="I9" s="724">
        <v>91.73</v>
      </c>
      <c r="J9" s="724">
        <v>22</v>
      </c>
      <c r="K9" s="724"/>
      <c r="L9" s="790">
        <f>SUM(48*91.73*22*12)</f>
        <v>1162402.56</v>
      </c>
      <c r="O9" s="724" t="s">
        <v>955</v>
      </c>
      <c r="P9" s="742">
        <v>1685</v>
      </c>
      <c r="Q9" s="726"/>
      <c r="R9" s="743" t="s">
        <v>1166</v>
      </c>
      <c r="S9" s="724" t="s">
        <v>1387</v>
      </c>
    </row>
    <row r="10" spans="1:19" x14ac:dyDescent="0.25">
      <c r="A10" s="725" t="s">
        <v>1414</v>
      </c>
      <c r="B10" s="728"/>
      <c r="C10" s="728"/>
      <c r="D10" s="728"/>
      <c r="E10" s="726"/>
      <c r="F10" s="724">
        <v>516.72</v>
      </c>
      <c r="G10" s="725" t="s">
        <v>1207</v>
      </c>
      <c r="H10" s="726"/>
      <c r="I10" s="729">
        <v>0.23</v>
      </c>
      <c r="J10" s="724"/>
      <c r="K10" s="724"/>
      <c r="L10" s="790">
        <v>130820.48</v>
      </c>
      <c r="O10" s="724" t="s">
        <v>954</v>
      </c>
      <c r="P10" s="725">
        <v>410</v>
      </c>
      <c r="Q10" s="726"/>
      <c r="R10" s="726">
        <v>516.72</v>
      </c>
      <c r="S10" s="724" t="s">
        <v>1387</v>
      </c>
    </row>
    <row r="11" spans="1:19" x14ac:dyDescent="0.25">
      <c r="A11" s="725" t="s">
        <v>1208</v>
      </c>
      <c r="B11" s="730"/>
      <c r="C11" s="730"/>
      <c r="D11" s="730"/>
      <c r="E11" s="731">
        <v>15924460.710000001</v>
      </c>
      <c r="F11" s="732">
        <v>787.56</v>
      </c>
      <c r="G11" s="733" t="s">
        <v>1209</v>
      </c>
      <c r="H11" s="734"/>
      <c r="I11" s="735">
        <v>0.59</v>
      </c>
      <c r="J11" s="724"/>
      <c r="K11" s="724"/>
      <c r="L11" s="790">
        <v>511479.5</v>
      </c>
      <c r="O11" s="724" t="s">
        <v>951</v>
      </c>
      <c r="P11" s="725">
        <v>20</v>
      </c>
      <c r="Q11" s="726"/>
      <c r="R11" s="726">
        <v>200</v>
      </c>
      <c r="S11" s="724" t="s">
        <v>1387</v>
      </c>
    </row>
    <row r="12" spans="1:19" x14ac:dyDescent="0.25">
      <c r="A12" s="733" t="s">
        <v>1415</v>
      </c>
      <c r="B12" s="736"/>
      <c r="C12" s="736"/>
      <c r="D12" s="736"/>
      <c r="E12" s="734"/>
      <c r="F12" s="737">
        <v>3.22</v>
      </c>
      <c r="G12" s="733" t="s">
        <v>1210</v>
      </c>
      <c r="H12" s="734"/>
      <c r="I12" s="737">
        <v>1.6</v>
      </c>
      <c r="J12" s="724">
        <v>22</v>
      </c>
      <c r="K12" s="724">
        <v>2</v>
      </c>
      <c r="L12" s="790">
        <v>226.68</v>
      </c>
      <c r="O12" s="724" t="s">
        <v>949</v>
      </c>
      <c r="P12" s="742">
        <v>1685</v>
      </c>
      <c r="Q12" s="726"/>
      <c r="R12" s="726">
        <v>719.52</v>
      </c>
      <c r="S12" s="724" t="s">
        <v>1387</v>
      </c>
    </row>
    <row r="13" spans="1:19" x14ac:dyDescent="0.25">
      <c r="A13" s="725" t="s">
        <v>1416</v>
      </c>
      <c r="B13" s="728"/>
      <c r="C13" s="728"/>
      <c r="D13" s="728"/>
      <c r="E13" s="726"/>
      <c r="F13" s="724">
        <v>296</v>
      </c>
      <c r="G13" s="725" t="s">
        <v>1209</v>
      </c>
      <c r="H13" s="726"/>
      <c r="I13" s="724">
        <v>29.6</v>
      </c>
      <c r="J13" s="724"/>
      <c r="K13" s="724"/>
      <c r="L13" s="790">
        <f>SUM(296*29.6*12)</f>
        <v>105139.20000000001</v>
      </c>
      <c r="O13" s="724" t="s">
        <v>948</v>
      </c>
      <c r="P13" s="742">
        <v>5224</v>
      </c>
      <c r="Q13" s="744"/>
      <c r="R13" s="726">
        <v>157.44999999999999</v>
      </c>
      <c r="S13" s="724" t="s">
        <v>1389</v>
      </c>
    </row>
    <row r="14" spans="1:19" ht="15.75" thickBot="1" x14ac:dyDescent="0.3">
      <c r="A14" s="725" t="s">
        <v>1211</v>
      </c>
      <c r="B14" s="728"/>
      <c r="C14" s="728"/>
      <c r="D14" s="728"/>
      <c r="E14" s="726"/>
      <c r="F14" s="724">
        <v>221.74</v>
      </c>
      <c r="G14" s="725" t="s">
        <v>1212</v>
      </c>
      <c r="H14" s="726"/>
      <c r="I14" s="724">
        <v>49</v>
      </c>
      <c r="J14" s="724"/>
      <c r="K14" s="724"/>
      <c r="L14" s="790">
        <v>10865.26</v>
      </c>
      <c r="O14" s="724"/>
      <c r="P14" s="725"/>
      <c r="Q14" s="726"/>
      <c r="R14" s="726"/>
      <c r="S14" s="724"/>
    </row>
    <row r="15" spans="1:19" ht="15.75" thickBot="1" x14ac:dyDescent="0.3">
      <c r="A15" s="1080" t="s">
        <v>1214</v>
      </c>
      <c r="B15" s="1090"/>
      <c r="C15" s="1090"/>
      <c r="D15" s="1090"/>
      <c r="E15" s="1081"/>
      <c r="F15" s="738"/>
      <c r="G15" s="739"/>
      <c r="H15" s="740"/>
      <c r="I15" s="738"/>
      <c r="J15" s="738"/>
      <c r="K15" s="738"/>
      <c r="L15" s="741">
        <f>SUM(L8:L14)</f>
        <v>2457523.2800000003</v>
      </c>
      <c r="O15" s="757"/>
      <c r="P15" s="1082"/>
      <c r="Q15" s="1083"/>
      <c r="R15" s="738"/>
      <c r="S15" s="789"/>
    </row>
    <row r="17" spans="1:26" ht="15.75" thickBot="1" x14ac:dyDescent="0.3">
      <c r="A17" t="s">
        <v>1406</v>
      </c>
      <c r="C17" t="s">
        <v>1409</v>
      </c>
    </row>
    <row r="18" spans="1:26" ht="15.75" thickBot="1" x14ac:dyDescent="0.3">
      <c r="A18" s="1084" t="s">
        <v>1297</v>
      </c>
      <c r="B18" s="1085"/>
      <c r="C18" s="1086" t="s">
        <v>1298</v>
      </c>
      <c r="D18" s="1087"/>
      <c r="E18" s="1086" t="s">
        <v>1299</v>
      </c>
      <c r="F18" s="1087"/>
      <c r="G18" s="1088" t="s">
        <v>1300</v>
      </c>
      <c r="H18" s="1089"/>
      <c r="I18" s="1086" t="s">
        <v>1301</v>
      </c>
      <c r="J18" s="1087"/>
      <c r="K18" s="1086" t="s">
        <v>1302</v>
      </c>
      <c r="L18" s="1087"/>
      <c r="M18" s="1086" t="s">
        <v>1303</v>
      </c>
      <c r="N18" s="1087"/>
      <c r="O18" s="1086" t="s">
        <v>1304</v>
      </c>
      <c r="P18" s="1087"/>
      <c r="Q18" s="1086" t="s">
        <v>1305</v>
      </c>
      <c r="R18" s="1087"/>
      <c r="S18" s="1086" t="s">
        <v>1306</v>
      </c>
      <c r="T18" s="1087"/>
      <c r="U18" s="1086" t="s">
        <v>1307</v>
      </c>
      <c r="V18" s="1087"/>
      <c r="W18" s="1093" t="s">
        <v>1410</v>
      </c>
      <c r="X18" s="1094"/>
      <c r="Y18" s="1095" t="s">
        <v>1411</v>
      </c>
      <c r="Z18" s="1094"/>
    </row>
    <row r="19" spans="1:26" ht="35.25" thickBot="1" x14ac:dyDescent="0.3">
      <c r="A19" s="746" t="s">
        <v>1308</v>
      </c>
      <c r="B19" s="746" t="s">
        <v>7</v>
      </c>
      <c r="C19" s="747" t="s">
        <v>1309</v>
      </c>
      <c r="D19" s="748" t="s">
        <v>1310</v>
      </c>
      <c r="E19" s="747" t="s">
        <v>1309</v>
      </c>
      <c r="F19" s="748" t="s">
        <v>1310</v>
      </c>
      <c r="G19" s="747" t="s">
        <v>1309</v>
      </c>
      <c r="H19" s="749" t="s">
        <v>1310</v>
      </c>
      <c r="I19" s="747" t="s">
        <v>1309</v>
      </c>
      <c r="J19" s="748" t="s">
        <v>1310</v>
      </c>
      <c r="K19" s="747" t="s">
        <v>1309</v>
      </c>
      <c r="L19" s="748" t="s">
        <v>1310</v>
      </c>
      <c r="M19" s="747" t="s">
        <v>1309</v>
      </c>
      <c r="N19" s="748" t="s">
        <v>1310</v>
      </c>
      <c r="O19" s="747" t="s">
        <v>1309</v>
      </c>
      <c r="P19" s="748" t="s">
        <v>1310</v>
      </c>
      <c r="Q19" s="747" t="s">
        <v>1309</v>
      </c>
      <c r="R19" s="748" t="s">
        <v>1310</v>
      </c>
      <c r="S19" s="747" t="s">
        <v>1309</v>
      </c>
      <c r="T19" s="748" t="s">
        <v>1310</v>
      </c>
      <c r="U19" s="747" t="s">
        <v>1309</v>
      </c>
      <c r="V19" s="748" t="s">
        <v>1310</v>
      </c>
      <c r="W19" s="747" t="s">
        <v>1309</v>
      </c>
      <c r="X19" s="748" t="s">
        <v>1310</v>
      </c>
      <c r="Y19" s="747" t="s">
        <v>1309</v>
      </c>
      <c r="Z19" s="748" t="s">
        <v>1310</v>
      </c>
    </row>
    <row r="20" spans="1:26" ht="45.75" thickBot="1" x14ac:dyDescent="0.3">
      <c r="A20" s="750" t="s">
        <v>1311</v>
      </c>
      <c r="B20" s="750" t="s">
        <v>1312</v>
      </c>
      <c r="C20" s="751">
        <v>1577056.36</v>
      </c>
      <c r="D20" s="751">
        <f t="shared" ref="D20:D25" si="0">SUM(C20)</f>
        <v>1577056.36</v>
      </c>
      <c r="E20" s="751">
        <v>1844975.21</v>
      </c>
      <c r="F20" s="752">
        <f t="shared" ref="F20:F25" si="1">SUM(D20+E20)</f>
        <v>3422031.5700000003</v>
      </c>
      <c r="G20" s="751">
        <v>1815824.51</v>
      </c>
      <c r="H20" s="752">
        <f t="shared" ref="H20:H25" si="2">SUM(F20+G20)</f>
        <v>5237856.08</v>
      </c>
      <c r="I20" s="751">
        <v>1823888.72</v>
      </c>
      <c r="J20" s="752">
        <f>SUM(H20+I20)</f>
        <v>7061744.7999999998</v>
      </c>
      <c r="K20" s="751">
        <v>1822106.78</v>
      </c>
      <c r="L20" s="752">
        <f t="shared" ref="L20:L25" si="3">SUM(J20+K20)</f>
        <v>8883851.5800000001</v>
      </c>
      <c r="M20" s="751">
        <v>1820122.37</v>
      </c>
      <c r="N20" s="752">
        <f t="shared" ref="N20:N25" si="4">SUM(L20+M20)</f>
        <v>10703973.949999999</v>
      </c>
      <c r="O20" s="751">
        <v>-3346042.72</v>
      </c>
      <c r="P20" s="752">
        <f t="shared" ref="P20:P25" si="5">SUM(N20+O20)</f>
        <v>7357931.2299999986</v>
      </c>
      <c r="Q20" s="751">
        <v>1842743.92</v>
      </c>
      <c r="R20" s="752">
        <f t="shared" ref="R20:R25" si="6">SUM(P20+Q20)</f>
        <v>9200675.1499999985</v>
      </c>
      <c r="S20" s="751">
        <v>1841098.61</v>
      </c>
      <c r="T20" s="752">
        <f t="shared" ref="T20:T25" si="7">SUM(R20+S20)</f>
        <v>11041773.759999998</v>
      </c>
      <c r="U20" s="751">
        <v>1287175.03</v>
      </c>
      <c r="V20" s="752">
        <f t="shared" ref="V20:V25" si="8">SUM(T20+U20)</f>
        <v>12328948.789999997</v>
      </c>
      <c r="W20" s="745">
        <v>2182027.0099999998</v>
      </c>
      <c r="X20" s="752">
        <f t="shared" ref="X20:X25" si="9">SUM(V20+W20)</f>
        <v>14510975.799999997</v>
      </c>
      <c r="Y20" s="745">
        <v>1413484.91</v>
      </c>
      <c r="Z20" s="755">
        <f t="shared" ref="Z20:Z25" si="10">SUM(X20+Y20)</f>
        <v>15924460.709999997</v>
      </c>
    </row>
    <row r="21" spans="1:26" ht="23.25" thickBot="1" x14ac:dyDescent="0.3">
      <c r="A21" s="750" t="s">
        <v>1313</v>
      </c>
      <c r="B21" s="750" t="s">
        <v>1314</v>
      </c>
      <c r="C21" s="751">
        <v>183989.26</v>
      </c>
      <c r="D21" s="751">
        <f t="shared" si="0"/>
        <v>183989.26</v>
      </c>
      <c r="E21" s="753">
        <v>187508.65</v>
      </c>
      <c r="F21" s="752">
        <f t="shared" si="1"/>
        <v>371497.91000000003</v>
      </c>
      <c r="G21" s="753">
        <v>181633.93</v>
      </c>
      <c r="H21" s="752">
        <f t="shared" si="2"/>
        <v>553131.84000000008</v>
      </c>
      <c r="I21" s="753">
        <v>217314.84</v>
      </c>
      <c r="J21" s="752">
        <f>SUM(H21+I21)</f>
        <v>770446.68</v>
      </c>
      <c r="K21" s="753">
        <v>187508.25</v>
      </c>
      <c r="L21" s="752">
        <f t="shared" si="3"/>
        <v>957954.93</v>
      </c>
      <c r="M21" s="751">
        <v>184915.12</v>
      </c>
      <c r="N21" s="752">
        <f t="shared" si="4"/>
        <v>1142870.05</v>
      </c>
      <c r="O21" s="751">
        <v>183789.24</v>
      </c>
      <c r="P21" s="752">
        <f t="shared" si="5"/>
        <v>1326659.29</v>
      </c>
      <c r="Q21" s="751">
        <v>195549.22</v>
      </c>
      <c r="R21" s="752">
        <f t="shared" si="6"/>
        <v>1522208.51</v>
      </c>
      <c r="S21" s="751">
        <v>190443.37</v>
      </c>
      <c r="T21" s="752">
        <f t="shared" si="7"/>
        <v>1712651.88</v>
      </c>
      <c r="U21" s="751">
        <v>185487.31</v>
      </c>
      <c r="V21" s="752">
        <f t="shared" si="8"/>
        <v>1898139.19</v>
      </c>
      <c r="W21" s="745">
        <v>168797.82</v>
      </c>
      <c r="X21" s="752">
        <f t="shared" si="9"/>
        <v>2066937.01</v>
      </c>
      <c r="Y21" s="745">
        <v>200513.36</v>
      </c>
      <c r="Z21" s="755">
        <f t="shared" si="10"/>
        <v>2267450.37</v>
      </c>
    </row>
    <row r="22" spans="1:26" ht="15.75" thickBot="1" x14ac:dyDescent="0.3">
      <c r="A22" s="750" t="s">
        <v>1315</v>
      </c>
      <c r="B22" s="750" t="s">
        <v>1316</v>
      </c>
      <c r="C22" s="751"/>
      <c r="D22" s="751">
        <f t="shared" si="0"/>
        <v>0</v>
      </c>
      <c r="E22" s="751"/>
      <c r="F22" s="752">
        <f t="shared" si="1"/>
        <v>0</v>
      </c>
      <c r="G22" s="751"/>
      <c r="H22" s="752">
        <f t="shared" si="2"/>
        <v>0</v>
      </c>
      <c r="I22" s="751"/>
      <c r="J22" s="752">
        <f>SUM(H22+I22)</f>
        <v>0</v>
      </c>
      <c r="K22" s="753">
        <v>21837.5</v>
      </c>
      <c r="L22" s="752">
        <f t="shared" si="3"/>
        <v>21837.5</v>
      </c>
      <c r="M22" s="753">
        <v>-5885</v>
      </c>
      <c r="N22" s="752">
        <f t="shared" si="4"/>
        <v>15952.5</v>
      </c>
      <c r="O22" s="753">
        <v>20670</v>
      </c>
      <c r="P22" s="752">
        <f t="shared" si="5"/>
        <v>36622.5</v>
      </c>
      <c r="Q22" s="753">
        <v>47405</v>
      </c>
      <c r="R22" s="752">
        <f t="shared" si="6"/>
        <v>84027.5</v>
      </c>
      <c r="S22" s="753">
        <v>26787.5</v>
      </c>
      <c r="T22" s="752">
        <f t="shared" si="7"/>
        <v>110815</v>
      </c>
      <c r="U22" s="754"/>
      <c r="V22" s="752">
        <f t="shared" si="8"/>
        <v>110815</v>
      </c>
      <c r="W22" s="745">
        <v>52030</v>
      </c>
      <c r="X22" s="752">
        <f t="shared" si="9"/>
        <v>162845</v>
      </c>
      <c r="Y22" s="752">
        <v>0</v>
      </c>
      <c r="Z22" s="755">
        <f t="shared" si="10"/>
        <v>162845</v>
      </c>
    </row>
    <row r="23" spans="1:26" ht="34.5" thickBot="1" x14ac:dyDescent="0.3">
      <c r="A23" s="750" t="s">
        <v>1317</v>
      </c>
      <c r="B23" s="750" t="s">
        <v>1318</v>
      </c>
      <c r="C23" s="751"/>
      <c r="D23" s="751">
        <f t="shared" si="0"/>
        <v>0</v>
      </c>
      <c r="E23" s="751"/>
      <c r="F23" s="752">
        <f t="shared" si="1"/>
        <v>0</v>
      </c>
      <c r="G23" s="751"/>
      <c r="H23" s="752">
        <f t="shared" si="2"/>
        <v>0</v>
      </c>
      <c r="I23" s="751"/>
      <c r="J23" s="752"/>
      <c r="K23" s="751"/>
      <c r="L23" s="752">
        <f t="shared" si="3"/>
        <v>0</v>
      </c>
      <c r="M23" s="751"/>
      <c r="N23" s="752">
        <f t="shared" si="4"/>
        <v>0</v>
      </c>
      <c r="O23" s="751"/>
      <c r="P23" s="752">
        <f t="shared" si="5"/>
        <v>0</v>
      </c>
      <c r="Q23" s="751"/>
      <c r="R23" s="752">
        <f t="shared" si="6"/>
        <v>0</v>
      </c>
      <c r="S23" s="752"/>
      <c r="T23" s="752">
        <f t="shared" si="7"/>
        <v>0</v>
      </c>
      <c r="U23" s="751">
        <v>180</v>
      </c>
      <c r="V23" s="752">
        <f t="shared" si="8"/>
        <v>180</v>
      </c>
      <c r="W23" s="745">
        <v>2406.02</v>
      </c>
      <c r="X23" s="752">
        <f t="shared" si="9"/>
        <v>2586.02</v>
      </c>
      <c r="Y23" s="745">
        <v>4025</v>
      </c>
      <c r="Z23" s="755">
        <f t="shared" si="10"/>
        <v>6611.02</v>
      </c>
    </row>
    <row r="24" spans="1:26" ht="45.75" thickBot="1" x14ac:dyDescent="0.3">
      <c r="A24" s="750" t="s">
        <v>1319</v>
      </c>
      <c r="B24" s="750" t="s">
        <v>1320</v>
      </c>
      <c r="C24" s="751"/>
      <c r="D24" s="751">
        <f t="shared" si="0"/>
        <v>0</v>
      </c>
      <c r="E24" s="751">
        <v>1294020.08</v>
      </c>
      <c r="F24" s="752">
        <f t="shared" si="1"/>
        <v>1294020.08</v>
      </c>
      <c r="G24" s="751">
        <v>-55961.01</v>
      </c>
      <c r="H24" s="752">
        <f t="shared" si="2"/>
        <v>1238059.07</v>
      </c>
      <c r="I24" s="751">
        <v>1603726.66</v>
      </c>
      <c r="J24" s="752">
        <f>SUM(H24+I24)</f>
        <v>2841785.73</v>
      </c>
      <c r="K24" s="751">
        <v>3324635.72</v>
      </c>
      <c r="L24" s="752">
        <f t="shared" si="3"/>
        <v>6166421.4500000002</v>
      </c>
      <c r="M24" s="751">
        <v>1595633.85</v>
      </c>
      <c r="N24" s="752">
        <f t="shared" si="4"/>
        <v>7762055.3000000007</v>
      </c>
      <c r="O24" s="751">
        <v>-48688.070000000298</v>
      </c>
      <c r="P24" s="752">
        <f t="shared" si="5"/>
        <v>7713367.2300000004</v>
      </c>
      <c r="Q24" s="751">
        <v>1842743.92</v>
      </c>
      <c r="R24" s="752">
        <f t="shared" si="6"/>
        <v>9556111.1500000004</v>
      </c>
      <c r="S24" s="751">
        <v>3244240.49</v>
      </c>
      <c r="T24" s="752">
        <f t="shared" si="7"/>
        <v>12800351.640000001</v>
      </c>
      <c r="U24" s="751">
        <v>1532016.97</v>
      </c>
      <c r="V24" s="752">
        <f t="shared" si="8"/>
        <v>14332368.610000001</v>
      </c>
      <c r="W24" s="745">
        <v>1701966.62</v>
      </c>
      <c r="X24" s="752">
        <f t="shared" si="9"/>
        <v>16034335.23</v>
      </c>
      <c r="Y24" s="745">
        <v>5173961.5999999996</v>
      </c>
      <c r="Z24" s="755">
        <f t="shared" si="10"/>
        <v>21208296.829999998</v>
      </c>
    </row>
    <row r="25" spans="1:26" ht="34.5" thickBot="1" x14ac:dyDescent="0.3">
      <c r="A25" s="750" t="s">
        <v>1321</v>
      </c>
      <c r="B25" s="750" t="s">
        <v>1322</v>
      </c>
      <c r="C25" s="751"/>
      <c r="D25" s="751">
        <f t="shared" si="0"/>
        <v>0</v>
      </c>
      <c r="E25" s="751">
        <v>1730730</v>
      </c>
      <c r="F25" s="752">
        <f t="shared" si="1"/>
        <v>1730730</v>
      </c>
      <c r="G25" s="751">
        <v>53883.6499999999</v>
      </c>
      <c r="H25" s="752">
        <f t="shared" si="2"/>
        <v>1784613.65</v>
      </c>
      <c r="I25" s="751">
        <v>531572.25</v>
      </c>
      <c r="J25" s="752">
        <f>SUM(H25+I25)</f>
        <v>2316185.9</v>
      </c>
      <c r="K25" s="751">
        <v>2884546</v>
      </c>
      <c r="L25" s="752">
        <f t="shared" si="3"/>
        <v>5200731.9000000004</v>
      </c>
      <c r="M25" s="751">
        <v>0</v>
      </c>
      <c r="N25" s="752">
        <f t="shared" si="4"/>
        <v>5200731.9000000004</v>
      </c>
      <c r="O25" s="751">
        <v>531572.25</v>
      </c>
      <c r="P25" s="752">
        <f t="shared" si="5"/>
        <v>5732304.1500000004</v>
      </c>
      <c r="Q25" s="751">
        <v>2884546</v>
      </c>
      <c r="R25" s="752">
        <f t="shared" si="6"/>
        <v>8616850.1500000004</v>
      </c>
      <c r="S25" s="751">
        <v>2884546</v>
      </c>
      <c r="T25" s="752">
        <f t="shared" si="7"/>
        <v>11501396.15</v>
      </c>
      <c r="U25" s="751">
        <v>0</v>
      </c>
      <c r="V25" s="752">
        <f t="shared" si="8"/>
        <v>11501396.15</v>
      </c>
      <c r="W25" s="745">
        <v>0</v>
      </c>
      <c r="X25" s="752">
        <f t="shared" si="9"/>
        <v>11501396.15</v>
      </c>
      <c r="Y25" s="745">
        <v>0</v>
      </c>
      <c r="Z25" s="755">
        <f t="shared" si="10"/>
        <v>11501396.15</v>
      </c>
    </row>
  </sheetData>
  <mergeCells count="22">
    <mergeCell ref="U18:V18"/>
    <mergeCell ref="W18:X18"/>
    <mergeCell ref="Y18:Z18"/>
    <mergeCell ref="K18:L18"/>
    <mergeCell ref="M18:N18"/>
    <mergeCell ref="O18:P18"/>
    <mergeCell ref="Q18:R18"/>
    <mergeCell ref="S18:T18"/>
    <mergeCell ref="S7:S8"/>
    <mergeCell ref="P8:Q8"/>
    <mergeCell ref="P15:Q15"/>
    <mergeCell ref="A18:B18"/>
    <mergeCell ref="C18:D18"/>
    <mergeCell ref="E18:F18"/>
    <mergeCell ref="G18:H18"/>
    <mergeCell ref="I18:J18"/>
    <mergeCell ref="A7:E7"/>
    <mergeCell ref="G7:H7"/>
    <mergeCell ref="O7:O8"/>
    <mergeCell ref="P7:Q7"/>
    <mergeCell ref="R7:R8"/>
    <mergeCell ref="A15:E1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4:H18"/>
  <sheetViews>
    <sheetView workbookViewId="0">
      <selection activeCell="P18" sqref="P18"/>
    </sheetView>
  </sheetViews>
  <sheetFormatPr defaultRowHeight="15" x14ac:dyDescent="0.25"/>
  <cols>
    <col min="5" max="5" width="16" customWidth="1"/>
    <col min="6" max="6" width="16.85546875" bestFit="1" customWidth="1"/>
    <col min="7" max="7" width="18.7109375" customWidth="1"/>
  </cols>
  <sheetData>
    <row r="4" spans="2:7" ht="15.75" thickBot="1" x14ac:dyDescent="0.3"/>
    <row r="5" spans="2:7" ht="15.75" thickBot="1" x14ac:dyDescent="0.3">
      <c r="B5" s="772" t="s">
        <v>1378</v>
      </c>
      <c r="C5" s="773"/>
      <c r="D5" s="773"/>
      <c r="E5" s="796"/>
      <c r="G5" s="757" t="s">
        <v>1434</v>
      </c>
    </row>
    <row r="6" spans="2:7" x14ac:dyDescent="0.25">
      <c r="B6" s="41"/>
      <c r="C6" s="17"/>
      <c r="D6" s="17"/>
      <c r="E6" s="45"/>
      <c r="F6" s="711"/>
      <c r="G6" s="792"/>
    </row>
    <row r="7" spans="2:7" x14ac:dyDescent="0.25">
      <c r="B7" s="41" t="s">
        <v>1379</v>
      </c>
      <c r="C7" s="17"/>
      <c r="D7" s="17"/>
      <c r="E7" s="45"/>
      <c r="F7" s="712"/>
      <c r="G7" s="793">
        <f>Tarifa!G11</f>
        <v>143400739.42472577</v>
      </c>
    </row>
    <row r="8" spans="2:7" x14ac:dyDescent="0.25">
      <c r="B8" s="41" t="s">
        <v>1380</v>
      </c>
      <c r="C8" s="17"/>
      <c r="D8" s="17"/>
      <c r="E8" s="45"/>
      <c r="F8" s="4"/>
      <c r="G8" s="793">
        <f>Tarifa!G18</f>
        <v>124529210.56651069</v>
      </c>
    </row>
    <row r="9" spans="2:7" x14ac:dyDescent="0.25">
      <c r="B9" s="41"/>
      <c r="C9" s="17"/>
      <c r="D9" s="50"/>
      <c r="E9" s="45"/>
      <c r="G9" s="794"/>
    </row>
    <row r="10" spans="2:7" x14ac:dyDescent="0.25">
      <c r="B10" s="41" t="s">
        <v>1381</v>
      </c>
      <c r="C10" s="17"/>
      <c r="D10" s="17"/>
      <c r="E10" s="45"/>
      <c r="F10" s="47"/>
      <c r="G10" s="794">
        <f>SUM(G7*3.65/100)</f>
        <v>5234126.9890024904</v>
      </c>
    </row>
    <row r="11" spans="2:7" x14ac:dyDescent="0.25">
      <c r="B11" s="41" t="s">
        <v>1382</v>
      </c>
      <c r="C11" s="17"/>
      <c r="D11" s="17"/>
      <c r="E11" s="45"/>
      <c r="G11" s="794">
        <f>SUM(G8*3.65/100)</f>
        <v>4545316.1856776401</v>
      </c>
    </row>
    <row r="12" spans="2:7" ht="15.75" thickBot="1" x14ac:dyDescent="0.3">
      <c r="B12" s="41"/>
      <c r="C12" s="17"/>
      <c r="D12" s="17"/>
      <c r="E12" s="45"/>
      <c r="G12" s="795"/>
    </row>
    <row r="13" spans="2:7" ht="15.75" thickBot="1" x14ac:dyDescent="0.3">
      <c r="B13" s="772" t="s">
        <v>1383</v>
      </c>
      <c r="C13" s="773"/>
      <c r="D13" s="773"/>
      <c r="E13" s="796"/>
      <c r="G13" s="797">
        <f>SUM(G10:G12)</f>
        <v>9779443.1746801306</v>
      </c>
    </row>
    <row r="14" spans="2:7" x14ac:dyDescent="0.25">
      <c r="G14" s="2"/>
    </row>
    <row r="17" spans="6:8" ht="15.75" thickBot="1" x14ac:dyDescent="0.3"/>
    <row r="18" spans="6:8" ht="15.75" thickBot="1" x14ac:dyDescent="0.3">
      <c r="F18" s="770" t="s">
        <v>1379</v>
      </c>
      <c r="G18" s="771"/>
      <c r="H18" s="79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AB50"/>
  <sheetViews>
    <sheetView topLeftCell="C1" workbookViewId="0">
      <selection activeCell="E11" sqref="E11"/>
    </sheetView>
  </sheetViews>
  <sheetFormatPr defaultRowHeight="15" x14ac:dyDescent="0.25"/>
  <cols>
    <col min="16" max="16" width="11.5703125" customWidth="1"/>
    <col min="24" max="24" width="13.140625" customWidth="1"/>
    <col min="25" max="25" width="12.5703125" customWidth="1"/>
    <col min="26" max="26" width="13.85546875" customWidth="1"/>
    <col min="27" max="27" width="12.85546875" customWidth="1"/>
    <col min="28" max="28" width="16.5703125" customWidth="1"/>
  </cols>
  <sheetData>
    <row r="1" spans="2:28" ht="15.75" thickBot="1" x14ac:dyDescent="0.3"/>
    <row r="2" spans="2:28" ht="18.75" thickBot="1" x14ac:dyDescent="0.3">
      <c r="I2" s="799" t="s">
        <v>1435</v>
      </c>
      <c r="J2" s="800"/>
      <c r="K2" s="800"/>
      <c r="L2" s="800"/>
      <c r="M2" s="800"/>
      <c r="N2" s="800"/>
      <c r="O2" s="801"/>
      <c r="P2" s="802"/>
      <c r="Z2" s="760"/>
    </row>
    <row r="3" spans="2:28" ht="15.75" thickBot="1" x14ac:dyDescent="0.3">
      <c r="I3" s="803" t="s">
        <v>1358</v>
      </c>
      <c r="J3" s="804"/>
      <c r="K3" s="804"/>
      <c r="L3" s="805"/>
      <c r="M3" s="805"/>
      <c r="N3" s="805"/>
      <c r="O3" s="805"/>
      <c r="P3" s="806"/>
    </row>
    <row r="4" spans="2:28" x14ac:dyDescent="0.25">
      <c r="B4" s="591"/>
      <c r="C4" s="591"/>
      <c r="D4" s="591"/>
      <c r="E4" s="591"/>
      <c r="F4" s="591"/>
    </row>
    <row r="5" spans="2:28" ht="15.75" thickBot="1" x14ac:dyDescent="0.3"/>
    <row r="6" spans="2:28" ht="15.75" thickBot="1" x14ac:dyDescent="0.3">
      <c r="B6" s="1098" t="s">
        <v>1297</v>
      </c>
      <c r="C6" s="1099"/>
      <c r="D6" s="1096">
        <v>43466</v>
      </c>
      <c r="E6" s="1097"/>
      <c r="F6" s="1096">
        <v>43497</v>
      </c>
      <c r="G6" s="1097"/>
      <c r="H6" s="1096">
        <v>43525</v>
      </c>
      <c r="I6" s="1097"/>
      <c r="J6" s="1096">
        <v>43556</v>
      </c>
      <c r="K6" s="1097"/>
      <c r="L6" s="1096">
        <v>43586</v>
      </c>
      <c r="M6" s="1097"/>
      <c r="N6" s="1096">
        <v>43617</v>
      </c>
      <c r="O6" s="1097"/>
      <c r="P6" s="1096">
        <v>43647</v>
      </c>
      <c r="Q6" s="1097"/>
      <c r="R6" s="1096">
        <v>43678</v>
      </c>
      <c r="S6" s="1097"/>
      <c r="T6" s="1096">
        <v>43709</v>
      </c>
      <c r="U6" s="1097"/>
      <c r="V6" s="1096">
        <v>43739</v>
      </c>
      <c r="W6" s="1097"/>
      <c r="X6" s="1100" t="s">
        <v>1410</v>
      </c>
      <c r="Y6" s="1101"/>
      <c r="Z6" s="1100" t="s">
        <v>1411</v>
      </c>
      <c r="AA6" s="1101"/>
      <c r="AB6" s="1102" t="s">
        <v>8</v>
      </c>
    </row>
    <row r="7" spans="2:28" ht="35.25" thickBot="1" x14ac:dyDescent="0.3">
      <c r="B7" s="812" t="s">
        <v>1308</v>
      </c>
      <c r="C7" s="813" t="s">
        <v>7</v>
      </c>
      <c r="D7" s="814" t="s">
        <v>1309</v>
      </c>
      <c r="E7" s="815" t="s">
        <v>1310</v>
      </c>
      <c r="F7" s="816" t="s">
        <v>1309</v>
      </c>
      <c r="G7" s="817" t="s">
        <v>1310</v>
      </c>
      <c r="H7" s="816" t="s">
        <v>1309</v>
      </c>
      <c r="I7" s="817" t="s">
        <v>1310</v>
      </c>
      <c r="J7" s="816" t="s">
        <v>1309</v>
      </c>
      <c r="K7" s="817" t="s">
        <v>1310</v>
      </c>
      <c r="L7" s="816" t="s">
        <v>1309</v>
      </c>
      <c r="M7" s="817" t="s">
        <v>1310</v>
      </c>
      <c r="N7" s="816" t="s">
        <v>1309</v>
      </c>
      <c r="O7" s="817" t="s">
        <v>1310</v>
      </c>
      <c r="P7" s="814" t="s">
        <v>1309</v>
      </c>
      <c r="Q7" s="815" t="s">
        <v>1310</v>
      </c>
      <c r="R7" s="814" t="s">
        <v>1309</v>
      </c>
      <c r="S7" s="814" t="s">
        <v>1310</v>
      </c>
      <c r="T7" s="814" t="s">
        <v>1309</v>
      </c>
      <c r="U7" s="814" t="s">
        <v>1310</v>
      </c>
      <c r="V7" s="814" t="s">
        <v>1309</v>
      </c>
      <c r="W7" s="814" t="s">
        <v>1310</v>
      </c>
      <c r="X7" s="814" t="s">
        <v>1309</v>
      </c>
      <c r="Y7" s="814" t="s">
        <v>1310</v>
      </c>
      <c r="Z7" s="814" t="s">
        <v>1309</v>
      </c>
      <c r="AA7" s="814" t="s">
        <v>1310</v>
      </c>
      <c r="AB7" s="1103"/>
    </row>
    <row r="8" spans="2:28" ht="34.5" thickBot="1" x14ac:dyDescent="0.3">
      <c r="B8" s="592" t="s">
        <v>1323</v>
      </c>
      <c r="C8" s="592" t="s">
        <v>1324</v>
      </c>
      <c r="D8" s="593">
        <v>0</v>
      </c>
      <c r="E8" s="593">
        <f ca="1">SUM(E8)</f>
        <v>0</v>
      </c>
      <c r="F8" s="593">
        <v>0</v>
      </c>
      <c r="G8" s="593">
        <f ca="1">SUM(E8+G8)</f>
        <v>0</v>
      </c>
      <c r="H8" s="758">
        <v>3709.42</v>
      </c>
      <c r="I8" s="593">
        <f>SUM(H8)</f>
        <v>3709.42</v>
      </c>
      <c r="J8" s="761">
        <v>46518.3</v>
      </c>
      <c r="K8" s="593">
        <f>SUM(I8+J8)</f>
        <v>50227.72</v>
      </c>
      <c r="L8" s="758">
        <v>10268.93</v>
      </c>
      <c r="M8" s="593">
        <f>SUM(K8+L8)</f>
        <v>60496.65</v>
      </c>
      <c r="N8" s="758">
        <v>13811.8</v>
      </c>
      <c r="O8" s="593">
        <f>SUM(M8+N8)</f>
        <v>74308.45</v>
      </c>
      <c r="P8" s="758">
        <v>336736.57</v>
      </c>
      <c r="Q8" s="593">
        <f>SUM(O8+P8)</f>
        <v>411045.02</v>
      </c>
      <c r="R8" s="758">
        <v>15556.74</v>
      </c>
      <c r="S8" s="593">
        <f>SUM(Q8+R8)</f>
        <v>426601.76</v>
      </c>
      <c r="T8" s="758">
        <v>278825.58</v>
      </c>
      <c r="U8" s="593">
        <f>SUM(S8+T8)</f>
        <v>705427.34000000008</v>
      </c>
      <c r="V8" s="759">
        <v>122769.53</v>
      </c>
      <c r="W8" s="593">
        <f>SUM(U8+V8)</f>
        <v>828196.87000000011</v>
      </c>
      <c r="X8" s="807">
        <v>229943.27</v>
      </c>
      <c r="Y8" s="593">
        <f>SUM(W8+X8)</f>
        <v>1058140.1400000001</v>
      </c>
      <c r="Z8" s="807">
        <v>76597.570000000094</v>
      </c>
      <c r="AA8" s="593">
        <f>SUM(Y8+Z8)</f>
        <v>1134737.7100000002</v>
      </c>
      <c r="AB8" s="1104">
        <f>SUM(AA8+AA9+AA10+AA11)</f>
        <v>1728464.2400000005</v>
      </c>
    </row>
    <row r="9" spans="2:28" ht="23.25" thickBot="1" x14ac:dyDescent="0.3">
      <c r="B9" s="592" t="s">
        <v>1325</v>
      </c>
      <c r="C9" s="592" t="s">
        <v>1326</v>
      </c>
      <c r="D9" s="593">
        <v>0</v>
      </c>
      <c r="E9" s="593">
        <f ca="1">SUM(E9)</f>
        <v>0</v>
      </c>
      <c r="F9" s="593"/>
      <c r="G9" s="593">
        <f ca="1">SUM(E9+F9)</f>
        <v>0</v>
      </c>
      <c r="H9" s="593"/>
      <c r="I9" s="593">
        <f>SUM(H9)</f>
        <v>0</v>
      </c>
      <c r="J9" s="761"/>
      <c r="K9" s="593">
        <f>SUM(I9+J9)</f>
        <v>0</v>
      </c>
      <c r="L9" s="593"/>
      <c r="M9" s="593">
        <f>SUM(K9+L9)</f>
        <v>0</v>
      </c>
      <c r="N9" s="593"/>
      <c r="O9" s="593">
        <f>SUM(M9+N9)</f>
        <v>0</v>
      </c>
      <c r="P9" s="758">
        <v>67561.240000000005</v>
      </c>
      <c r="Q9" s="593">
        <f>SUM(O9+P9)</f>
        <v>67561.240000000005</v>
      </c>
      <c r="R9" s="758">
        <v>10274.39</v>
      </c>
      <c r="S9" s="593">
        <f>SUM(Q9+R9)</f>
        <v>77835.63</v>
      </c>
      <c r="T9" s="758">
        <v>166421.42000000001</v>
      </c>
      <c r="U9" s="593">
        <f>SUM(S9+T9)</f>
        <v>244257.05000000002</v>
      </c>
      <c r="V9" s="759">
        <v>83084.63</v>
      </c>
      <c r="W9" s="593">
        <f>SUM(U9+V9)</f>
        <v>327341.68000000005</v>
      </c>
      <c r="X9" s="807">
        <v>162326.51999999999</v>
      </c>
      <c r="Y9" s="593">
        <f>SUM(W9+X9)</f>
        <v>489668.20000000007</v>
      </c>
      <c r="Z9" s="807">
        <v>80936.960000000094</v>
      </c>
      <c r="AA9" s="593">
        <f>SUM(Y9+Z9)</f>
        <v>570605.16000000015</v>
      </c>
      <c r="AB9" s="1105"/>
    </row>
    <row r="10" spans="2:28" ht="34.5" thickBot="1" x14ac:dyDescent="0.3">
      <c r="B10" s="592" t="s">
        <v>1327</v>
      </c>
      <c r="C10" s="592" t="s">
        <v>1324</v>
      </c>
      <c r="D10" s="593">
        <v>0</v>
      </c>
      <c r="E10" s="593">
        <v>0</v>
      </c>
      <c r="F10" s="593"/>
      <c r="G10" s="593">
        <f ca="1">SUM(E10+G10)</f>
        <v>0</v>
      </c>
      <c r="H10" s="593"/>
      <c r="I10" s="593">
        <f>SUM(H10)</f>
        <v>0</v>
      </c>
      <c r="J10" s="761"/>
      <c r="K10" s="593">
        <f>SUM(I10+J10)</f>
        <v>0</v>
      </c>
      <c r="L10" s="593"/>
      <c r="M10" s="593">
        <f>SUM(K10+L10)</f>
        <v>0</v>
      </c>
      <c r="N10" s="758">
        <v>2492.4</v>
      </c>
      <c r="O10" s="593">
        <f>SUM(M10+N10)</f>
        <v>2492.4</v>
      </c>
      <c r="P10" s="758">
        <v>561.9</v>
      </c>
      <c r="Q10" s="593">
        <f>SUM(O10+P10)</f>
        <v>3054.3</v>
      </c>
      <c r="R10" s="758">
        <v>4875</v>
      </c>
      <c r="S10" s="593">
        <f>SUM(Q10+R10)</f>
        <v>7929.3</v>
      </c>
      <c r="T10" s="758">
        <v>629.99999999999898</v>
      </c>
      <c r="U10" s="593">
        <f>SUM(S10+T10)</f>
        <v>8559.2999999999993</v>
      </c>
      <c r="V10" s="759">
        <v>4649.97</v>
      </c>
      <c r="W10" s="593">
        <f>SUM(U10+V10)</f>
        <v>13209.27</v>
      </c>
      <c r="X10" s="807">
        <v>4805</v>
      </c>
      <c r="Y10" s="593">
        <f>SUM(W10+X10)</f>
        <v>18014.27</v>
      </c>
      <c r="Z10" s="807">
        <v>5073.1000000000004</v>
      </c>
      <c r="AA10" s="593">
        <f>SUM(Y10+Z10)</f>
        <v>23087.370000000003</v>
      </c>
      <c r="AB10" s="1105"/>
    </row>
    <row r="11" spans="2:28" ht="68.25" thickBot="1" x14ac:dyDescent="0.3">
      <c r="B11" s="592" t="s">
        <v>1328</v>
      </c>
      <c r="C11" s="592" t="s">
        <v>1329</v>
      </c>
      <c r="D11" s="593">
        <v>0</v>
      </c>
      <c r="E11" s="593">
        <f ca="1">SUM(E11)</f>
        <v>0</v>
      </c>
      <c r="F11" s="593">
        <v>0</v>
      </c>
      <c r="G11" s="593">
        <f ca="1">SUM(E11+G11)</f>
        <v>0</v>
      </c>
      <c r="H11" s="593">
        <v>0</v>
      </c>
      <c r="I11" s="593">
        <f>SUM(H11)</f>
        <v>0</v>
      </c>
      <c r="J11" s="761"/>
      <c r="K11" s="593">
        <f>SUM(I11+J11)</f>
        <v>0</v>
      </c>
      <c r="L11" s="593"/>
      <c r="M11" s="593">
        <f>SUM(K11+L11)</f>
        <v>0</v>
      </c>
      <c r="N11" s="593">
        <v>0</v>
      </c>
      <c r="O11" s="593">
        <f>SUM(M11+N11)</f>
        <v>0</v>
      </c>
      <c r="P11" s="593"/>
      <c r="Q11" s="593">
        <f>SUM(O11+P11)</f>
        <v>0</v>
      </c>
      <c r="R11" s="593">
        <v>0</v>
      </c>
      <c r="S11" s="593">
        <f>SUM(Q11+R11)</f>
        <v>0</v>
      </c>
      <c r="T11" s="593"/>
      <c r="U11" s="593">
        <f>SUM(S11+T11)</f>
        <v>0</v>
      </c>
      <c r="V11" s="593">
        <v>0</v>
      </c>
      <c r="W11" s="593">
        <f>SUM(U11+V11)</f>
        <v>0</v>
      </c>
      <c r="X11" s="807">
        <v>26</v>
      </c>
      <c r="Y11" s="593">
        <f>SUM(W11+X11)</f>
        <v>26</v>
      </c>
      <c r="Z11" s="807">
        <v>8</v>
      </c>
      <c r="AA11" s="593">
        <f>SUM(Y11+Z11)</f>
        <v>34</v>
      </c>
      <c r="AB11" s="1106"/>
    </row>
    <row r="12" spans="2:28" x14ac:dyDescent="0.25"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</row>
    <row r="13" spans="2:28" ht="15.75" thickBot="1" x14ac:dyDescent="0.3"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</row>
    <row r="14" spans="2:28" ht="23.25" thickBot="1" x14ac:dyDescent="0.3">
      <c r="B14" s="818" t="s">
        <v>1297</v>
      </c>
      <c r="C14" s="819"/>
      <c r="D14" s="820">
        <v>43466</v>
      </c>
      <c r="E14" s="821"/>
      <c r="F14" s="820">
        <v>43497</v>
      </c>
      <c r="G14" s="821"/>
      <c r="H14" s="820">
        <v>43525</v>
      </c>
      <c r="I14" s="821"/>
      <c r="J14" s="820">
        <v>43556</v>
      </c>
      <c r="K14" s="821"/>
      <c r="L14" s="820">
        <v>43586</v>
      </c>
      <c r="M14" s="821"/>
      <c r="N14" s="820">
        <v>43617</v>
      </c>
      <c r="O14" s="821"/>
      <c r="P14" s="820">
        <v>43647</v>
      </c>
      <c r="Q14" s="821"/>
      <c r="R14" s="820">
        <v>43678</v>
      </c>
      <c r="S14" s="821"/>
      <c r="T14" s="820">
        <v>43709</v>
      </c>
      <c r="U14" s="821"/>
      <c r="V14" s="1096">
        <v>43739</v>
      </c>
      <c r="W14" s="1097"/>
      <c r="X14" s="1096">
        <v>43405</v>
      </c>
      <c r="Y14" s="1097"/>
      <c r="Z14" s="1100" t="s">
        <v>1420</v>
      </c>
      <c r="AA14" s="1101"/>
      <c r="AB14" s="822" t="s">
        <v>8</v>
      </c>
    </row>
    <row r="15" spans="2:28" ht="35.25" thickBot="1" x14ac:dyDescent="0.3">
      <c r="B15" s="812" t="s">
        <v>1308</v>
      </c>
      <c r="C15" s="813" t="s">
        <v>7</v>
      </c>
      <c r="D15" s="814" t="s">
        <v>1309</v>
      </c>
      <c r="E15" s="815" t="s">
        <v>1310</v>
      </c>
      <c r="F15" s="814" t="s">
        <v>1309</v>
      </c>
      <c r="G15" s="815" t="s">
        <v>1310</v>
      </c>
      <c r="H15" s="814" t="s">
        <v>1309</v>
      </c>
      <c r="I15" s="815" t="s">
        <v>1310</v>
      </c>
      <c r="J15" s="814" t="s">
        <v>1309</v>
      </c>
      <c r="K15" s="815" t="s">
        <v>1310</v>
      </c>
      <c r="L15" s="814" t="s">
        <v>1309</v>
      </c>
      <c r="M15" s="815" t="s">
        <v>1310</v>
      </c>
      <c r="N15" s="814" t="s">
        <v>1309</v>
      </c>
      <c r="O15" s="815" t="s">
        <v>1310</v>
      </c>
      <c r="P15" s="814" t="s">
        <v>1309</v>
      </c>
      <c r="Q15" s="815" t="s">
        <v>1310</v>
      </c>
      <c r="R15" s="814" t="s">
        <v>1309</v>
      </c>
      <c r="S15" s="814" t="s">
        <v>1310</v>
      </c>
      <c r="T15" s="814" t="s">
        <v>1309</v>
      </c>
      <c r="U15" s="814" t="s">
        <v>1310</v>
      </c>
      <c r="V15" s="814" t="s">
        <v>1309</v>
      </c>
      <c r="W15" s="814" t="s">
        <v>1310</v>
      </c>
      <c r="X15" s="814" t="s">
        <v>1309</v>
      </c>
      <c r="Y15" s="814" t="s">
        <v>1310</v>
      </c>
      <c r="Z15" s="814" t="s">
        <v>1309</v>
      </c>
      <c r="AA15" s="814" t="s">
        <v>1310</v>
      </c>
      <c r="AB15" s="823" t="s">
        <v>1330</v>
      </c>
    </row>
    <row r="16" spans="2:28" ht="34.5" thickBot="1" x14ac:dyDescent="0.3">
      <c r="B16" s="592" t="s">
        <v>1331</v>
      </c>
      <c r="C16" s="592" t="s">
        <v>1332</v>
      </c>
      <c r="D16" s="593">
        <v>0</v>
      </c>
      <c r="E16" s="593">
        <v>0</v>
      </c>
      <c r="F16" s="761">
        <v>825</v>
      </c>
      <c r="G16" s="593">
        <f>SUM(F16)</f>
        <v>825</v>
      </c>
      <c r="H16" s="761">
        <v>1880</v>
      </c>
      <c r="I16" s="593">
        <f>SUM(G16+H16)</f>
        <v>2705</v>
      </c>
      <c r="J16" s="761">
        <v>979.1</v>
      </c>
      <c r="K16" s="593">
        <f>SUM(I16+J16)</f>
        <v>3684.1</v>
      </c>
      <c r="L16" s="761">
        <v>623.12</v>
      </c>
      <c r="M16" s="593">
        <f>SUM(K16+L16)</f>
        <v>4307.22</v>
      </c>
      <c r="N16" s="761">
        <v>47.5</v>
      </c>
      <c r="O16" s="593">
        <f>SUM(M16+N16)</f>
        <v>4354.72</v>
      </c>
      <c r="P16" s="761">
        <v>6339.72</v>
      </c>
      <c r="Q16" s="593">
        <f>SUM(O16+P16)</f>
        <v>10694.44</v>
      </c>
      <c r="R16" s="761">
        <v>143.969999999999</v>
      </c>
      <c r="S16" s="593">
        <f>SUM(Q16+R16)</f>
        <v>10838.41</v>
      </c>
      <c r="T16" s="761">
        <v>0</v>
      </c>
      <c r="U16" s="593">
        <f>SUM(S16+T16)</f>
        <v>10838.41</v>
      </c>
      <c r="V16" s="761">
        <v>13120</v>
      </c>
      <c r="W16" s="593">
        <f>SUM(U16+V16)</f>
        <v>23958.41</v>
      </c>
      <c r="X16" s="807">
        <v>7688.4700000000103</v>
      </c>
      <c r="Y16" s="593">
        <f>SUM(W16+X16)</f>
        <v>31646.880000000012</v>
      </c>
      <c r="Z16" s="807">
        <v>15756.99</v>
      </c>
      <c r="AA16" s="593">
        <f>SUM(Y16+Z16)</f>
        <v>47403.87000000001</v>
      </c>
      <c r="AB16" s="798">
        <f>AA16</f>
        <v>47403.87000000001</v>
      </c>
    </row>
    <row r="17" spans="2:28" x14ac:dyDescent="0.25"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</row>
    <row r="18" spans="2:28" x14ac:dyDescent="0.25"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</row>
    <row r="19" spans="2:28" x14ac:dyDescent="0.25"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</row>
    <row r="20" spans="2:28" ht="15.75" thickBot="1" x14ac:dyDescent="0.3"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</row>
    <row r="21" spans="2:28" ht="23.25" thickBot="1" x14ac:dyDescent="0.3">
      <c r="B21" s="818" t="s">
        <v>1297</v>
      </c>
      <c r="C21" s="819"/>
      <c r="D21" s="820">
        <v>43466</v>
      </c>
      <c r="E21" s="821"/>
      <c r="F21" s="824" t="s">
        <v>1299</v>
      </c>
      <c r="G21" s="821"/>
      <c r="H21" s="824" t="s">
        <v>1300</v>
      </c>
      <c r="I21" s="821"/>
      <c r="J21" s="824" t="s">
        <v>1301</v>
      </c>
      <c r="K21" s="821"/>
      <c r="L21" s="824" t="s">
        <v>1302</v>
      </c>
      <c r="M21" s="821"/>
      <c r="N21" s="824" t="s">
        <v>1303</v>
      </c>
      <c r="O21" s="821"/>
      <c r="P21" s="824" t="s">
        <v>1304</v>
      </c>
      <c r="Q21" s="821"/>
      <c r="R21" s="824" t="s">
        <v>1305</v>
      </c>
      <c r="S21" s="821"/>
      <c r="T21" s="824" t="s">
        <v>1306</v>
      </c>
      <c r="U21" s="821"/>
      <c r="V21" s="1107" t="s">
        <v>1307</v>
      </c>
      <c r="W21" s="1097"/>
      <c r="X21" s="1096">
        <v>43405</v>
      </c>
      <c r="Y21" s="1097"/>
      <c r="Z21" s="1096">
        <v>43435</v>
      </c>
      <c r="AA21" s="1108"/>
      <c r="AB21" s="822" t="s">
        <v>1333</v>
      </c>
    </row>
    <row r="22" spans="2:28" ht="35.25" thickBot="1" x14ac:dyDescent="0.3">
      <c r="B22" s="812" t="s">
        <v>1308</v>
      </c>
      <c r="C22" s="813" t="s">
        <v>7</v>
      </c>
      <c r="D22" s="825" t="s">
        <v>1309</v>
      </c>
      <c r="E22" s="826" t="s">
        <v>1310</v>
      </c>
      <c r="F22" s="814" t="s">
        <v>1309</v>
      </c>
      <c r="G22" s="815" t="s">
        <v>1310</v>
      </c>
      <c r="H22" s="814" t="s">
        <v>1309</v>
      </c>
      <c r="I22" s="821" t="s">
        <v>1310</v>
      </c>
      <c r="J22" s="814" t="s">
        <v>1309</v>
      </c>
      <c r="K22" s="814" t="s">
        <v>1310</v>
      </c>
      <c r="L22" s="814" t="s">
        <v>1309</v>
      </c>
      <c r="M22" s="814" t="s">
        <v>1310</v>
      </c>
      <c r="N22" s="814" t="s">
        <v>1309</v>
      </c>
      <c r="O22" s="814" t="s">
        <v>1310</v>
      </c>
      <c r="P22" s="814" t="s">
        <v>1309</v>
      </c>
      <c r="Q22" s="814" t="s">
        <v>1310</v>
      </c>
      <c r="R22" s="814" t="s">
        <v>1309</v>
      </c>
      <c r="S22" s="814" t="s">
        <v>1310</v>
      </c>
      <c r="T22" s="814" t="s">
        <v>1309</v>
      </c>
      <c r="U22" s="814" t="s">
        <v>1310</v>
      </c>
      <c r="V22" s="814" t="s">
        <v>1309</v>
      </c>
      <c r="W22" s="821" t="s">
        <v>1310</v>
      </c>
      <c r="X22" s="814" t="s">
        <v>1309</v>
      </c>
      <c r="Y22" s="821" t="s">
        <v>1310</v>
      </c>
      <c r="Z22" s="814" t="s">
        <v>1309</v>
      </c>
      <c r="AA22" s="821" t="s">
        <v>1310</v>
      </c>
      <c r="AB22" s="823"/>
    </row>
    <row r="23" spans="2:28" ht="34.5" thickBot="1" x14ac:dyDescent="0.3">
      <c r="B23" s="595" t="s">
        <v>1334</v>
      </c>
      <c r="C23" s="596" t="s">
        <v>1335</v>
      </c>
      <c r="D23" s="597"/>
      <c r="E23" s="598">
        <f>SUM(D23)</f>
        <v>0</v>
      </c>
      <c r="F23" s="593"/>
      <c r="G23" s="593">
        <f>SUM(E23+F23)</f>
        <v>0</v>
      </c>
      <c r="H23" s="597"/>
      <c r="I23" s="593">
        <f>SUM(G23+H23)</f>
        <v>0</v>
      </c>
      <c r="J23" s="599"/>
      <c r="K23" s="593">
        <f>SUM(I23+J23)</f>
        <v>0</v>
      </c>
      <c r="L23" s="599"/>
      <c r="M23" s="593">
        <f>SUM(K23+L23)</f>
        <v>0</v>
      </c>
      <c r="N23" s="758">
        <v>310.63</v>
      </c>
      <c r="O23" s="593">
        <f>SUM(M23+N23)</f>
        <v>310.63</v>
      </c>
      <c r="P23" s="758">
        <v>579.63</v>
      </c>
      <c r="Q23" s="593">
        <f>SUM(O23+P23)</f>
        <v>890.26</v>
      </c>
      <c r="R23" s="762">
        <v>706.48</v>
      </c>
      <c r="S23" s="593">
        <f>SUM(Q23+R23)</f>
        <v>1596.74</v>
      </c>
      <c r="T23" s="761">
        <v>1669.7</v>
      </c>
      <c r="U23" s="593">
        <f>SUM(S23+T23)</f>
        <v>3266.44</v>
      </c>
      <c r="V23" s="761">
        <v>47612.07</v>
      </c>
      <c r="W23" s="593">
        <f>SUM(U23+V23)</f>
        <v>50878.51</v>
      </c>
      <c r="X23" s="807">
        <v>91409.680000000197</v>
      </c>
      <c r="Y23" s="593">
        <f>SUM(W23+X23)</f>
        <v>142288.19000000021</v>
      </c>
      <c r="Z23" s="807">
        <v>80867</v>
      </c>
      <c r="AA23" s="593">
        <f>SUM(Y23+Z23)</f>
        <v>223155.19000000021</v>
      </c>
      <c r="AB23" s="1104">
        <f>SUM(AA23+AA24)</f>
        <v>275235.49000000022</v>
      </c>
    </row>
    <row r="24" spans="2:28" ht="34.5" thickBot="1" x14ac:dyDescent="0.3">
      <c r="B24" s="592" t="s">
        <v>1336</v>
      </c>
      <c r="C24" s="600" t="s">
        <v>1337</v>
      </c>
      <c r="D24" s="593"/>
      <c r="E24" s="593">
        <f>SUM(D24)</f>
        <v>0</v>
      </c>
      <c r="F24" s="594"/>
      <c r="G24" s="593">
        <f>SUM(E24+F24)</f>
        <v>0</v>
      </c>
      <c r="H24" s="593"/>
      <c r="I24" s="593">
        <f>SUM(G24+H24)</f>
        <v>0</v>
      </c>
      <c r="J24" s="593"/>
      <c r="K24" s="593">
        <f>SUM(I24+J24)</f>
        <v>0</v>
      </c>
      <c r="L24" s="593"/>
      <c r="M24" s="593">
        <f>SUM(K24+L24)</f>
        <v>0</v>
      </c>
      <c r="N24" s="593"/>
      <c r="O24" s="593">
        <f>SUM(M24+N24)</f>
        <v>0</v>
      </c>
      <c r="P24" s="593"/>
      <c r="Q24" s="593">
        <f>SUM(O24+P24)</f>
        <v>0</v>
      </c>
      <c r="R24" s="761">
        <v>12005.27</v>
      </c>
      <c r="S24" s="593">
        <f>SUM(Q24+R24)</f>
        <v>12005.27</v>
      </c>
      <c r="T24" s="761">
        <v>0</v>
      </c>
      <c r="U24" s="593">
        <f>SUM(S24+T24)</f>
        <v>12005.27</v>
      </c>
      <c r="V24" s="761">
        <v>9437.1</v>
      </c>
      <c r="W24" s="593">
        <f>SUM(U24+V24)</f>
        <v>21442.370000000003</v>
      </c>
      <c r="X24" s="807">
        <v>12445.38</v>
      </c>
      <c r="Y24" s="593">
        <f>SUM(W24+X24)</f>
        <v>33887.75</v>
      </c>
      <c r="Z24" s="807">
        <v>18192.55</v>
      </c>
      <c r="AA24" s="593">
        <f>SUM(Y24+Z24)</f>
        <v>52080.3</v>
      </c>
      <c r="AB24" s="1106"/>
    </row>
    <row r="25" spans="2:28" x14ac:dyDescent="0.25"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</row>
    <row r="26" spans="2:28" x14ac:dyDescent="0.25"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</row>
    <row r="27" spans="2:28" ht="15.75" thickBot="1" x14ac:dyDescent="0.3"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</row>
    <row r="28" spans="2:28" ht="15.75" thickBot="1" x14ac:dyDescent="0.3">
      <c r="B28" s="1098" t="s">
        <v>1297</v>
      </c>
      <c r="C28" s="1099"/>
      <c r="D28" s="1107" t="s">
        <v>1298</v>
      </c>
      <c r="E28" s="1097"/>
      <c r="F28" s="1096">
        <v>43497</v>
      </c>
      <c r="G28" s="1097"/>
      <c r="H28" s="1096">
        <v>43525</v>
      </c>
      <c r="I28" s="1097"/>
      <c r="J28" s="1096">
        <v>43556</v>
      </c>
      <c r="K28" s="1097"/>
      <c r="L28" s="1096">
        <v>43586</v>
      </c>
      <c r="M28" s="1097"/>
      <c r="N28" s="1096">
        <v>43617</v>
      </c>
      <c r="O28" s="1097"/>
      <c r="P28" s="1096">
        <v>43647</v>
      </c>
      <c r="Q28" s="1097"/>
      <c r="R28" s="1096">
        <v>43678</v>
      </c>
      <c r="S28" s="1097"/>
      <c r="T28" s="1096">
        <v>43709</v>
      </c>
      <c r="U28" s="1097"/>
      <c r="V28" s="1096">
        <v>43739</v>
      </c>
      <c r="W28" s="1097"/>
      <c r="X28" s="1096">
        <v>43405</v>
      </c>
      <c r="Y28" s="1097"/>
      <c r="Z28" s="1096">
        <v>43435</v>
      </c>
      <c r="AA28" s="1097"/>
      <c r="AB28" s="1102" t="s">
        <v>1333</v>
      </c>
    </row>
    <row r="29" spans="2:28" ht="35.25" thickBot="1" x14ac:dyDescent="0.3">
      <c r="B29" s="812" t="s">
        <v>1308</v>
      </c>
      <c r="C29" s="813" t="s">
        <v>7</v>
      </c>
      <c r="D29" s="825" t="s">
        <v>1309</v>
      </c>
      <c r="E29" s="826" t="s">
        <v>1310</v>
      </c>
      <c r="F29" s="814" t="s">
        <v>1309</v>
      </c>
      <c r="G29" s="815" t="s">
        <v>1310</v>
      </c>
      <c r="H29" s="814" t="s">
        <v>1309</v>
      </c>
      <c r="I29" s="821" t="s">
        <v>1310</v>
      </c>
      <c r="J29" s="814" t="s">
        <v>1309</v>
      </c>
      <c r="K29" s="814" t="s">
        <v>1310</v>
      </c>
      <c r="L29" s="814" t="s">
        <v>1309</v>
      </c>
      <c r="M29" s="814" t="s">
        <v>1310</v>
      </c>
      <c r="N29" s="814" t="s">
        <v>1309</v>
      </c>
      <c r="O29" s="814" t="s">
        <v>1310</v>
      </c>
      <c r="P29" s="814" t="s">
        <v>1309</v>
      </c>
      <c r="Q29" s="814" t="s">
        <v>1310</v>
      </c>
      <c r="R29" s="814" t="s">
        <v>1309</v>
      </c>
      <c r="S29" s="814" t="s">
        <v>1310</v>
      </c>
      <c r="T29" s="814" t="s">
        <v>1309</v>
      </c>
      <c r="U29" s="814" t="s">
        <v>1310</v>
      </c>
      <c r="V29" s="814" t="s">
        <v>1309</v>
      </c>
      <c r="W29" s="821" t="s">
        <v>1310</v>
      </c>
      <c r="X29" s="814" t="s">
        <v>1309</v>
      </c>
      <c r="Y29" s="821" t="s">
        <v>1310</v>
      </c>
      <c r="Z29" s="814" t="s">
        <v>1309</v>
      </c>
      <c r="AA29" s="821" t="s">
        <v>1310</v>
      </c>
      <c r="AB29" s="1103"/>
    </row>
    <row r="30" spans="2:28" ht="45.75" thickBot="1" x14ac:dyDescent="0.3">
      <c r="B30" s="592" t="s">
        <v>1338</v>
      </c>
      <c r="C30" s="592" t="s">
        <v>1339</v>
      </c>
      <c r="D30" s="593"/>
      <c r="E30" s="593">
        <f>SUM(D30)</f>
        <v>0</v>
      </c>
      <c r="F30" s="593"/>
      <c r="G30" s="593">
        <f>SUM(E30+F30)</f>
        <v>0</v>
      </c>
      <c r="H30" s="593"/>
      <c r="I30" s="593">
        <f>SUM(G30+H30)</f>
        <v>0</v>
      </c>
      <c r="J30" s="593"/>
      <c r="K30" s="760"/>
      <c r="L30" s="593"/>
      <c r="M30" s="593">
        <f>SUM(K31+L30)</f>
        <v>0</v>
      </c>
      <c r="N30" s="761">
        <v>443.11</v>
      </c>
      <c r="O30" s="593">
        <f>SUM(M30+N30)</f>
        <v>443.11</v>
      </c>
      <c r="P30" s="761">
        <v>1681.58</v>
      </c>
      <c r="Q30" s="593">
        <f>SUM(O30+P30)</f>
        <v>2124.69</v>
      </c>
      <c r="R30" s="761">
        <v>2739.13</v>
      </c>
      <c r="S30" s="593">
        <f>SUM(Q30+R30)</f>
        <v>4863.82</v>
      </c>
      <c r="T30" s="761">
        <v>2330.2600000000002</v>
      </c>
      <c r="U30" s="593">
        <f>SUM(S30+T30)</f>
        <v>7194.08</v>
      </c>
      <c r="V30" s="761">
        <v>2788.27</v>
      </c>
      <c r="W30" s="593">
        <f>SUM(U30+V30)</f>
        <v>9982.35</v>
      </c>
      <c r="X30" s="807">
        <v>2900.08</v>
      </c>
      <c r="Y30" s="593">
        <f>SUM(W30+X30)</f>
        <v>12882.43</v>
      </c>
      <c r="Z30" s="807">
        <v>2550.8200000000002</v>
      </c>
      <c r="AA30" s="593">
        <f>SUM(Y30+Z30)</f>
        <v>15433.25</v>
      </c>
      <c r="AB30" s="1104">
        <f>SUM(AA30+AA31)</f>
        <v>39102.720000000001</v>
      </c>
    </row>
    <row r="31" spans="2:28" ht="34.5" thickBot="1" x14ac:dyDescent="0.3">
      <c r="B31" s="592" t="s">
        <v>1340</v>
      </c>
      <c r="C31" s="592" t="s">
        <v>1341</v>
      </c>
      <c r="D31" s="593"/>
      <c r="E31" s="593"/>
      <c r="F31" s="593"/>
      <c r="G31" s="593">
        <f>SUM(E31+F31)</f>
        <v>0</v>
      </c>
      <c r="H31" s="593"/>
      <c r="I31" s="593">
        <f>SUM(G31+H31)</f>
        <v>0</v>
      </c>
      <c r="J31" s="593"/>
      <c r="K31" s="760"/>
      <c r="L31" s="593"/>
      <c r="M31" s="593">
        <f>SUM(K32+L31)</f>
        <v>0</v>
      </c>
      <c r="N31" s="761">
        <v>281.69</v>
      </c>
      <c r="O31" s="593">
        <f>SUM(M31+N31)</f>
        <v>281.69</v>
      </c>
      <c r="P31" s="761">
        <v>292.85000000000002</v>
      </c>
      <c r="Q31" s="593">
        <f>SUM(O31+P31)</f>
        <v>574.54</v>
      </c>
      <c r="R31" s="761">
        <v>1716.16</v>
      </c>
      <c r="S31" s="593">
        <f>SUM(Q31+R31)</f>
        <v>2290.6999999999998</v>
      </c>
      <c r="T31" s="761">
        <v>1204.33</v>
      </c>
      <c r="U31" s="593">
        <f>SUM(S31+T31)</f>
        <v>3495.0299999999997</v>
      </c>
      <c r="V31" s="761">
        <v>6538.11</v>
      </c>
      <c r="W31" s="593">
        <f>SUM(U31+V31)</f>
        <v>10033.14</v>
      </c>
      <c r="X31" s="807">
        <v>6645.5</v>
      </c>
      <c r="Y31" s="593">
        <f>SUM(W31+X31)</f>
        <v>16678.64</v>
      </c>
      <c r="Z31" s="807">
        <v>6990.83</v>
      </c>
      <c r="AA31" s="593">
        <f>SUM(Y31+Z31)</f>
        <v>23669.47</v>
      </c>
      <c r="AB31" s="1106"/>
    </row>
    <row r="32" spans="2:28" x14ac:dyDescent="0.25"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</row>
    <row r="33" spans="2:28" x14ac:dyDescent="0.25"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</row>
    <row r="34" spans="2:28" ht="15.75" thickBot="1" x14ac:dyDescent="0.3"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</row>
    <row r="35" spans="2:28" ht="15.75" thickBot="1" x14ac:dyDescent="0.3">
      <c r="B35" s="1098" t="s">
        <v>1297</v>
      </c>
      <c r="C35" s="1099"/>
      <c r="D35" s="1096">
        <v>43466</v>
      </c>
      <c r="E35" s="1097"/>
      <c r="F35" s="1096">
        <v>43497</v>
      </c>
      <c r="G35" s="1097"/>
      <c r="H35" s="1096">
        <v>43525</v>
      </c>
      <c r="I35" s="1097"/>
      <c r="J35" s="1096">
        <v>43556</v>
      </c>
      <c r="K35" s="1097"/>
      <c r="L35" s="1096">
        <v>43586</v>
      </c>
      <c r="M35" s="1097"/>
      <c r="N35" s="1096">
        <v>43617</v>
      </c>
      <c r="O35" s="1097"/>
      <c r="P35" s="1096">
        <v>43647</v>
      </c>
      <c r="Q35" s="1097"/>
      <c r="R35" s="1096">
        <v>43678</v>
      </c>
      <c r="S35" s="1097"/>
      <c r="T35" s="1096">
        <v>43709</v>
      </c>
      <c r="U35" s="1097"/>
      <c r="V35" s="1096">
        <v>43739</v>
      </c>
      <c r="W35" s="1097"/>
      <c r="X35" s="1096">
        <v>43405</v>
      </c>
      <c r="Y35" s="1097"/>
      <c r="Z35" s="1096">
        <v>43435</v>
      </c>
      <c r="AA35" s="1097"/>
      <c r="AB35" s="1102" t="s">
        <v>1333</v>
      </c>
    </row>
    <row r="36" spans="2:28" ht="35.25" thickBot="1" x14ac:dyDescent="0.3">
      <c r="B36" s="827" t="s">
        <v>1308</v>
      </c>
      <c r="C36" s="828" t="s">
        <v>7</v>
      </c>
      <c r="D36" s="825" t="s">
        <v>1309</v>
      </c>
      <c r="E36" s="826" t="s">
        <v>1310</v>
      </c>
      <c r="F36" s="825" t="s">
        <v>1309</v>
      </c>
      <c r="G36" s="825" t="s">
        <v>1310</v>
      </c>
      <c r="H36" s="829" t="s">
        <v>1309</v>
      </c>
      <c r="I36" s="829" t="s">
        <v>1310</v>
      </c>
      <c r="J36" s="825" t="s">
        <v>1309</v>
      </c>
      <c r="K36" s="825" t="s">
        <v>1310</v>
      </c>
      <c r="L36" s="825" t="s">
        <v>1309</v>
      </c>
      <c r="M36" s="825" t="s">
        <v>1310</v>
      </c>
      <c r="N36" s="825" t="s">
        <v>1309</v>
      </c>
      <c r="O36" s="825" t="s">
        <v>1310</v>
      </c>
      <c r="P36" s="825" t="s">
        <v>1309</v>
      </c>
      <c r="Q36" s="825" t="s">
        <v>1310</v>
      </c>
      <c r="R36" s="825" t="s">
        <v>1309</v>
      </c>
      <c r="S36" s="825" t="s">
        <v>1310</v>
      </c>
      <c r="T36" s="825" t="s">
        <v>1309</v>
      </c>
      <c r="U36" s="825" t="s">
        <v>1310</v>
      </c>
      <c r="V36" s="825" t="s">
        <v>1309</v>
      </c>
      <c r="W36" s="829" t="s">
        <v>1310</v>
      </c>
      <c r="X36" s="825" t="s">
        <v>1309</v>
      </c>
      <c r="Y36" s="829" t="s">
        <v>1310</v>
      </c>
      <c r="Z36" s="825" t="s">
        <v>1309</v>
      </c>
      <c r="AA36" s="829" t="s">
        <v>1310</v>
      </c>
      <c r="AB36" s="1103"/>
    </row>
    <row r="37" spans="2:28" ht="34.5" thickBot="1" x14ac:dyDescent="0.3">
      <c r="B37" s="592" t="s">
        <v>1342</v>
      </c>
      <c r="C37" s="592" t="s">
        <v>1343</v>
      </c>
      <c r="D37" s="593"/>
      <c r="E37" s="593">
        <f>SUM(D37)</f>
        <v>0</v>
      </c>
      <c r="F37" s="593"/>
      <c r="G37" s="593">
        <f>SUM(E37+F37)</f>
        <v>0</v>
      </c>
      <c r="H37" s="593"/>
      <c r="I37" s="593">
        <f>SUM(G37+H37)</f>
        <v>0</v>
      </c>
      <c r="J37" s="593"/>
      <c r="K37" s="593">
        <f>SUM(I37+J37)</f>
        <v>0</v>
      </c>
      <c r="L37" s="593"/>
      <c r="M37" s="593">
        <f>SUM(K37+L37)</f>
        <v>0</v>
      </c>
      <c r="N37" s="593"/>
      <c r="O37" s="593">
        <f>SUM(M37+N37)</f>
        <v>0</v>
      </c>
      <c r="P37" s="762">
        <v>107552.38</v>
      </c>
      <c r="Q37" s="593">
        <f>SUM(O37+P37)</f>
        <v>107552.38</v>
      </c>
      <c r="R37" s="761">
        <v>43751.54</v>
      </c>
      <c r="S37" s="593">
        <f>SUM(Q37+R37)</f>
        <v>151303.92000000001</v>
      </c>
      <c r="T37" s="761">
        <v>0</v>
      </c>
      <c r="U37" s="593">
        <f>SUM(S37+T37)</f>
        <v>151303.92000000001</v>
      </c>
      <c r="V37" s="761">
        <v>103725.72</v>
      </c>
      <c r="W37" s="593">
        <f>SUM(U37+V37)</f>
        <v>255029.64</v>
      </c>
      <c r="X37" s="807">
        <v>125376.54</v>
      </c>
      <c r="Y37" s="593">
        <f>SUM(W37+X37)</f>
        <v>380406.18</v>
      </c>
      <c r="Z37" s="807">
        <v>78338.759999999995</v>
      </c>
      <c r="AA37" s="593">
        <f>SUM(Y37+Z37)</f>
        <v>458744.94</v>
      </c>
      <c r="AB37" s="1104">
        <f>SUM(AA37+AA38+AA39+AA40)</f>
        <v>2112928.7199999997</v>
      </c>
    </row>
    <row r="38" spans="2:28" ht="90.75" thickBot="1" x14ac:dyDescent="0.3">
      <c r="B38" s="592" t="s">
        <v>1344</v>
      </c>
      <c r="C38" s="592" t="s">
        <v>1345</v>
      </c>
      <c r="D38" s="593"/>
      <c r="E38" s="593">
        <f>SUM(D38)</f>
        <v>0</v>
      </c>
      <c r="F38" s="593"/>
      <c r="G38" s="593">
        <f>SUM(E38+F38)</f>
        <v>0</v>
      </c>
      <c r="H38" s="593"/>
      <c r="I38" s="593">
        <f>SUM(G38+H38)</f>
        <v>0</v>
      </c>
      <c r="J38" s="593"/>
      <c r="K38" s="593">
        <f>SUM(I38+J38)</f>
        <v>0</v>
      </c>
      <c r="L38" s="593"/>
      <c r="M38" s="593">
        <f>SUM(K38+L38)</f>
        <v>0</v>
      </c>
      <c r="N38" s="761">
        <v>9990</v>
      </c>
      <c r="O38" s="593">
        <f>SUM(M38+N38)</f>
        <v>9990</v>
      </c>
      <c r="P38" s="761">
        <v>62019.82</v>
      </c>
      <c r="Q38" s="593">
        <f>SUM(O38+P38)</f>
        <v>72009.820000000007</v>
      </c>
      <c r="R38" s="761">
        <v>62019.89</v>
      </c>
      <c r="S38" s="593">
        <f>SUM(Q38+R38)</f>
        <v>134029.71000000002</v>
      </c>
      <c r="T38" s="761">
        <v>62085.47</v>
      </c>
      <c r="U38" s="593">
        <f>SUM(S38+T38)</f>
        <v>196115.18000000002</v>
      </c>
      <c r="V38" s="761">
        <v>63809.47</v>
      </c>
      <c r="W38" s="593">
        <f>SUM(U38+V38)</f>
        <v>259924.65000000002</v>
      </c>
      <c r="X38" s="807">
        <v>84733.14</v>
      </c>
      <c r="Y38" s="593">
        <f>SUM(W38+X38)</f>
        <v>344657.79000000004</v>
      </c>
      <c r="Z38" s="807">
        <v>92664.17</v>
      </c>
      <c r="AA38" s="593">
        <f>SUM(Y38+Z38)</f>
        <v>437321.96</v>
      </c>
      <c r="AB38" s="1105"/>
    </row>
    <row r="39" spans="2:28" ht="34.5" thickBot="1" x14ac:dyDescent="0.3">
      <c r="B39" s="592" t="s">
        <v>1346</v>
      </c>
      <c r="C39" s="592" t="s">
        <v>1347</v>
      </c>
      <c r="D39" s="593"/>
      <c r="E39" s="593">
        <f>SUM(D39)</f>
        <v>0</v>
      </c>
      <c r="F39" s="593"/>
      <c r="G39" s="593">
        <f>SUM(E39+F39)</f>
        <v>0</v>
      </c>
      <c r="H39" s="593"/>
      <c r="I39" s="593">
        <f>SUM(G39+H39)</f>
        <v>0</v>
      </c>
      <c r="J39" s="593"/>
      <c r="K39" s="593">
        <f>SUM(I39+J39)</f>
        <v>0</v>
      </c>
      <c r="L39" s="593"/>
      <c r="M39" s="593">
        <f>SUM(K39+L39)</f>
        <v>0</v>
      </c>
      <c r="N39" s="761">
        <v>31571.56</v>
      </c>
      <c r="O39" s="593">
        <f>SUM(M39+N39)</f>
        <v>31571.56</v>
      </c>
      <c r="P39" s="761">
        <v>196131.75</v>
      </c>
      <c r="Q39" s="593">
        <f>SUM(O39+P39)</f>
        <v>227703.31</v>
      </c>
      <c r="R39" s="761">
        <v>133537.67000000001</v>
      </c>
      <c r="S39" s="593">
        <f>SUM(Q39+R39)</f>
        <v>361240.98</v>
      </c>
      <c r="T39" s="761">
        <v>0</v>
      </c>
      <c r="U39" s="593">
        <f>SUM(S39+T39)</f>
        <v>361240.98</v>
      </c>
      <c r="V39" s="761">
        <v>78802.05</v>
      </c>
      <c r="W39" s="593">
        <f>SUM(U39+V39)</f>
        <v>440043.02999999997</v>
      </c>
      <c r="X39" s="807">
        <v>25206.240000000002</v>
      </c>
      <c r="Y39" s="593">
        <f>SUM(W39+X39)</f>
        <v>465249.26999999996</v>
      </c>
      <c r="Z39" s="807">
        <v>243711.96</v>
      </c>
      <c r="AA39" s="593">
        <f>SUM(Y39+Z39)</f>
        <v>708961.23</v>
      </c>
      <c r="AB39" s="1105"/>
    </row>
    <row r="40" spans="2:28" ht="68.25" thickBot="1" x14ac:dyDescent="0.3">
      <c r="B40" s="601" t="s">
        <v>1348</v>
      </c>
      <c r="C40" s="601" t="s">
        <v>1349</v>
      </c>
      <c r="D40" s="594"/>
      <c r="E40" s="593">
        <f>SUM(D40)</f>
        <v>0</v>
      </c>
      <c r="F40" s="594"/>
      <c r="G40" s="593">
        <f>SUM(E40+F40)</f>
        <v>0</v>
      </c>
      <c r="H40" s="761">
        <v>0.04</v>
      </c>
      <c r="I40" s="593">
        <f>SUM(G40+H40)</f>
        <v>0.04</v>
      </c>
      <c r="J40" s="761">
        <v>21678.49</v>
      </c>
      <c r="K40" s="593">
        <f>SUM(I40+J40)</f>
        <v>21678.530000000002</v>
      </c>
      <c r="L40" s="761">
        <v>95947.56</v>
      </c>
      <c r="M40" s="593">
        <f>SUM(K40+L40)</f>
        <v>117626.09</v>
      </c>
      <c r="N40" s="761">
        <v>46912.32</v>
      </c>
      <c r="O40" s="593">
        <f>SUM(M40+N40)</f>
        <v>164538.41</v>
      </c>
      <c r="P40" s="761">
        <v>110456.4</v>
      </c>
      <c r="Q40" s="593">
        <f>SUM(O40+P40)</f>
        <v>274994.81</v>
      </c>
      <c r="R40" s="763">
        <v>46912.32</v>
      </c>
      <c r="S40" s="593">
        <f>SUM(Q40+R40)</f>
        <v>321907.13</v>
      </c>
      <c r="T40" s="763">
        <v>95056.4</v>
      </c>
      <c r="U40" s="593">
        <f>SUM(S40+T40)</f>
        <v>416963.53</v>
      </c>
      <c r="V40" s="763">
        <v>46912.319999999898</v>
      </c>
      <c r="W40" s="593">
        <f>SUM(U40+V40)</f>
        <v>463875.84999999992</v>
      </c>
      <c r="X40" s="807">
        <v>44024.74</v>
      </c>
      <c r="Y40" s="593">
        <f>SUM(W40+X40)</f>
        <v>507900.58999999991</v>
      </c>
      <c r="Z40" s="808"/>
      <c r="AA40" s="593">
        <f>SUM(Y40+Z40)</f>
        <v>507900.58999999991</v>
      </c>
      <c r="AB40" s="1106"/>
    </row>
    <row r="41" spans="2:28" x14ac:dyDescent="0.25"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  <c r="AB41" s="334"/>
    </row>
    <row r="42" spans="2:28" x14ac:dyDescent="0.25"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</row>
    <row r="43" spans="2:28" ht="15.75" thickBot="1" x14ac:dyDescent="0.3"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</row>
    <row r="44" spans="2:28" ht="15.75" thickBot="1" x14ac:dyDescent="0.3">
      <c r="B44" s="1098" t="s">
        <v>1297</v>
      </c>
      <c r="C44" s="1099"/>
      <c r="D44" s="1096">
        <v>43466</v>
      </c>
      <c r="E44" s="1097"/>
      <c r="F44" s="1096">
        <v>43497</v>
      </c>
      <c r="G44" s="1097"/>
      <c r="H44" s="1096">
        <v>43525</v>
      </c>
      <c r="I44" s="1097"/>
      <c r="J44" s="1096">
        <v>43556</v>
      </c>
      <c r="K44" s="1097"/>
      <c r="L44" s="1096">
        <v>43586</v>
      </c>
      <c r="M44" s="1097"/>
      <c r="N44" s="1096">
        <v>43617</v>
      </c>
      <c r="O44" s="1097"/>
      <c r="P44" s="1096">
        <v>43647</v>
      </c>
      <c r="Q44" s="1097"/>
      <c r="R44" s="1096">
        <v>43678</v>
      </c>
      <c r="S44" s="1097"/>
      <c r="T44" s="1096">
        <v>43709</v>
      </c>
      <c r="U44" s="1097"/>
      <c r="V44" s="1096">
        <v>43739</v>
      </c>
      <c r="W44" s="1097"/>
      <c r="X44" s="1096">
        <v>43405</v>
      </c>
      <c r="Y44" s="1097"/>
      <c r="Z44" s="1096">
        <v>43435</v>
      </c>
      <c r="AA44" s="1097"/>
      <c r="AB44" s="1102" t="s">
        <v>8</v>
      </c>
    </row>
    <row r="45" spans="2:28" ht="35.25" thickBot="1" x14ac:dyDescent="0.3">
      <c r="B45" s="812" t="s">
        <v>1308</v>
      </c>
      <c r="C45" s="813" t="s">
        <v>7</v>
      </c>
      <c r="D45" s="814" t="s">
        <v>1309</v>
      </c>
      <c r="E45" s="815" t="s">
        <v>1310</v>
      </c>
      <c r="F45" s="816" t="s">
        <v>1309</v>
      </c>
      <c r="G45" s="817" t="s">
        <v>1310</v>
      </c>
      <c r="H45" s="816" t="s">
        <v>1309</v>
      </c>
      <c r="I45" s="817" t="s">
        <v>1310</v>
      </c>
      <c r="J45" s="816" t="s">
        <v>1309</v>
      </c>
      <c r="K45" s="817" t="s">
        <v>1310</v>
      </c>
      <c r="L45" s="816" t="s">
        <v>1309</v>
      </c>
      <c r="M45" s="817" t="s">
        <v>1310</v>
      </c>
      <c r="N45" s="816" t="s">
        <v>1309</v>
      </c>
      <c r="O45" s="817" t="s">
        <v>1310</v>
      </c>
      <c r="P45" s="814" t="s">
        <v>1309</v>
      </c>
      <c r="Q45" s="815" t="s">
        <v>1310</v>
      </c>
      <c r="R45" s="814" t="s">
        <v>1309</v>
      </c>
      <c r="S45" s="814" t="s">
        <v>1310</v>
      </c>
      <c r="T45" s="814" t="s">
        <v>1309</v>
      </c>
      <c r="U45" s="814" t="s">
        <v>1310</v>
      </c>
      <c r="V45" s="814" t="s">
        <v>1309</v>
      </c>
      <c r="W45" s="824" t="s">
        <v>1310</v>
      </c>
      <c r="X45" s="814" t="s">
        <v>1309</v>
      </c>
      <c r="Y45" s="824" t="s">
        <v>1310</v>
      </c>
      <c r="Z45" s="814" t="s">
        <v>1309</v>
      </c>
      <c r="AA45" s="824" t="s">
        <v>1310</v>
      </c>
      <c r="AB45" s="1103"/>
    </row>
    <row r="46" spans="2:28" ht="68.25" thickBot="1" x14ac:dyDescent="0.3">
      <c r="B46" s="592" t="s">
        <v>1350</v>
      </c>
      <c r="C46" s="592" t="s">
        <v>1351</v>
      </c>
      <c r="D46" s="593"/>
      <c r="E46" s="593">
        <f>SUM(D46)</f>
        <v>0</v>
      </c>
      <c r="F46" s="593">
        <v>0</v>
      </c>
      <c r="G46" s="593">
        <f>SUM(E46+F46)</f>
        <v>0</v>
      </c>
      <c r="H46" s="758">
        <v>2968.92</v>
      </c>
      <c r="I46" s="593">
        <f>SUM(G46+H46)</f>
        <v>2968.92</v>
      </c>
      <c r="J46" s="758">
        <v>281.60000000000002</v>
      </c>
      <c r="K46" s="593">
        <f>SUM(I46+J46)</f>
        <v>3250.52</v>
      </c>
      <c r="L46" s="758">
        <v>26.1999999999998</v>
      </c>
      <c r="M46" s="593">
        <f>SUM(K46+L46)</f>
        <v>3276.72</v>
      </c>
      <c r="N46" s="758">
        <v>7158.79</v>
      </c>
      <c r="O46" s="593">
        <f>SUM(M46+N46)</f>
        <v>10435.51</v>
      </c>
      <c r="P46" s="758">
        <v>3495.56</v>
      </c>
      <c r="Q46" s="593">
        <f>SUM(O46+P46)</f>
        <v>13931.07</v>
      </c>
      <c r="R46" s="758">
        <v>3364.74</v>
      </c>
      <c r="S46" s="593">
        <f>SUM(Q46+R46)</f>
        <v>17295.809999999998</v>
      </c>
      <c r="T46" s="758">
        <v>3235.44</v>
      </c>
      <c r="U46" s="593">
        <f>SUM(S46+T46)</f>
        <v>20531.249999999996</v>
      </c>
      <c r="V46" s="759">
        <v>4269.75</v>
      </c>
      <c r="W46" s="593">
        <f>SUM(U46+V46)</f>
        <v>24800.999999999996</v>
      </c>
      <c r="X46" s="809">
        <v>331.73</v>
      </c>
      <c r="Y46" s="593">
        <f>SUM(W46+X46)</f>
        <v>25132.729999999996</v>
      </c>
      <c r="Z46" s="810">
        <v>10585.52</v>
      </c>
      <c r="AA46" s="593">
        <f>SUM(Y46+Z46)</f>
        <v>35718.25</v>
      </c>
      <c r="AB46" s="1104">
        <f>SUM(AA46+AA47+AA48)</f>
        <v>47130.720000000001</v>
      </c>
    </row>
    <row r="47" spans="2:28" ht="45.75" thickBot="1" x14ac:dyDescent="0.3">
      <c r="B47" s="592" t="s">
        <v>1352</v>
      </c>
      <c r="C47" s="592" t="s">
        <v>1353</v>
      </c>
      <c r="D47" s="593"/>
      <c r="E47" s="593">
        <f>SUM(D47)</f>
        <v>0</v>
      </c>
      <c r="F47" s="593"/>
      <c r="G47" s="593">
        <f>SUM(E47+F47)</f>
        <v>0</v>
      </c>
      <c r="H47" s="593"/>
      <c r="I47" s="593">
        <f>SUM(G47+H47)</f>
        <v>0</v>
      </c>
      <c r="J47" s="593"/>
      <c r="K47" s="593">
        <f>SUM(I47+J47)</f>
        <v>0</v>
      </c>
      <c r="L47" s="593"/>
      <c r="M47" s="593">
        <f>SUM(K47+L47)</f>
        <v>0</v>
      </c>
      <c r="N47" s="602"/>
      <c r="O47" s="593">
        <f>SUM(M47+N47)</f>
        <v>0</v>
      </c>
      <c r="P47" s="593"/>
      <c r="Q47" s="593">
        <f>SUM(O47+P47)</f>
        <v>0</v>
      </c>
      <c r="R47" s="593"/>
      <c r="S47" s="593">
        <f>SUM(Q47+R47)</f>
        <v>0</v>
      </c>
      <c r="T47" s="593"/>
      <c r="U47" s="593">
        <f>SUM(S47+T47)</f>
        <v>0</v>
      </c>
      <c r="V47" s="593"/>
      <c r="W47" s="593">
        <f>SUM(U47+V47)</f>
        <v>0</v>
      </c>
      <c r="X47" s="593"/>
      <c r="Y47" s="593">
        <f>SUM(W47+X47)</f>
        <v>0</v>
      </c>
      <c r="Z47" s="811"/>
      <c r="AA47" s="593">
        <f>SUM(Y47+Z47)</f>
        <v>0</v>
      </c>
      <c r="AB47" s="1105"/>
    </row>
    <row r="48" spans="2:28" ht="57" thickBot="1" x14ac:dyDescent="0.3">
      <c r="B48" s="592" t="s">
        <v>1354</v>
      </c>
      <c r="C48" s="592" t="s">
        <v>1355</v>
      </c>
      <c r="D48" s="593"/>
      <c r="E48" s="593">
        <f>SUM(D48)</f>
        <v>0</v>
      </c>
      <c r="F48" s="593">
        <v>0</v>
      </c>
      <c r="G48" s="593">
        <f>SUM(E48+F48)</f>
        <v>0</v>
      </c>
      <c r="H48" s="593">
        <v>0</v>
      </c>
      <c r="I48" s="593">
        <f>SUM(G48+H48)</f>
        <v>0</v>
      </c>
      <c r="J48" s="593">
        <v>0</v>
      </c>
      <c r="K48" s="593">
        <f>SUM(I48+J48)</f>
        <v>0</v>
      </c>
      <c r="L48" s="758">
        <v>136.04</v>
      </c>
      <c r="M48" s="593">
        <f>SUM(K48+L48)</f>
        <v>136.04</v>
      </c>
      <c r="N48" s="758">
        <v>0</v>
      </c>
      <c r="O48" s="593">
        <f>SUM(M48+N48)</f>
        <v>136.04</v>
      </c>
      <c r="P48" s="758">
        <v>6562.64</v>
      </c>
      <c r="Q48" s="593">
        <f>SUM(O48+P48)</f>
        <v>6698.68</v>
      </c>
      <c r="R48" s="758">
        <v>1077.3800000000001</v>
      </c>
      <c r="S48" s="593">
        <f>SUM(Q48+R48)</f>
        <v>7776.06</v>
      </c>
      <c r="T48" s="758">
        <v>0</v>
      </c>
      <c r="U48" s="593">
        <f>SUM(S48+T48)</f>
        <v>7776.06</v>
      </c>
      <c r="V48" s="759">
        <v>3596.41</v>
      </c>
      <c r="W48" s="593">
        <f>SUM(U48+V48)</f>
        <v>11372.470000000001</v>
      </c>
      <c r="X48" s="593"/>
      <c r="Y48" s="593">
        <f>SUM(W48+X48)</f>
        <v>11372.470000000001</v>
      </c>
      <c r="Z48" s="810">
        <v>40</v>
      </c>
      <c r="AA48" s="593">
        <f>SUM(Y48+Z48)</f>
        <v>11412.470000000001</v>
      </c>
      <c r="AB48" s="1105"/>
    </row>
    <row r="49" spans="2:28" ht="57" thickBot="1" x14ac:dyDescent="0.3">
      <c r="B49" s="592" t="s">
        <v>1356</v>
      </c>
      <c r="C49" s="592" t="s">
        <v>1357</v>
      </c>
      <c r="D49" s="1109" t="s">
        <v>1421</v>
      </c>
      <c r="E49" s="1110"/>
      <c r="F49" s="1110"/>
      <c r="G49" s="1110"/>
      <c r="H49" s="1110"/>
      <c r="I49" s="1110"/>
      <c r="J49" s="1110"/>
      <c r="K49" s="1110"/>
      <c r="L49" s="1110"/>
      <c r="M49" s="1110"/>
      <c r="N49" s="1110"/>
      <c r="O49" s="1110"/>
      <c r="P49" s="1110"/>
      <c r="Q49" s="1110"/>
      <c r="R49" s="1110"/>
      <c r="S49" s="1110"/>
      <c r="T49" s="1110"/>
      <c r="U49" s="1110"/>
      <c r="V49" s="1110"/>
      <c r="W49" s="1110"/>
      <c r="X49" s="1110"/>
      <c r="Y49" s="1110"/>
      <c r="Z49" s="1110"/>
      <c r="AA49" s="598"/>
      <c r="AB49" s="1105"/>
    </row>
    <row r="50" spans="2:28" ht="57" thickBot="1" x14ac:dyDescent="0.3">
      <c r="B50" s="592" t="s">
        <v>1356</v>
      </c>
      <c r="C50" s="592" t="s">
        <v>1357</v>
      </c>
      <c r="D50" s="1109" t="s">
        <v>1422</v>
      </c>
      <c r="E50" s="1110"/>
      <c r="F50" s="1110"/>
      <c r="G50" s="1110"/>
      <c r="H50" s="1110"/>
      <c r="I50" s="1110"/>
      <c r="J50" s="1110"/>
      <c r="K50" s="1110"/>
      <c r="L50" s="1110"/>
      <c r="M50" s="1110"/>
      <c r="N50" s="1110"/>
      <c r="O50" s="1110"/>
      <c r="P50" s="1110"/>
      <c r="Q50" s="1110"/>
      <c r="R50" s="1110"/>
      <c r="S50" s="1110"/>
      <c r="T50" s="1110"/>
      <c r="U50" s="1110"/>
      <c r="V50" s="1110"/>
      <c r="W50" s="1110"/>
      <c r="X50" s="1110"/>
      <c r="Y50" s="1110"/>
      <c r="Z50" s="1110"/>
      <c r="AA50" s="1111"/>
      <c r="AB50" s="1106"/>
    </row>
  </sheetData>
  <mergeCells count="69">
    <mergeCell ref="AB46:AB50"/>
    <mergeCell ref="D49:Z49"/>
    <mergeCell ref="D50:AA50"/>
    <mergeCell ref="R44:S44"/>
    <mergeCell ref="T44:U44"/>
    <mergeCell ref="V44:W44"/>
    <mergeCell ref="X44:Y44"/>
    <mergeCell ref="Z44:AA44"/>
    <mergeCell ref="AB44:AB45"/>
    <mergeCell ref="V28:W28"/>
    <mergeCell ref="X28:Y28"/>
    <mergeCell ref="AB35:AB36"/>
    <mergeCell ref="AB37:AB40"/>
    <mergeCell ref="B44:C44"/>
    <mergeCell ref="D44:E44"/>
    <mergeCell ref="F44:G44"/>
    <mergeCell ref="H44:I44"/>
    <mergeCell ref="J44:K44"/>
    <mergeCell ref="L44:M44"/>
    <mergeCell ref="N44:O44"/>
    <mergeCell ref="P44:Q44"/>
    <mergeCell ref="P35:Q35"/>
    <mergeCell ref="R35:S35"/>
    <mergeCell ref="T35:U35"/>
    <mergeCell ref="V35:W35"/>
    <mergeCell ref="AB30:AB31"/>
    <mergeCell ref="B35:C35"/>
    <mergeCell ref="D35:E35"/>
    <mergeCell ref="F35:G35"/>
    <mergeCell ref="H35:I35"/>
    <mergeCell ref="J35:K35"/>
    <mergeCell ref="L35:M35"/>
    <mergeCell ref="N35:O35"/>
    <mergeCell ref="X35:Y35"/>
    <mergeCell ref="Z35:AA35"/>
    <mergeCell ref="V21:W21"/>
    <mergeCell ref="X21:Y21"/>
    <mergeCell ref="Z21:AA21"/>
    <mergeCell ref="AB23:AB24"/>
    <mergeCell ref="B28:C28"/>
    <mergeCell ref="D28:E28"/>
    <mergeCell ref="F28:G28"/>
    <mergeCell ref="H28:I28"/>
    <mergeCell ref="J28:K28"/>
    <mergeCell ref="L28:M28"/>
    <mergeCell ref="Z28:AA28"/>
    <mergeCell ref="AB28:AB29"/>
    <mergeCell ref="N28:O28"/>
    <mergeCell ref="P28:Q28"/>
    <mergeCell ref="R28:S28"/>
    <mergeCell ref="T28:U28"/>
    <mergeCell ref="Z6:AA6"/>
    <mergeCell ref="AB6:AB7"/>
    <mergeCell ref="AB8:AB11"/>
    <mergeCell ref="V14:W14"/>
    <mergeCell ref="X14:Y14"/>
    <mergeCell ref="Z14:AA14"/>
    <mergeCell ref="X6:Y6"/>
    <mergeCell ref="N6:O6"/>
    <mergeCell ref="P6:Q6"/>
    <mergeCell ref="R6:S6"/>
    <mergeCell ref="T6:U6"/>
    <mergeCell ref="V6:W6"/>
    <mergeCell ref="L6:M6"/>
    <mergeCell ref="B6:C6"/>
    <mergeCell ref="D6:E6"/>
    <mergeCell ref="F6:G6"/>
    <mergeCell ref="H6:I6"/>
    <mergeCell ref="J6:K6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zoomScale="80" zoomScaleNormal="80" workbookViewId="0">
      <selection activeCell="J7" sqref="J7"/>
    </sheetView>
  </sheetViews>
  <sheetFormatPr defaultColWidth="9.140625" defaultRowHeight="15" x14ac:dyDescent="0.25"/>
  <cols>
    <col min="1" max="1" width="16.85546875" style="625" customWidth="1"/>
    <col min="2" max="2" width="19" style="625" customWidth="1"/>
    <col min="3" max="3" width="16.140625" style="625" customWidth="1"/>
    <col min="4" max="4" width="30.28515625" style="625" customWidth="1"/>
    <col min="5" max="5" width="16.28515625" style="626" customWidth="1"/>
    <col min="6" max="6" width="17.85546875" style="625" customWidth="1"/>
    <col min="7" max="7" width="15.28515625" style="625" customWidth="1"/>
    <col min="8" max="8" width="14.5703125" style="625" customWidth="1"/>
    <col min="9" max="9" width="17.7109375" style="625" customWidth="1"/>
    <col min="10" max="10" width="18.5703125" style="625" customWidth="1"/>
    <col min="11" max="11" width="15.5703125" style="625" customWidth="1"/>
    <col min="12" max="12" width="19.5703125" style="625" customWidth="1"/>
    <col min="13" max="13" width="20.28515625" style="625" customWidth="1"/>
    <col min="14" max="14" width="26.28515625" style="625" customWidth="1"/>
    <col min="15" max="15" width="23" style="625" customWidth="1"/>
    <col min="16" max="16" width="20.28515625" style="625" customWidth="1"/>
    <col min="17" max="17" width="17.42578125" style="625" customWidth="1"/>
    <col min="18" max="16384" width="9.140625" style="625"/>
  </cols>
  <sheetData>
    <row r="1" spans="1:19" x14ac:dyDescent="0.25">
      <c r="A1" s="624" t="s">
        <v>1365</v>
      </c>
    </row>
    <row r="2" spans="1:19" ht="14.25" customHeight="1" x14ac:dyDescent="0.25">
      <c r="A2" s="627"/>
      <c r="B2" s="324" t="s">
        <v>1370</v>
      </c>
    </row>
    <row r="3" spans="1:19" ht="17.25" customHeight="1" x14ac:dyDescent="0.25">
      <c r="A3" s="628"/>
      <c r="B3" s="324" t="s">
        <v>1367</v>
      </c>
    </row>
    <row r="4" spans="1:19" ht="15.75" thickBot="1" x14ac:dyDescent="0.3">
      <c r="A4" s="411"/>
      <c r="B4" s="411"/>
      <c r="C4" s="411"/>
      <c r="D4" s="629"/>
      <c r="E4" s="629"/>
      <c r="F4" s="629"/>
    </row>
    <row r="5" spans="1:19" ht="18.75" x14ac:dyDescent="0.3">
      <c r="A5" s="613" t="s">
        <v>1369</v>
      </c>
      <c r="B5" s="658"/>
      <c r="C5" s="659"/>
      <c r="D5" s="660"/>
      <c r="E5" s="660"/>
      <c r="F5" s="660"/>
      <c r="G5" s="661"/>
      <c r="H5" s="661"/>
      <c r="I5" s="661"/>
      <c r="J5" s="662"/>
    </row>
    <row r="6" spans="1:19" ht="31.5" customHeight="1" x14ac:dyDescent="0.25">
      <c r="A6" s="663" t="s">
        <v>1073</v>
      </c>
      <c r="B6" s="608" t="s">
        <v>1074</v>
      </c>
      <c r="C6" s="608" t="s">
        <v>1075</v>
      </c>
      <c r="D6" s="608" t="s">
        <v>1377</v>
      </c>
      <c r="E6" s="608" t="s">
        <v>1077</v>
      </c>
      <c r="F6" s="608" t="s">
        <v>1078</v>
      </c>
      <c r="G6" s="608" t="s">
        <v>1079</v>
      </c>
      <c r="H6" s="608" t="s">
        <v>1080</v>
      </c>
      <c r="I6" s="608" t="s">
        <v>1081</v>
      </c>
      <c r="J6" s="620" t="s">
        <v>1082</v>
      </c>
      <c r="K6" s="631"/>
      <c r="L6" s="705"/>
      <c r="M6" s="631"/>
      <c r="N6" s="706"/>
      <c r="O6" s="706"/>
      <c r="P6" s="706"/>
      <c r="Q6" s="708"/>
    </row>
    <row r="7" spans="1:19" ht="15.75" thickBot="1" x14ac:dyDescent="0.3">
      <c r="A7" s="664">
        <f>O28</f>
        <v>276575.60729601816</v>
      </c>
      <c r="B7" s="665">
        <v>5.2900000000000003E-2</v>
      </c>
      <c r="C7" s="666">
        <f>A7*(1+B7)</f>
        <v>291206.45692197751</v>
      </c>
      <c r="D7" s="667">
        <f>'custos unitários para atualizar'!B31</f>
        <v>300.81</v>
      </c>
      <c r="E7" s="666">
        <f>C7*D7</f>
        <v>87597814.306700051</v>
      </c>
      <c r="F7" s="666">
        <f>E7/(1-0.25)-E7</f>
        <v>29199271.435566679</v>
      </c>
      <c r="G7" s="668">
        <f>A11*C7</f>
        <v>4566117.2445366075</v>
      </c>
      <c r="H7" s="668">
        <f>B11*C7</f>
        <v>2384980.8821909958</v>
      </c>
      <c r="I7" s="672">
        <f>C11*A7*(1+'custos unitários para atualizar'!B4)</f>
        <v>781026.69751635334</v>
      </c>
      <c r="J7" s="669">
        <f>SUM(E7:I7)</f>
        <v>124529210.56651069</v>
      </c>
      <c r="K7" s="631"/>
      <c r="L7" s="630"/>
      <c r="M7" s="631"/>
      <c r="N7" s="706"/>
      <c r="O7" s="706"/>
      <c r="P7" s="706"/>
      <c r="Q7" s="708"/>
    </row>
    <row r="8" spans="1:19" ht="15.75" thickBot="1" x14ac:dyDescent="0.3">
      <c r="A8" s="891"/>
      <c r="B8" s="891"/>
      <c r="C8" s="660"/>
      <c r="D8" s="660"/>
      <c r="E8" s="629"/>
      <c r="F8" s="629"/>
      <c r="N8" s="636"/>
      <c r="O8" s="626"/>
      <c r="P8" s="709"/>
      <c r="Q8" s="626"/>
    </row>
    <row r="9" spans="1:19" ht="18.75" x14ac:dyDescent="0.3">
      <c r="A9" s="613" t="s">
        <v>1371</v>
      </c>
      <c r="B9" s="670"/>
      <c r="C9" s="671"/>
      <c r="D9" s="411"/>
      <c r="E9" s="629"/>
      <c r="F9" s="629"/>
      <c r="M9" s="632"/>
      <c r="N9" s="626"/>
      <c r="O9" s="626"/>
      <c r="P9" s="709"/>
      <c r="Q9" s="629"/>
      <c r="R9" s="633"/>
    </row>
    <row r="10" spans="1:19" ht="30" x14ac:dyDescent="0.25">
      <c r="A10" s="663" t="s">
        <v>1363</v>
      </c>
      <c r="B10" s="608" t="s">
        <v>1364</v>
      </c>
      <c r="C10" s="620" t="s">
        <v>1060</v>
      </c>
      <c r="D10" s="629"/>
      <c r="E10" s="629"/>
      <c r="F10" s="634"/>
      <c r="G10" s="427"/>
      <c r="H10" s="427"/>
      <c r="I10" s="427"/>
      <c r="J10" s="427"/>
      <c r="K10" s="427"/>
      <c r="L10" s="630"/>
      <c r="M10" s="427"/>
      <c r="N10" s="636"/>
      <c r="O10" s="626"/>
      <c r="P10" s="709"/>
      <c r="Q10" s="629"/>
      <c r="R10" s="633"/>
      <c r="S10" s="633"/>
    </row>
    <row r="11" spans="1:19" ht="15.75" thickBot="1" x14ac:dyDescent="0.3">
      <c r="A11" s="857">
        <f>'custos unitários para atualizar'!B33</f>
        <v>15.68</v>
      </c>
      <c r="B11" s="858">
        <f>'custos unitários para atualizar'!B34</f>
        <v>8.19</v>
      </c>
      <c r="C11" s="859">
        <f>'custos unitários para atualizar'!B35</f>
        <v>2.5</v>
      </c>
      <c r="D11" s="635"/>
      <c r="E11" s="629"/>
      <c r="F11" s="634"/>
      <c r="G11" s="427"/>
      <c r="H11" s="427"/>
      <c r="I11" s="427"/>
      <c r="J11" s="427"/>
      <c r="K11" s="427"/>
      <c r="L11" s="427"/>
      <c r="M11" s="427"/>
      <c r="N11" s="707"/>
      <c r="O11" s="629"/>
      <c r="P11" s="710"/>
      <c r="Q11" s="629"/>
      <c r="R11" s="633"/>
      <c r="S11" s="633"/>
    </row>
    <row r="12" spans="1:19" ht="15.75" thickBot="1" x14ac:dyDescent="0.3">
      <c r="A12" s="630"/>
      <c r="D12" s="632"/>
      <c r="E12" s="636"/>
      <c r="F12" s="632"/>
      <c r="G12" s="633"/>
      <c r="H12" s="427"/>
      <c r="I12" s="630"/>
      <c r="J12" s="633"/>
      <c r="K12" s="633"/>
      <c r="L12" s="633"/>
      <c r="M12" s="633"/>
      <c r="N12" s="633"/>
      <c r="O12" s="633"/>
      <c r="P12" s="633"/>
      <c r="Q12" s="633"/>
      <c r="R12" s="633"/>
      <c r="S12" s="633"/>
    </row>
    <row r="13" spans="1:19" ht="18.75" x14ac:dyDescent="0.3">
      <c r="A13" s="613" t="s">
        <v>1372</v>
      </c>
      <c r="B13" s="661"/>
      <c r="C13" s="661"/>
      <c r="D13" s="661"/>
      <c r="E13" s="661"/>
      <c r="F13" s="661"/>
      <c r="G13" s="661"/>
      <c r="H13" s="661"/>
      <c r="I13" s="661"/>
      <c r="J13" s="673"/>
      <c r="K13" s="661"/>
      <c r="L13" s="661"/>
      <c r="M13" s="661"/>
      <c r="N13" s="661"/>
      <c r="O13" s="662"/>
    </row>
    <row r="14" spans="1:19" ht="30.75" customHeight="1" x14ac:dyDescent="0.25">
      <c r="A14" s="674" t="s">
        <v>23</v>
      </c>
      <c r="B14" s="447" t="s">
        <v>727</v>
      </c>
      <c r="C14" s="447" t="s">
        <v>1128</v>
      </c>
      <c r="D14" s="447" t="s">
        <v>1129</v>
      </c>
      <c r="E14" s="447" t="s">
        <v>1127</v>
      </c>
      <c r="F14" s="447" t="s">
        <v>1130</v>
      </c>
      <c r="G14" s="447" t="s">
        <v>1131</v>
      </c>
      <c r="H14" s="447" t="s">
        <v>1132</v>
      </c>
      <c r="I14" s="447" t="s">
        <v>1125</v>
      </c>
      <c r="J14" s="638" t="s">
        <v>1133</v>
      </c>
      <c r="K14" s="447" t="s">
        <v>1126</v>
      </c>
      <c r="L14" s="447" t="s">
        <v>1134</v>
      </c>
      <c r="M14" s="447" t="s">
        <v>1135</v>
      </c>
      <c r="N14" s="447" t="s">
        <v>1136</v>
      </c>
      <c r="O14" s="675" t="s">
        <v>1137</v>
      </c>
      <c r="P14" s="639"/>
    </row>
    <row r="15" spans="1:19" x14ac:dyDescent="0.25">
      <c r="A15" s="676" t="s">
        <v>1138</v>
      </c>
      <c r="B15" s="640" t="s">
        <v>1139</v>
      </c>
      <c r="C15" s="641">
        <v>36.1</v>
      </c>
      <c r="D15" s="641">
        <f>44640/3600</f>
        <v>12.4</v>
      </c>
      <c r="E15" s="641">
        <v>5036</v>
      </c>
      <c r="F15" s="641">
        <f>E15/J15</f>
        <v>5773.3249835854122</v>
      </c>
      <c r="G15" s="642">
        <v>0.97</v>
      </c>
      <c r="H15" s="643">
        <v>0.87</v>
      </c>
      <c r="I15" s="643">
        <f>G15*H15</f>
        <v>0.84389999999999998</v>
      </c>
      <c r="J15" s="644">
        <f>D15*C15*1000*0.736/E15/75</f>
        <v>0.8722876356897008</v>
      </c>
      <c r="K15" s="645">
        <f>O15*1000/C15/M15*100</f>
        <v>0.35825694404639474</v>
      </c>
      <c r="L15" s="646">
        <f>'custos unitários para atualizar'!I4</f>
        <v>4.3280000000000003</v>
      </c>
      <c r="M15" s="647">
        <f>L15*24*30*3600</f>
        <v>11218176.000000002</v>
      </c>
      <c r="N15" s="647">
        <f>M15/D15/2/3600</f>
        <v>125.65161290322582</v>
      </c>
      <c r="O15" s="677">
        <f>N15*E15*2/1000/J15</f>
        <v>1450.8551920039938</v>
      </c>
      <c r="P15" s="637"/>
    </row>
    <row r="16" spans="1:19" x14ac:dyDescent="0.25">
      <c r="A16" s="676" t="s">
        <v>1140</v>
      </c>
      <c r="B16" s="640" t="s">
        <v>1139</v>
      </c>
      <c r="C16" s="641">
        <v>58.52</v>
      </c>
      <c r="D16" s="641">
        <v>12.4</v>
      </c>
      <c r="E16" s="641">
        <v>8950</v>
      </c>
      <c r="F16" s="641">
        <f>E16/J16</f>
        <v>11248.730632303219</v>
      </c>
      <c r="G16" s="642">
        <v>0.97</v>
      </c>
      <c r="H16" s="643">
        <v>0.87</v>
      </c>
      <c r="I16" s="643">
        <f>G16*H16</f>
        <v>0.84389999999999998</v>
      </c>
      <c r="J16" s="644">
        <f>D16*C16*1000*0.736/E16/75</f>
        <v>0.79564533035381746</v>
      </c>
      <c r="K16" s="645">
        <f>O16*1000/C16/M16*100</f>
        <v>0.4306009797948876</v>
      </c>
      <c r="L16" s="646">
        <f>'custos unitários para atualizar'!I5</f>
        <v>4.0056666666666674</v>
      </c>
      <c r="M16" s="647">
        <f>L16*24*30*3600</f>
        <v>10382688.000000004</v>
      </c>
      <c r="N16" s="647">
        <f>M16/D16/2/3600</f>
        <v>116.29354838709682</v>
      </c>
      <c r="O16" s="677">
        <f>N16*E16*2/1000/J16</f>
        <v>2616.3096001623453</v>
      </c>
      <c r="P16" s="637"/>
    </row>
    <row r="17" spans="1:17" x14ac:dyDescent="0.25">
      <c r="A17" s="676" t="s">
        <v>1141</v>
      </c>
      <c r="B17" s="640" t="s">
        <v>1139</v>
      </c>
      <c r="C17" s="641">
        <v>96.63</v>
      </c>
      <c r="D17" s="641">
        <v>11.1</v>
      </c>
      <c r="E17" s="641">
        <v>12660</v>
      </c>
      <c r="F17" s="641">
        <f>E17/J17</f>
        <v>15227.054498041096</v>
      </c>
      <c r="G17" s="642">
        <v>0.97</v>
      </c>
      <c r="H17" s="643">
        <v>0.87</v>
      </c>
      <c r="I17" s="643">
        <f>G17*H17</f>
        <v>0.84389999999999998</v>
      </c>
      <c r="J17" s="644">
        <f>D17*C17*1000*0.736/E17/75</f>
        <v>0.83141490047393352</v>
      </c>
      <c r="K17" s="645">
        <f>O17*1000/C17/M17*100</f>
        <v>0.39434691076363276</v>
      </c>
      <c r="L17" s="646">
        <f>'custos unitários para atualizar'!I6</f>
        <v>3.2695000000000003</v>
      </c>
      <c r="M17" s="647">
        <f>L17*24*30*3600</f>
        <v>8474544</v>
      </c>
      <c r="N17" s="647">
        <f>M17/D17/2/3600</f>
        <v>106.03783783783784</v>
      </c>
      <c r="O17" s="677">
        <f>N17*E17*2/1000/J17</f>
        <v>3229.2878712224019</v>
      </c>
      <c r="P17" s="637"/>
    </row>
    <row r="18" spans="1:17" x14ac:dyDescent="0.25">
      <c r="A18" s="889" t="s">
        <v>1142</v>
      </c>
      <c r="B18" s="890"/>
      <c r="C18" s="641">
        <f>SUM(C15:C17)</f>
        <v>191.25</v>
      </c>
      <c r="D18" s="641"/>
      <c r="E18" s="641">
        <f>3*30+3*15</f>
        <v>135</v>
      </c>
      <c r="F18" s="641">
        <f>E18</f>
        <v>135</v>
      </c>
      <c r="G18" s="648"/>
      <c r="H18" s="643"/>
      <c r="I18" s="643"/>
      <c r="J18" s="644"/>
      <c r="K18" s="645"/>
      <c r="L18" s="649"/>
      <c r="M18" s="647"/>
      <c r="N18" s="647"/>
      <c r="O18" s="677">
        <f>E18*30*24*0.15/1000</f>
        <v>14.58</v>
      </c>
      <c r="P18" s="637"/>
    </row>
    <row r="19" spans="1:17" x14ac:dyDescent="0.25">
      <c r="A19" s="676"/>
      <c r="B19" s="640"/>
      <c r="C19" s="641"/>
      <c r="D19" s="648" t="s">
        <v>140</v>
      </c>
      <c r="E19" s="648">
        <f>SUM(E15:E17)*2+E18</f>
        <v>53427</v>
      </c>
      <c r="F19" s="650">
        <f>SUM(F15:F17)*2+F18</f>
        <v>64633.220227859456</v>
      </c>
      <c r="G19" s="648"/>
      <c r="H19" s="643"/>
      <c r="I19" s="643"/>
      <c r="J19" s="644"/>
      <c r="K19" s="645"/>
      <c r="L19" s="649"/>
      <c r="M19" s="647"/>
      <c r="N19" s="647"/>
      <c r="O19" s="677"/>
      <c r="P19" s="637"/>
    </row>
    <row r="20" spans="1:17" x14ac:dyDescent="0.25">
      <c r="A20" s="676" t="s">
        <v>1143</v>
      </c>
      <c r="B20" s="640" t="s">
        <v>1144</v>
      </c>
      <c r="C20" s="641">
        <v>61.78</v>
      </c>
      <c r="D20" s="648">
        <f>25200/3600</f>
        <v>7</v>
      </c>
      <c r="E20" s="648">
        <v>4917</v>
      </c>
      <c r="F20" s="641">
        <f t="shared" ref="F20:F25" si="0">E20/J20</f>
        <v>5696.8911519084941</v>
      </c>
      <c r="G20" s="651">
        <v>0.97399999999999998</v>
      </c>
      <c r="H20" s="643">
        <v>0.86</v>
      </c>
      <c r="I20" s="643">
        <f t="shared" ref="I20:I25" si="1">G20*H20</f>
        <v>0.83763999999999994</v>
      </c>
      <c r="J20" s="644">
        <f t="shared" ref="J20:J25" si="2">D20*C20*1000*0.736/E20/75</f>
        <v>0.86310232526608388</v>
      </c>
      <c r="K20" s="645">
        <f t="shared" ref="K20:K25" si="3">O20*1000/C20/M20*100</f>
        <v>0.36592280544305278</v>
      </c>
      <c r="L20" s="646">
        <f>'custos unitários para atualizar'!G4</f>
        <v>5.8683333333333332</v>
      </c>
      <c r="M20" s="647">
        <f t="shared" ref="M20:M25" si="4">L20*24*30*3600</f>
        <v>15210720</v>
      </c>
      <c r="N20" s="647">
        <f t="shared" ref="N20:N25" si="5">M20/D20/2/3600</f>
        <v>301.8</v>
      </c>
      <c r="O20" s="677">
        <f t="shared" ref="O20:O25" si="6">N20*E20*2/1000/J20</f>
        <v>3438.6434992919671</v>
      </c>
      <c r="P20" s="637"/>
    </row>
    <row r="21" spans="1:17" x14ac:dyDescent="0.25">
      <c r="A21" s="676" t="s">
        <v>1145</v>
      </c>
      <c r="B21" s="640" t="s">
        <v>1144</v>
      </c>
      <c r="C21" s="641">
        <v>43.15</v>
      </c>
      <c r="D21" s="648">
        <f>25200/3600</f>
        <v>7</v>
      </c>
      <c r="E21" s="648">
        <v>3433</v>
      </c>
      <c r="F21" s="641">
        <f t="shared" si="0"/>
        <v>3976.05346706923</v>
      </c>
      <c r="G21" s="651">
        <v>0.97199999999999998</v>
      </c>
      <c r="H21" s="643">
        <v>0.86</v>
      </c>
      <c r="I21" s="643">
        <f t="shared" si="1"/>
        <v>0.83592</v>
      </c>
      <c r="J21" s="644">
        <f t="shared" si="2"/>
        <v>0.86341897271579759</v>
      </c>
      <c r="K21" s="645">
        <f t="shared" si="3"/>
        <v>0.36565445999275603</v>
      </c>
      <c r="L21" s="646">
        <f>'custos unitários para atualizar'!G5</f>
        <v>5.754249999999999</v>
      </c>
      <c r="M21" s="647">
        <f t="shared" si="4"/>
        <v>14915015.999999998</v>
      </c>
      <c r="N21" s="647">
        <f t="shared" si="5"/>
        <v>295.93285714285713</v>
      </c>
      <c r="O21" s="677">
        <f t="shared" si="6"/>
        <v>2353.2897253251208</v>
      </c>
      <c r="P21" s="637"/>
    </row>
    <row r="22" spans="1:17" x14ac:dyDescent="0.25">
      <c r="A22" s="676" t="s">
        <v>1146</v>
      </c>
      <c r="B22" s="640" t="s">
        <v>1144</v>
      </c>
      <c r="C22" s="641">
        <v>63.54</v>
      </c>
      <c r="D22" s="648">
        <v>7</v>
      </c>
      <c r="E22" s="648">
        <v>4991.2</v>
      </c>
      <c r="F22" s="641">
        <f t="shared" si="0"/>
        <v>5707.529223045296</v>
      </c>
      <c r="G22" s="651">
        <v>0.97599999999999998</v>
      </c>
      <c r="H22" s="643">
        <v>0.88</v>
      </c>
      <c r="I22" s="643">
        <f t="shared" si="1"/>
        <v>0.85887999999999998</v>
      </c>
      <c r="J22" s="644">
        <f t="shared" si="2"/>
        <v>0.87449398942138168</v>
      </c>
      <c r="K22" s="645">
        <f t="shared" si="3"/>
        <v>0.35645145559135943</v>
      </c>
      <c r="L22" s="646">
        <f>'custos unitários para atualizar'!G6</f>
        <v>5.5986666666666673</v>
      </c>
      <c r="M22" s="647">
        <f t="shared" si="4"/>
        <v>14511744.000000004</v>
      </c>
      <c r="N22" s="647">
        <f t="shared" si="5"/>
        <v>287.93142857142863</v>
      </c>
      <c r="O22" s="677">
        <f t="shared" si="6"/>
        <v>3286.754085609216</v>
      </c>
      <c r="P22" s="637"/>
    </row>
    <row r="23" spans="1:17" x14ac:dyDescent="0.25">
      <c r="A23" s="676" t="s">
        <v>1147</v>
      </c>
      <c r="B23" s="640" t="s">
        <v>1144</v>
      </c>
      <c r="C23" s="641">
        <v>59.28</v>
      </c>
      <c r="D23" s="648">
        <v>7</v>
      </c>
      <c r="E23" s="652">
        <v>4658.66</v>
      </c>
      <c r="F23" s="641">
        <f t="shared" si="0"/>
        <v>5329.6568221806065</v>
      </c>
      <c r="G23" s="651">
        <v>0.97599999999999998</v>
      </c>
      <c r="H23" s="643">
        <v>0.88</v>
      </c>
      <c r="I23" s="643">
        <f t="shared" si="1"/>
        <v>0.85887999999999998</v>
      </c>
      <c r="J23" s="644">
        <f t="shared" si="2"/>
        <v>0.87410130810147146</v>
      </c>
      <c r="K23" s="645">
        <f t="shared" si="3"/>
        <v>0.35677179207236887</v>
      </c>
      <c r="L23" s="646">
        <f>'custos unitários para atualizar'!G7</f>
        <v>4.9385833333333347</v>
      </c>
      <c r="M23" s="647">
        <f t="shared" si="4"/>
        <v>12800808.000000004</v>
      </c>
      <c r="N23" s="647">
        <f t="shared" si="5"/>
        <v>253.98428571428579</v>
      </c>
      <c r="O23" s="677">
        <f t="shared" si="6"/>
        <v>2707.2981621676236</v>
      </c>
      <c r="P23" s="637"/>
    </row>
    <row r="24" spans="1:17" x14ac:dyDescent="0.25">
      <c r="A24" s="676" t="s">
        <v>1148</v>
      </c>
      <c r="B24" s="640" t="s">
        <v>1144</v>
      </c>
      <c r="C24" s="641">
        <v>41.71</v>
      </c>
      <c r="D24" s="648">
        <v>4.5</v>
      </c>
      <c r="E24" s="652">
        <v>2092.2199999999998</v>
      </c>
      <c r="F24" s="641">
        <f t="shared" si="0"/>
        <v>2376.5417272558275</v>
      </c>
      <c r="G24" s="651">
        <v>0.97</v>
      </c>
      <c r="H24" s="643">
        <v>0.88</v>
      </c>
      <c r="I24" s="643">
        <f t="shared" si="1"/>
        <v>0.85360000000000003</v>
      </c>
      <c r="J24" s="644">
        <f t="shared" si="2"/>
        <v>0.88036325051858799</v>
      </c>
      <c r="K24" s="645">
        <f t="shared" si="3"/>
        <v>0.35171447283800072</v>
      </c>
      <c r="L24" s="646">
        <f>'custos unitários para atualizar'!G8</f>
        <v>4.3029166666666656</v>
      </c>
      <c r="M24" s="647">
        <f t="shared" si="4"/>
        <v>11153159.999999998</v>
      </c>
      <c r="N24" s="647">
        <f t="shared" si="5"/>
        <v>344.23333333333329</v>
      </c>
      <c r="O24" s="677">
        <f t="shared" si="6"/>
        <v>1636.1697611580619</v>
      </c>
      <c r="P24" s="637"/>
    </row>
    <row r="25" spans="1:17" x14ac:dyDescent="0.25">
      <c r="A25" s="676" t="s">
        <v>1149</v>
      </c>
      <c r="B25" s="640" t="s">
        <v>1144</v>
      </c>
      <c r="C25" s="641">
        <v>62.98</v>
      </c>
      <c r="D25" s="648">
        <v>4.5</v>
      </c>
      <c r="E25" s="652">
        <v>3179.2</v>
      </c>
      <c r="F25" s="641">
        <f t="shared" si="0"/>
        <v>3634.1594525062019</v>
      </c>
      <c r="G25" s="651">
        <v>0.97</v>
      </c>
      <c r="H25" s="643">
        <v>0.88</v>
      </c>
      <c r="I25" s="643">
        <f t="shared" si="1"/>
        <v>0.85360000000000003</v>
      </c>
      <c r="J25" s="644">
        <f t="shared" si="2"/>
        <v>0.87481026673376938</v>
      </c>
      <c r="K25" s="645">
        <f t="shared" si="3"/>
        <v>0.35619376056147573</v>
      </c>
      <c r="L25" s="646">
        <f>'custos unitários para atualizar'!G9</f>
        <v>3.8889999999999993</v>
      </c>
      <c r="M25" s="647">
        <f t="shared" si="4"/>
        <v>10080287.999999998</v>
      </c>
      <c r="N25" s="647">
        <f t="shared" si="5"/>
        <v>311.11999999999995</v>
      </c>
      <c r="O25" s="677">
        <f t="shared" si="6"/>
        <v>2261.3193777274587</v>
      </c>
      <c r="P25" s="637"/>
    </row>
    <row r="26" spans="1:17" ht="45" x14ac:dyDescent="0.25">
      <c r="A26" s="678" t="s">
        <v>1150</v>
      </c>
      <c r="B26" s="679"/>
      <c r="C26" s="641">
        <f>SUM(C20:C25)</f>
        <v>332.44</v>
      </c>
      <c r="D26" s="648"/>
      <c r="E26" s="652">
        <f>16*30+15</f>
        <v>495</v>
      </c>
      <c r="F26" s="647">
        <f>E26</f>
        <v>495</v>
      </c>
      <c r="G26" s="653"/>
      <c r="H26" s="645"/>
      <c r="I26" s="645"/>
      <c r="J26" s="644"/>
      <c r="K26" s="641"/>
      <c r="L26" s="652"/>
      <c r="M26" s="647"/>
      <c r="N26" s="647"/>
      <c r="O26" s="677">
        <f>E26*30*24*0.15/1000</f>
        <v>53.46</v>
      </c>
      <c r="P26" s="637"/>
    </row>
    <row r="27" spans="1:17" ht="18.75" x14ac:dyDescent="0.3">
      <c r="A27" s="680"/>
      <c r="B27" s="633"/>
      <c r="C27" s="633"/>
      <c r="D27" s="648" t="s">
        <v>140</v>
      </c>
      <c r="E27" s="652">
        <f>SUM(E20:E25)*2+E26</f>
        <v>47037.560000000005</v>
      </c>
      <c r="F27" s="654">
        <f>SUM(F20:F25)*2+F26</f>
        <v>53936.663687931316</v>
      </c>
      <c r="G27" s="681"/>
      <c r="H27" s="682"/>
      <c r="I27" s="682"/>
      <c r="J27" s="633"/>
      <c r="K27" s="633"/>
      <c r="L27" s="637"/>
      <c r="M27" s="637"/>
      <c r="N27" s="655" t="s">
        <v>1151</v>
      </c>
      <c r="O27" s="683">
        <f>SUM(O15:O26)</f>
        <v>23047.967274668183</v>
      </c>
      <c r="P27" s="656"/>
      <c r="Q27" s="639"/>
    </row>
    <row r="28" spans="1:17" ht="19.5" thickBot="1" x14ac:dyDescent="0.35">
      <c r="A28" s="684"/>
      <c r="B28" s="685"/>
      <c r="C28" s="686"/>
      <c r="D28" s="687"/>
      <c r="E28" s="688"/>
      <c r="F28" s="689"/>
      <c r="G28" s="690"/>
      <c r="H28" s="690"/>
      <c r="I28" s="685"/>
      <c r="J28" s="691"/>
      <c r="K28" s="691"/>
      <c r="L28" s="692"/>
      <c r="M28" s="685"/>
      <c r="N28" s="693" t="s">
        <v>1152</v>
      </c>
      <c r="O28" s="694">
        <f>O27*12</f>
        <v>276575.60729601816</v>
      </c>
      <c r="P28" s="657"/>
    </row>
  </sheetData>
  <mergeCells count="2">
    <mergeCell ref="A18:B18"/>
    <mergeCell ref="A8:B8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zoomScale="80" zoomScaleNormal="80" workbookViewId="0"/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50"/>
    </row>
    <row r="2" spans="1:4" s="49" customFormat="1" ht="21" x14ac:dyDescent="0.35">
      <c r="A2" s="892" t="s">
        <v>1218</v>
      </c>
      <c r="B2" s="892"/>
      <c r="C2" s="892"/>
    </row>
    <row r="3" spans="1:4" ht="15.75" thickBot="1" x14ac:dyDescent="0.3">
      <c r="C3" s="47"/>
    </row>
    <row r="4" spans="1:4" ht="15.75" x14ac:dyDescent="0.25">
      <c r="A4" s="328" t="s">
        <v>98</v>
      </c>
      <c r="B4" s="329"/>
      <c r="C4" s="330" t="s">
        <v>1</v>
      </c>
    </row>
    <row r="5" spans="1:4" ht="19.5" thickBot="1" x14ac:dyDescent="0.35">
      <c r="A5" s="331" t="s">
        <v>97</v>
      </c>
      <c r="B5" s="332"/>
      <c r="C5" s="333">
        <f>SUM(C7:C24)</f>
        <v>69001177.621796846</v>
      </c>
    </row>
    <row r="6" spans="1:4" x14ac:dyDescent="0.25">
      <c r="A6" s="41"/>
      <c r="B6" s="17"/>
      <c r="C6" s="40"/>
    </row>
    <row r="7" spans="1:4" x14ac:dyDescent="0.25">
      <c r="A7" s="41"/>
      <c r="B7" s="17" t="s">
        <v>96</v>
      </c>
      <c r="C7" s="40">
        <f>'mão de obra'!J23</f>
        <v>27358820.072170012</v>
      </c>
    </row>
    <row r="8" spans="1:4" x14ac:dyDescent="0.25">
      <c r="A8" s="41"/>
      <c r="B8" s="17" t="s">
        <v>2</v>
      </c>
      <c r="C8" s="40">
        <f>Veículos!F16</f>
        <v>6008092.3215779997</v>
      </c>
    </row>
    <row r="9" spans="1:4" x14ac:dyDescent="0.25">
      <c r="A9" s="41"/>
      <c r="B9" s="17" t="s">
        <v>3</v>
      </c>
      <c r="C9" s="40">
        <f>Equipamentos!G59</f>
        <v>4087902.9729999998</v>
      </c>
    </row>
    <row r="10" spans="1:4" x14ac:dyDescent="0.25">
      <c r="A10" s="41"/>
      <c r="B10" s="17" t="s">
        <v>95</v>
      </c>
      <c r="C10" s="40">
        <f>amoxarifado!D6</f>
        <v>783072.32274999993</v>
      </c>
    </row>
    <row r="11" spans="1:4" x14ac:dyDescent="0.25">
      <c r="A11" s="41"/>
      <c r="B11" s="17" t="s">
        <v>94</v>
      </c>
      <c r="C11" s="40">
        <f>Ferramentas!D8</f>
        <v>52734.563125380009</v>
      </c>
    </row>
    <row r="12" spans="1:4" x14ac:dyDescent="0.25">
      <c r="A12" s="41"/>
      <c r="B12" s="17" t="s">
        <v>93</v>
      </c>
      <c r="C12" s="40">
        <f>'Materiais de consumo'!D6</f>
        <v>677184.45303600002</v>
      </c>
    </row>
    <row r="13" spans="1:4" x14ac:dyDescent="0.25">
      <c r="A13" s="41"/>
      <c r="B13" s="17" t="s">
        <v>92</v>
      </c>
      <c r="C13" s="40">
        <f>0.2515*SUM(C7:C12)</f>
        <v>9800403.3864733391</v>
      </c>
    </row>
    <row r="14" spans="1:4" x14ac:dyDescent="0.25">
      <c r="A14" s="41"/>
      <c r="B14" s="17" t="s">
        <v>91</v>
      </c>
      <c r="C14" s="40">
        <f>incendio!G8</f>
        <v>491678.10000000003</v>
      </c>
    </row>
    <row r="15" spans="1:4" x14ac:dyDescent="0.25">
      <c r="A15" s="41"/>
      <c r="B15" s="17" t="s">
        <v>90</v>
      </c>
      <c r="C15" s="40">
        <f>automação!H6</f>
        <v>970921.82995732559</v>
      </c>
      <c r="D15" s="3"/>
    </row>
    <row r="16" spans="1:4" x14ac:dyDescent="0.25">
      <c r="A16" s="41"/>
      <c r="B16" s="17" t="s">
        <v>89</v>
      </c>
      <c r="C16" s="40">
        <f>helicoptero!H22</f>
        <v>1326111.6580000001</v>
      </c>
    </row>
    <row r="17" spans="1:5" x14ac:dyDescent="0.25">
      <c r="A17" s="41"/>
      <c r="B17" s="17" t="s">
        <v>88</v>
      </c>
      <c r="C17" s="40">
        <f>drone!H19</f>
        <v>198916.7487</v>
      </c>
    </row>
    <row r="18" spans="1:5" x14ac:dyDescent="0.25">
      <c r="A18" s="41"/>
      <c r="B18" s="17" t="s">
        <v>87</v>
      </c>
      <c r="C18" s="40">
        <f>geomembranas!H3</f>
        <v>4893913.1279970948</v>
      </c>
    </row>
    <row r="19" spans="1:5" x14ac:dyDescent="0.25">
      <c r="A19" s="41"/>
      <c r="B19" s="17" t="s">
        <v>4</v>
      </c>
      <c r="C19" s="40">
        <f>'linhas transmissão'!F10</f>
        <v>3239504.1728827138</v>
      </c>
    </row>
    <row r="20" spans="1:5" x14ac:dyDescent="0.25">
      <c r="A20" s="41"/>
      <c r="B20" s="17" t="s">
        <v>86</v>
      </c>
      <c r="C20" s="40">
        <f>subestações!G12</f>
        <v>3886248.3439260093</v>
      </c>
    </row>
    <row r="21" spans="1:5" x14ac:dyDescent="0.25">
      <c r="A21" s="41"/>
      <c r="B21" s="17" t="s">
        <v>85</v>
      </c>
      <c r="C21" s="40">
        <f>'baixa tensão'!F8</f>
        <v>2124437.8316704831</v>
      </c>
    </row>
    <row r="22" spans="1:5" x14ac:dyDescent="0.25">
      <c r="A22" s="41"/>
      <c r="B22" s="46" t="s">
        <v>84</v>
      </c>
      <c r="C22" s="40">
        <f>'aferição medidores de vazão'!C9</f>
        <v>304983.09000000003</v>
      </c>
    </row>
    <row r="23" spans="1:5" x14ac:dyDescent="0.25">
      <c r="A23" s="41"/>
      <c r="B23" s="17" t="s">
        <v>81</v>
      </c>
      <c r="C23" s="40">
        <f>'apoio rio Piranhas'!M3</f>
        <v>1443288.3594364091</v>
      </c>
      <c r="E23" s="48"/>
    </row>
    <row r="24" spans="1:5" ht="15.75" thickBot="1" x14ac:dyDescent="0.3">
      <c r="A24" s="39"/>
      <c r="B24" s="38" t="s">
        <v>83</v>
      </c>
      <c r="C24" s="37">
        <f>SUM(C7:C23)*2%</f>
        <v>1352964.2670940557</v>
      </c>
      <c r="E24" s="48"/>
    </row>
    <row r="25" spans="1:5" x14ac:dyDescent="0.25">
      <c r="C25" s="47"/>
      <c r="E25" s="48"/>
    </row>
    <row r="26" spans="1:5" ht="15.75" thickBot="1" x14ac:dyDescent="0.3"/>
    <row r="27" spans="1:5" x14ac:dyDescent="0.25">
      <c r="A27" s="44" t="s">
        <v>82</v>
      </c>
      <c r="B27" s="43" t="s">
        <v>78</v>
      </c>
      <c r="C27" s="42">
        <f>Ferramentas!D9</f>
        <v>755255.85999999975</v>
      </c>
      <c r="D27" s="17"/>
    </row>
    <row r="28" spans="1:5" x14ac:dyDescent="0.25">
      <c r="A28" s="41"/>
      <c r="B28" s="17" t="s">
        <v>77</v>
      </c>
      <c r="C28" s="40">
        <f>amoxarifado!D7</f>
        <v>156908</v>
      </c>
      <c r="D28" s="17"/>
    </row>
    <row r="29" spans="1:5" x14ac:dyDescent="0.25">
      <c r="A29" s="41"/>
      <c r="B29" s="17" t="s">
        <v>76</v>
      </c>
      <c r="C29" s="40">
        <f>incendio!B6</f>
        <v>4500000</v>
      </c>
      <c r="D29" s="17"/>
    </row>
    <row r="30" spans="1:5" x14ac:dyDescent="0.25">
      <c r="A30" s="41"/>
      <c r="B30" s="17" t="s">
        <v>80</v>
      </c>
      <c r="C30" s="40">
        <f>C29*19.6%</f>
        <v>882000</v>
      </c>
      <c r="D30" s="17"/>
    </row>
    <row r="31" spans="1:5" x14ac:dyDescent="0.25">
      <c r="A31" s="41"/>
      <c r="B31" s="17" t="s">
        <v>75</v>
      </c>
      <c r="C31" s="40">
        <f>'materiais sobressalentes'!C38</f>
        <v>2010000</v>
      </c>
      <c r="D31" s="17"/>
    </row>
    <row r="32" spans="1:5" ht="15.75" thickBot="1" x14ac:dyDescent="0.3">
      <c r="A32" s="41"/>
      <c r="B32" s="46" t="s">
        <v>1112</v>
      </c>
      <c r="C32" s="40">
        <f>'apoio rio Piranhas'!M4</f>
        <v>76489.440000000002</v>
      </c>
      <c r="D32" s="46"/>
    </row>
    <row r="33" spans="1:4" ht="15.75" thickBot="1" x14ac:dyDescent="0.3">
      <c r="A33" s="39"/>
      <c r="B33" s="325" t="s">
        <v>140</v>
      </c>
      <c r="C33" s="326">
        <f>SUM(C27:C32)</f>
        <v>8380653.2999999998</v>
      </c>
      <c r="D33" s="17"/>
    </row>
    <row r="34" spans="1:4" ht="15.75" thickBot="1" x14ac:dyDescent="0.3">
      <c r="A34" s="41"/>
      <c r="B34" s="17"/>
      <c r="C34" s="45"/>
      <c r="D34" s="17"/>
    </row>
    <row r="35" spans="1:4" x14ac:dyDescent="0.25">
      <c r="A35" s="44" t="s">
        <v>79</v>
      </c>
      <c r="B35" s="43" t="s">
        <v>78</v>
      </c>
      <c r="C35" s="42">
        <f>Depreciação!I66</f>
        <v>103632.5632517795</v>
      </c>
    </row>
    <row r="36" spans="1:4" x14ac:dyDescent="0.25">
      <c r="A36" s="41"/>
      <c r="B36" s="17" t="s">
        <v>77</v>
      </c>
      <c r="C36" s="40">
        <f>Depreciação!I25</f>
        <v>27732.6771572</v>
      </c>
    </row>
    <row r="37" spans="1:4" x14ac:dyDescent="0.25">
      <c r="A37" s="41"/>
      <c r="B37" s="17" t="s">
        <v>76</v>
      </c>
      <c r="C37" s="40">
        <f>Depreciação!I72</f>
        <v>0</v>
      </c>
      <c r="D37" s="17"/>
    </row>
    <row r="38" spans="1:4" ht="15.75" thickBot="1" x14ac:dyDescent="0.3">
      <c r="A38" s="41"/>
      <c r="B38" s="17" t="s">
        <v>75</v>
      </c>
      <c r="C38" s="40">
        <v>0</v>
      </c>
      <c r="D38" s="17"/>
    </row>
    <row r="39" spans="1:4" ht="15.75" thickBot="1" x14ac:dyDescent="0.3">
      <c r="A39" s="39"/>
      <c r="B39" s="327" t="s">
        <v>140</v>
      </c>
      <c r="C39" s="326">
        <f>SUM(C35:C38)</f>
        <v>131365.2404089795</v>
      </c>
      <c r="D39" s="17"/>
    </row>
    <row r="40" spans="1:4" x14ac:dyDescent="0.25">
      <c r="D40" s="17"/>
    </row>
    <row r="41" spans="1:4" ht="15.75" x14ac:dyDescent="0.25">
      <c r="C41" s="480"/>
    </row>
    <row r="42" spans="1:4" x14ac:dyDescent="0.25">
      <c r="C42" s="501"/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7"/>
  <sheetViews>
    <sheetView showGridLines="0" workbookViewId="0">
      <selection activeCell="A29" sqref="A29:E29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1246</v>
      </c>
    </row>
    <row r="3" spans="2:5" x14ac:dyDescent="0.25">
      <c r="B3" s="44" t="s">
        <v>599</v>
      </c>
      <c r="C3" s="42">
        <f>'Anexo 3_Custos Ambientais'!I34</f>
        <v>12594121.694324998</v>
      </c>
      <c r="E3" t="s">
        <v>1247</v>
      </c>
    </row>
    <row r="4" spans="2:5" x14ac:dyDescent="0.25">
      <c r="B4" s="41" t="s">
        <v>598</v>
      </c>
      <c r="C4" s="40">
        <f>'Anexo 3_Custos Ambientais'!I40</f>
        <v>32880</v>
      </c>
      <c r="E4" t="s">
        <v>1247</v>
      </c>
    </row>
    <row r="5" spans="2:5" x14ac:dyDescent="0.25">
      <c r="B5" s="41" t="s">
        <v>303</v>
      </c>
      <c r="C5" s="40">
        <f>'Anexo 3_Custos Ambientais'!I45</f>
        <v>210000</v>
      </c>
      <c r="E5" t="s">
        <v>1247</v>
      </c>
    </row>
    <row r="6" spans="2:5" x14ac:dyDescent="0.25">
      <c r="B6" s="41" t="s">
        <v>2</v>
      </c>
      <c r="C6" s="40">
        <f>'Anexo 3_Custos Ambientais'!I49</f>
        <v>289627.8</v>
      </c>
      <c r="E6" t="s">
        <v>1247</v>
      </c>
    </row>
    <row r="7" spans="2:5" x14ac:dyDescent="0.25">
      <c r="B7" s="41" t="s">
        <v>597</v>
      </c>
      <c r="C7" s="40">
        <f>'Anexo 3_Custos Ambientais'!I60*(1+'custos unitários para atualizar'!$B$4)</f>
        <v>192338.33122272001</v>
      </c>
      <c r="E7" t="s">
        <v>1248</v>
      </c>
    </row>
    <row r="8" spans="2:5" x14ac:dyDescent="0.25">
      <c r="B8" s="41" t="s">
        <v>596</v>
      </c>
      <c r="C8" s="40">
        <f>'Anexo 3_Custos Ambientais'!I71*(1+'custos unitários para atualizar'!$B$4)</f>
        <v>35660.023545880002</v>
      </c>
      <c r="E8" t="s">
        <v>1248</v>
      </c>
    </row>
    <row r="9" spans="2:5" x14ac:dyDescent="0.25">
      <c r="B9" s="41" t="s">
        <v>595</v>
      </c>
      <c r="C9" s="40">
        <f>'Anexo 3_Custos Ambientais'!I79*(1+'custos unitários para atualizar'!$B$4)</f>
        <v>101068.007325</v>
      </c>
      <c r="E9" t="s">
        <v>1248</v>
      </c>
    </row>
    <row r="10" spans="2:5" x14ac:dyDescent="0.25">
      <c r="B10" s="41" t="s">
        <v>594</v>
      </c>
      <c r="C10" s="40">
        <f>'Anexo 3_Custos Ambientais'!I86*(1+'custos unitários para atualizar'!$B$4)</f>
        <v>156829.08228</v>
      </c>
      <c r="E10" t="s">
        <v>1248</v>
      </c>
    </row>
    <row r="11" spans="2:5" x14ac:dyDescent="0.25">
      <c r="B11" s="41" t="s">
        <v>593</v>
      </c>
      <c r="C11" s="40">
        <f>'Anexo 3_Custos Ambientais'!I99*(1+'custos unitários para atualizar'!$B$4)</f>
        <v>553036.00320000004</v>
      </c>
      <c r="E11" t="s">
        <v>1248</v>
      </c>
    </row>
    <row r="12" spans="2:5" x14ac:dyDescent="0.25">
      <c r="B12" s="41" t="s">
        <v>592</v>
      </c>
      <c r="C12" s="40">
        <f>'Anexo 3_Custos Ambientais'!I114*(1+'custos unitários para atualizar'!$B$4)</f>
        <v>3075246.1574999997</v>
      </c>
      <c r="E12" t="s">
        <v>1248</v>
      </c>
    </row>
    <row r="13" spans="2:5" x14ac:dyDescent="0.25">
      <c r="B13" s="41" t="s">
        <v>591</v>
      </c>
      <c r="C13" s="40">
        <f>SUM(C3:C12)</f>
        <v>17240807.099398598</v>
      </c>
    </row>
    <row r="14" spans="2:5" x14ac:dyDescent="0.25">
      <c r="B14" s="41" t="s">
        <v>590</v>
      </c>
      <c r="C14" s="40">
        <f>C13*10%</f>
        <v>1724080.7099398598</v>
      </c>
    </row>
    <row r="15" spans="2:5" x14ac:dyDescent="0.25">
      <c r="B15" s="41" t="s">
        <v>589</v>
      </c>
      <c r="C15" s="40">
        <f>C13+C14</f>
        <v>18964887.809338458</v>
      </c>
    </row>
    <row r="16" spans="2:5" x14ac:dyDescent="0.25">
      <c r="B16" s="41" t="s">
        <v>588</v>
      </c>
      <c r="C16" s="40">
        <f>0.1396*C15</f>
        <v>2647498.3381836489</v>
      </c>
    </row>
    <row r="17" spans="1:12" ht="15.75" thickBot="1" x14ac:dyDescent="0.3">
      <c r="B17" s="278" t="s">
        <v>8</v>
      </c>
      <c r="C17" s="279">
        <f>C15+C16</f>
        <v>21612386.147522107</v>
      </c>
    </row>
    <row r="18" spans="1:12" x14ac:dyDescent="0.25">
      <c r="C18" s="4"/>
    </row>
    <row r="20" spans="1:12" ht="15.75" thickBot="1" x14ac:dyDescent="0.3">
      <c r="A20" s="893" t="s">
        <v>689</v>
      </c>
      <c r="B20" s="893"/>
      <c r="C20" s="893"/>
      <c r="D20" s="893"/>
      <c r="E20" s="893"/>
      <c r="F20" s="893"/>
      <c r="G20" s="893"/>
      <c r="H20" s="893"/>
      <c r="I20" s="893"/>
    </row>
    <row r="21" spans="1:12" ht="16.5" thickTop="1" thickBot="1" x14ac:dyDescent="0.3">
      <c r="A21" s="893"/>
      <c r="B21" s="893"/>
      <c r="C21" s="893"/>
      <c r="D21" s="893"/>
      <c r="E21" s="893"/>
      <c r="F21" s="893"/>
      <c r="G21" s="893"/>
      <c r="H21" s="893"/>
      <c r="I21" s="893"/>
    </row>
    <row r="22" spans="1:12" ht="15.75" thickTop="1" x14ac:dyDescent="0.25">
      <c r="A22" s="911" t="s">
        <v>688</v>
      </c>
      <c r="B22" s="911"/>
      <c r="C22" s="911"/>
      <c r="D22" s="911"/>
      <c r="E22" s="911"/>
      <c r="F22" s="910" t="s">
        <v>687</v>
      </c>
      <c r="G22" s="910" t="s">
        <v>686</v>
      </c>
      <c r="H22" s="908" t="s">
        <v>685</v>
      </c>
      <c r="I22" s="908"/>
    </row>
    <row r="23" spans="1:12" x14ac:dyDescent="0.25">
      <c r="A23" s="911"/>
      <c r="B23" s="911"/>
      <c r="C23" s="911"/>
      <c r="D23" s="911"/>
      <c r="E23" s="911"/>
      <c r="F23" s="910"/>
      <c r="G23" s="910"/>
      <c r="H23" s="272" t="s">
        <v>684</v>
      </c>
      <c r="I23" s="271" t="s">
        <v>140</v>
      </c>
    </row>
    <row r="24" spans="1:12" x14ac:dyDescent="0.25">
      <c r="A24" s="912" t="s">
        <v>599</v>
      </c>
      <c r="B24" s="913"/>
      <c r="C24" s="913"/>
      <c r="D24" s="913"/>
      <c r="E24" s="914"/>
      <c r="F24" s="258"/>
      <c r="G24" s="268"/>
      <c r="H24" s="264"/>
      <c r="I24" s="264"/>
    </row>
    <row r="25" spans="1:12" x14ac:dyDescent="0.25">
      <c r="A25" s="915" t="s">
        <v>683</v>
      </c>
      <c r="B25" s="916"/>
      <c r="C25" s="916"/>
      <c r="D25" s="916"/>
      <c r="E25" s="917"/>
      <c r="F25" s="258" t="s">
        <v>601</v>
      </c>
      <c r="G25" s="268">
        <v>5</v>
      </c>
      <c r="H25" s="264">
        <f>'custos unitários para atualizar'!B6</f>
        <v>20318.25</v>
      </c>
      <c r="I25" s="264">
        <f t="shared" ref="I25:I30" si="0">G25*H25</f>
        <v>101591.25</v>
      </c>
    </row>
    <row r="26" spans="1:12" x14ac:dyDescent="0.25">
      <c r="A26" s="915" t="s">
        <v>682</v>
      </c>
      <c r="B26" s="916"/>
      <c r="C26" s="916"/>
      <c r="D26" s="916"/>
      <c r="E26" s="917"/>
      <c r="F26" s="258" t="s">
        <v>601</v>
      </c>
      <c r="G26" s="268">
        <v>12</v>
      </c>
      <c r="H26" s="264">
        <f>'custos unitários para atualizar'!B7</f>
        <v>13913.02</v>
      </c>
      <c r="I26" s="264">
        <f t="shared" si="0"/>
        <v>166956.24</v>
      </c>
    </row>
    <row r="27" spans="1:12" x14ac:dyDescent="0.25">
      <c r="A27" s="915" t="s">
        <v>681</v>
      </c>
      <c r="B27" s="916"/>
      <c r="C27" s="916"/>
      <c r="D27" s="916"/>
      <c r="E27" s="917"/>
      <c r="F27" s="258" t="s">
        <v>601</v>
      </c>
      <c r="G27" s="268">
        <v>84</v>
      </c>
      <c r="H27" s="264">
        <f>'custos unitários para atualizar'!B8</f>
        <v>10884.5</v>
      </c>
      <c r="I27" s="264">
        <f t="shared" si="0"/>
        <v>914298</v>
      </c>
      <c r="L27" s="21"/>
    </row>
    <row r="28" spans="1:12" x14ac:dyDescent="0.25">
      <c r="A28" s="915" t="s">
        <v>680</v>
      </c>
      <c r="B28" s="916"/>
      <c r="C28" s="916"/>
      <c r="D28" s="916"/>
      <c r="E28" s="917"/>
      <c r="F28" s="258" t="s">
        <v>601</v>
      </c>
      <c r="G28" s="268">
        <v>396</v>
      </c>
      <c r="H28" s="264">
        <f>'custos unitários para atualizar'!B9</f>
        <v>8954.73</v>
      </c>
      <c r="I28" s="264">
        <f t="shared" si="0"/>
        <v>3546073.0799999996</v>
      </c>
      <c r="L28" s="21"/>
    </row>
    <row r="29" spans="1:12" x14ac:dyDescent="0.25">
      <c r="A29" s="915" t="s">
        <v>679</v>
      </c>
      <c r="B29" s="916"/>
      <c r="C29" s="916"/>
      <c r="D29" s="916"/>
      <c r="E29" s="917"/>
      <c r="F29" s="258" t="s">
        <v>601</v>
      </c>
      <c r="G29" s="268">
        <v>384</v>
      </c>
      <c r="H29" s="264">
        <f>'custos unitários para atualizar'!B11</f>
        <v>3638.31</v>
      </c>
      <c r="I29" s="264">
        <f t="shared" si="0"/>
        <v>1397111.04</v>
      </c>
      <c r="L29" s="21"/>
    </row>
    <row r="30" spans="1:12" x14ac:dyDescent="0.25">
      <c r="A30" s="915" t="s">
        <v>678</v>
      </c>
      <c r="B30" s="916"/>
      <c r="C30" s="916"/>
      <c r="D30" s="916"/>
      <c r="E30" s="917"/>
      <c r="F30" s="258" t="s">
        <v>601</v>
      </c>
      <c r="G30" s="268">
        <v>132</v>
      </c>
      <c r="H30" s="264">
        <f>'custos unitários para atualizar'!B14</f>
        <v>1960.78</v>
      </c>
      <c r="I30" s="264">
        <f t="shared" si="0"/>
        <v>258822.96</v>
      </c>
    </row>
    <row r="31" spans="1:12" x14ac:dyDescent="0.25">
      <c r="A31" s="918" t="s">
        <v>591</v>
      </c>
      <c r="B31" s="919"/>
      <c r="C31" s="919"/>
      <c r="D31" s="919"/>
      <c r="E31" s="920"/>
      <c r="F31" s="273"/>
      <c r="G31" s="273"/>
      <c r="H31" s="272"/>
      <c r="I31" s="274">
        <f>SUM(I25:I30)</f>
        <v>6384852.5699999994</v>
      </c>
      <c r="K31" s="274"/>
    </row>
    <row r="32" spans="1:12" x14ac:dyDescent="0.25">
      <c r="A32" s="915" t="s">
        <v>677</v>
      </c>
      <c r="B32" s="916"/>
      <c r="C32" s="916"/>
      <c r="D32" s="916"/>
      <c r="E32" s="917"/>
      <c r="F32" s="273"/>
      <c r="G32" s="273"/>
      <c r="H32" s="272"/>
      <c r="I32" s="264">
        <f>0.7725*I31</f>
        <v>4932298.6103249993</v>
      </c>
    </row>
    <row r="33" spans="1:9" x14ac:dyDescent="0.25">
      <c r="A33" s="915" t="s">
        <v>676</v>
      </c>
      <c r="B33" s="916"/>
      <c r="C33" s="916"/>
      <c r="D33" s="916"/>
      <c r="E33" s="917"/>
      <c r="F33" s="273"/>
      <c r="G33" s="273"/>
      <c r="H33" s="272"/>
      <c r="I33" s="264">
        <f>0.2*I31</f>
        <v>1276970.514</v>
      </c>
    </row>
    <row r="34" spans="1:9" ht="15.75" thickBot="1" x14ac:dyDescent="0.3">
      <c r="A34" s="924" t="s">
        <v>675</v>
      </c>
      <c r="B34" s="925"/>
      <c r="C34" s="925"/>
      <c r="D34" s="925"/>
      <c r="E34" s="925"/>
      <c r="F34" s="925"/>
      <c r="G34" s="926"/>
      <c r="H34" s="240"/>
      <c r="I34" s="274">
        <f>I31+I32+I33</f>
        <v>12594121.694324998</v>
      </c>
    </row>
    <row r="35" spans="1:9" ht="15.75" thickTop="1" x14ac:dyDescent="0.25">
      <c r="A35" s="921"/>
      <c r="B35" s="922"/>
      <c r="C35" s="922"/>
      <c r="D35" s="922"/>
      <c r="E35" s="923"/>
      <c r="F35" s="273"/>
      <c r="G35" s="273"/>
      <c r="H35" s="272"/>
      <c r="I35" s="271"/>
    </row>
    <row r="36" spans="1:9" x14ac:dyDescent="0.25">
      <c r="A36" s="912" t="s">
        <v>598</v>
      </c>
      <c r="B36" s="913"/>
      <c r="C36" s="913"/>
      <c r="D36" s="913"/>
      <c r="E36" s="914"/>
      <c r="F36" s="273"/>
      <c r="G36" s="273"/>
      <c r="H36" s="272"/>
      <c r="I36" s="271"/>
    </row>
    <row r="37" spans="1:9" x14ac:dyDescent="0.25">
      <c r="A37" s="915" t="s">
        <v>674</v>
      </c>
      <c r="B37" s="916"/>
      <c r="C37" s="916"/>
      <c r="D37" s="916"/>
      <c r="E37" s="917"/>
      <c r="F37" s="258" t="s">
        <v>669</v>
      </c>
      <c r="G37" s="268">
        <v>24</v>
      </c>
      <c r="H37" s="496">
        <f>'custos unitários para atualizar'!B23</f>
        <v>1000</v>
      </c>
      <c r="I37" s="264">
        <v>21600</v>
      </c>
    </row>
    <row r="38" spans="1:9" x14ac:dyDescent="0.25">
      <c r="A38" s="915" t="s">
        <v>673</v>
      </c>
      <c r="B38" s="916"/>
      <c r="C38" s="916"/>
      <c r="D38" s="916"/>
      <c r="E38" s="917"/>
      <c r="F38" s="258" t="s">
        <v>669</v>
      </c>
      <c r="G38" s="268">
        <v>24</v>
      </c>
      <c r="H38" s="496">
        <f>'custos unitários para atualizar'!B24</f>
        <v>120</v>
      </c>
      <c r="I38" s="264">
        <v>2880</v>
      </c>
    </row>
    <row r="39" spans="1:9" x14ac:dyDescent="0.25">
      <c r="A39" s="915" t="s">
        <v>672</v>
      </c>
      <c r="B39" s="916"/>
      <c r="C39" s="916"/>
      <c r="D39" s="916"/>
      <c r="E39" s="917"/>
      <c r="F39" s="258" t="s">
        <v>669</v>
      </c>
      <c r="G39" s="268">
        <v>120</v>
      </c>
      <c r="H39" s="496">
        <f>'custos unitários para atualizar'!B25</f>
        <v>70</v>
      </c>
      <c r="I39" s="264">
        <v>8400</v>
      </c>
    </row>
    <row r="40" spans="1:9" ht="15.75" thickBot="1" x14ac:dyDescent="0.3">
      <c r="A40" s="924" t="s">
        <v>668</v>
      </c>
      <c r="B40" s="925"/>
      <c r="C40" s="925"/>
      <c r="D40" s="925"/>
      <c r="E40" s="925"/>
      <c r="F40" s="925"/>
      <c r="G40" s="926"/>
      <c r="H40" s="240"/>
      <c r="I40" s="274">
        <f>SUM(I37:I39)</f>
        <v>32880</v>
      </c>
    </row>
    <row r="41" spans="1:9" ht="15.75" thickTop="1" x14ac:dyDescent="0.25">
      <c r="A41" s="915"/>
      <c r="B41" s="916"/>
      <c r="C41" s="916"/>
      <c r="D41" s="916"/>
      <c r="E41" s="917"/>
      <c r="F41" s="273"/>
      <c r="G41" s="273"/>
      <c r="H41" s="272"/>
      <c r="I41" s="271"/>
    </row>
    <row r="42" spans="1:9" x14ac:dyDescent="0.25">
      <c r="A42" s="912" t="s">
        <v>303</v>
      </c>
      <c r="B42" s="913"/>
      <c r="C42" s="913"/>
      <c r="D42" s="913"/>
      <c r="E42" s="914"/>
      <c r="F42" s="273"/>
      <c r="G42" s="273"/>
      <c r="H42" s="272"/>
      <c r="I42" s="271"/>
    </row>
    <row r="43" spans="1:9" x14ac:dyDescent="0.25">
      <c r="A43" s="915" t="s">
        <v>671</v>
      </c>
      <c r="B43" s="916"/>
      <c r="C43" s="916"/>
      <c r="D43" s="916"/>
      <c r="E43" s="917"/>
      <c r="F43" s="258" t="s">
        <v>669</v>
      </c>
      <c r="G43" s="277">
        <f>(G38+G37)*5</f>
        <v>240</v>
      </c>
      <c r="H43" s="276">
        <f>'custos unitários para atualizar'!B26</f>
        <v>250</v>
      </c>
      <c r="I43" s="275">
        <f>ROUND(H43*G43,2)</f>
        <v>60000</v>
      </c>
    </row>
    <row r="44" spans="1:9" x14ac:dyDescent="0.25">
      <c r="A44" s="915" t="s">
        <v>670</v>
      </c>
      <c r="B44" s="916"/>
      <c r="C44" s="916"/>
      <c r="D44" s="916"/>
      <c r="E44" s="917"/>
      <c r="F44" s="258" t="s">
        <v>669</v>
      </c>
      <c r="G44" s="277">
        <f>G39*5</f>
        <v>600</v>
      </c>
      <c r="H44" s="276">
        <f>'custos unitários para atualizar'!B26</f>
        <v>250</v>
      </c>
      <c r="I44" s="275">
        <f>ROUND(H44*G44,2)</f>
        <v>150000</v>
      </c>
    </row>
    <row r="45" spans="1:9" ht="15.75" thickBot="1" x14ac:dyDescent="0.3">
      <c r="A45" s="924" t="s">
        <v>668</v>
      </c>
      <c r="B45" s="925"/>
      <c r="C45" s="925"/>
      <c r="D45" s="925"/>
      <c r="E45" s="925"/>
      <c r="F45" s="925"/>
      <c r="G45" s="926"/>
      <c r="H45" s="240"/>
      <c r="I45" s="274">
        <f>SUM(I42:I44)</f>
        <v>210000</v>
      </c>
    </row>
    <row r="46" spans="1:9" ht="15.75" thickTop="1" x14ac:dyDescent="0.25">
      <c r="A46" s="921"/>
      <c r="B46" s="922"/>
      <c r="C46" s="922"/>
      <c r="D46" s="922"/>
      <c r="E46" s="923"/>
      <c r="F46" s="273"/>
      <c r="G46" s="273"/>
      <c r="H46" s="272"/>
      <c r="I46" s="271"/>
    </row>
    <row r="47" spans="1:9" x14ac:dyDescent="0.25">
      <c r="A47" s="909" t="s">
        <v>667</v>
      </c>
      <c r="B47" s="909"/>
      <c r="C47" s="909"/>
      <c r="D47" s="909"/>
      <c r="E47" s="909"/>
      <c r="F47" s="268"/>
      <c r="G47" s="267"/>
      <c r="H47" s="270"/>
      <c r="I47" s="269"/>
    </row>
    <row r="48" spans="1:9" x14ac:dyDescent="0.25">
      <c r="A48" s="909" t="s">
        <v>666</v>
      </c>
      <c r="B48" s="909"/>
      <c r="C48" s="909"/>
      <c r="D48" s="909"/>
      <c r="E48" s="909"/>
      <c r="F48" s="268" t="s">
        <v>601</v>
      </c>
      <c r="G48" s="267">
        <v>60</v>
      </c>
      <c r="H48" s="253">
        <f>'custos unitários para atualizar'!B28</f>
        <v>4827.13</v>
      </c>
      <c r="I48" s="266">
        <f>ROUND(G48*H48,2)</f>
        <v>289627.8</v>
      </c>
    </row>
    <row r="49" spans="1:9" ht="15.75" thickBot="1" x14ac:dyDescent="0.3">
      <c r="A49" s="901" t="s">
        <v>665</v>
      </c>
      <c r="B49" s="901"/>
      <c r="C49" s="901"/>
      <c r="D49" s="901"/>
      <c r="E49" s="901"/>
      <c r="F49" s="901"/>
      <c r="G49" s="901"/>
      <c r="H49" s="240"/>
      <c r="I49" s="239">
        <f>SUM(I48:I48)</f>
        <v>289627.8</v>
      </c>
    </row>
    <row r="50" spans="1:9" ht="16.5" thickTop="1" thickBot="1" x14ac:dyDescent="0.3">
      <c r="A50" s="927"/>
      <c r="B50" s="927"/>
      <c r="C50" s="927"/>
      <c r="D50" s="927"/>
      <c r="E50" s="927"/>
      <c r="F50" s="927"/>
      <c r="G50" s="927"/>
      <c r="H50" s="927"/>
      <c r="I50" s="927"/>
    </row>
    <row r="51" spans="1:9" ht="15.75" thickTop="1" x14ac:dyDescent="0.25">
      <c r="A51" s="904" t="s">
        <v>664</v>
      </c>
      <c r="B51" s="904"/>
      <c r="C51" s="904"/>
      <c r="D51" s="904"/>
      <c r="E51" s="904"/>
      <c r="F51" s="904"/>
      <c r="G51" s="904"/>
      <c r="H51" s="904"/>
      <c r="I51" s="904"/>
    </row>
    <row r="52" spans="1:9" x14ac:dyDescent="0.25">
      <c r="A52" s="251" t="s">
        <v>663</v>
      </c>
      <c r="B52" s="250"/>
      <c r="C52" s="250"/>
      <c r="D52" s="265"/>
      <c r="E52" s="249"/>
      <c r="F52" s="258" t="s">
        <v>601</v>
      </c>
      <c r="G52" s="257">
        <v>48</v>
      </c>
      <c r="H52" s="264">
        <v>2400</v>
      </c>
      <c r="I52" s="247">
        <f t="shared" ref="I52:I58" si="1">ROUND(G52*H52,2)</f>
        <v>115200</v>
      </c>
    </row>
    <row r="53" spans="1:9" x14ac:dyDescent="0.25">
      <c r="A53" s="251" t="s">
        <v>662</v>
      </c>
      <c r="B53" s="250"/>
      <c r="C53" s="250"/>
      <c r="D53" s="250"/>
      <c r="E53" s="249"/>
      <c r="F53" s="258" t="s">
        <v>601</v>
      </c>
      <c r="G53" s="257">
        <v>48</v>
      </c>
      <c r="H53" s="247">
        <v>315</v>
      </c>
      <c r="I53" s="247">
        <f t="shared" si="1"/>
        <v>15120</v>
      </c>
    </row>
    <row r="54" spans="1:9" x14ac:dyDescent="0.25">
      <c r="A54" s="251" t="s">
        <v>661</v>
      </c>
      <c r="B54" s="250"/>
      <c r="C54" s="250"/>
      <c r="D54" s="250"/>
      <c r="E54" s="249"/>
      <c r="F54" s="258" t="s">
        <v>601</v>
      </c>
      <c r="G54" s="257">
        <v>48</v>
      </c>
      <c r="H54" s="247">
        <v>147</v>
      </c>
      <c r="I54" s="247">
        <f t="shared" si="1"/>
        <v>7056</v>
      </c>
    </row>
    <row r="55" spans="1:9" x14ac:dyDescent="0.25">
      <c r="A55" s="251" t="s">
        <v>660</v>
      </c>
      <c r="B55" s="250"/>
      <c r="C55" s="250"/>
      <c r="D55" s="250"/>
      <c r="E55" s="249"/>
      <c r="F55" s="258" t="s">
        <v>601</v>
      </c>
      <c r="G55" s="257">
        <v>48</v>
      </c>
      <c r="H55" s="247">
        <v>225.52</v>
      </c>
      <c r="I55" s="247">
        <f t="shared" si="1"/>
        <v>10824.96</v>
      </c>
    </row>
    <row r="56" spans="1:9" x14ac:dyDescent="0.25">
      <c r="A56" s="263" t="s">
        <v>659</v>
      </c>
      <c r="B56" s="262"/>
      <c r="C56" s="262"/>
      <c r="D56" s="262"/>
      <c r="E56" s="261"/>
      <c r="F56" s="258" t="s">
        <v>601</v>
      </c>
      <c r="G56" s="257">
        <v>48</v>
      </c>
      <c r="H56" s="244">
        <v>100</v>
      </c>
      <c r="I56" s="247">
        <f t="shared" si="1"/>
        <v>4800</v>
      </c>
    </row>
    <row r="57" spans="1:9" x14ac:dyDescent="0.25">
      <c r="A57" s="263" t="s">
        <v>658</v>
      </c>
      <c r="B57" s="262"/>
      <c r="C57" s="262"/>
      <c r="D57" s="262"/>
      <c r="E57" s="261"/>
      <c r="F57" s="258" t="s">
        <v>601</v>
      </c>
      <c r="G57" s="257">
        <v>48</v>
      </c>
      <c r="H57" s="244">
        <v>99.9</v>
      </c>
      <c r="I57" s="247">
        <f t="shared" si="1"/>
        <v>4795.2</v>
      </c>
    </row>
    <row r="58" spans="1:9" x14ac:dyDescent="0.25">
      <c r="A58" s="263" t="s">
        <v>657</v>
      </c>
      <c r="B58" s="262"/>
      <c r="C58" s="262"/>
      <c r="D58" s="262"/>
      <c r="E58" s="261"/>
      <c r="F58" s="258" t="s">
        <v>601</v>
      </c>
      <c r="G58" s="257">
        <v>48</v>
      </c>
      <c r="H58" s="244">
        <v>260</v>
      </c>
      <c r="I58" s="247">
        <f t="shared" si="1"/>
        <v>12480</v>
      </c>
    </row>
    <row r="59" spans="1:9" x14ac:dyDescent="0.25">
      <c r="A59" s="251"/>
      <c r="B59" s="250"/>
      <c r="C59" s="250"/>
      <c r="D59" s="250"/>
      <c r="E59" s="249"/>
      <c r="F59" s="252"/>
      <c r="G59" s="248"/>
      <c r="H59" s="247"/>
      <c r="I59" s="247"/>
    </row>
    <row r="60" spans="1:9" ht="15.75" thickBot="1" x14ac:dyDescent="0.3">
      <c r="A60" s="901" t="s">
        <v>656</v>
      </c>
      <c r="B60" s="901"/>
      <c r="C60" s="901"/>
      <c r="D60" s="901"/>
      <c r="E60" s="901"/>
      <c r="F60" s="901"/>
      <c r="G60" s="901"/>
      <c r="H60" s="240"/>
      <c r="I60" s="239">
        <f>SUM(I52:I59)</f>
        <v>170276.16</v>
      </c>
    </row>
    <row r="61" spans="1:9" ht="16.5" thickTop="1" thickBot="1" x14ac:dyDescent="0.3">
      <c r="A61" s="902" t="s">
        <v>655</v>
      </c>
      <c r="B61" s="903"/>
      <c r="C61" s="903"/>
      <c r="D61" s="903"/>
      <c r="E61" s="903"/>
      <c r="F61" s="903"/>
      <c r="G61" s="903"/>
      <c r="H61" s="903"/>
      <c r="I61" s="903"/>
    </row>
    <row r="62" spans="1:9" x14ac:dyDescent="0.25">
      <c r="A62" s="228" t="s">
        <v>654</v>
      </c>
      <c r="B62" s="228"/>
      <c r="C62" s="228"/>
      <c r="D62" s="228"/>
      <c r="E62" s="228"/>
      <c r="F62" s="260" t="s">
        <v>644</v>
      </c>
      <c r="G62" s="259">
        <v>1</v>
      </c>
      <c r="H62" s="253">
        <v>2797.08</v>
      </c>
      <c r="I62" s="224">
        <f t="shared" ref="I62:I70" si="2">ROUND(G62*H62,2)</f>
        <v>2797.08</v>
      </c>
    </row>
    <row r="63" spans="1:9" x14ac:dyDescent="0.25">
      <c r="A63" s="228" t="s">
        <v>653</v>
      </c>
      <c r="B63" s="228"/>
      <c r="C63" s="228"/>
      <c r="D63" s="228"/>
      <c r="E63" s="228"/>
      <c r="F63" s="258" t="s">
        <v>644</v>
      </c>
      <c r="G63" s="257">
        <v>1</v>
      </c>
      <c r="H63" s="253">
        <v>3142.85</v>
      </c>
      <c r="I63" s="247">
        <f t="shared" si="2"/>
        <v>3142.85</v>
      </c>
    </row>
    <row r="64" spans="1:9" x14ac:dyDescent="0.25">
      <c r="A64" s="228" t="s">
        <v>652</v>
      </c>
      <c r="B64" s="228"/>
      <c r="C64" s="228"/>
      <c r="D64" s="228"/>
      <c r="E64" s="228"/>
      <c r="F64" s="258" t="s">
        <v>644</v>
      </c>
      <c r="G64" s="257">
        <v>1</v>
      </c>
      <c r="H64" s="253">
        <v>2325.71</v>
      </c>
      <c r="I64" s="247">
        <f t="shared" si="2"/>
        <v>2325.71</v>
      </c>
    </row>
    <row r="65" spans="1:9" x14ac:dyDescent="0.25">
      <c r="A65" s="228" t="s">
        <v>651</v>
      </c>
      <c r="B65" s="228"/>
      <c r="C65" s="228"/>
      <c r="D65" s="228"/>
      <c r="E65" s="228"/>
      <c r="F65" s="258" t="s">
        <v>646</v>
      </c>
      <c r="G65" s="257">
        <v>100</v>
      </c>
      <c r="H65" s="253">
        <v>145</v>
      </c>
      <c r="I65" s="247">
        <f t="shared" si="2"/>
        <v>14500</v>
      </c>
    </row>
    <row r="66" spans="1:9" x14ac:dyDescent="0.25">
      <c r="A66" s="228" t="s">
        <v>650</v>
      </c>
      <c r="B66" s="228"/>
      <c r="C66" s="228"/>
      <c r="D66" s="228"/>
      <c r="E66" s="228"/>
      <c r="F66" s="258" t="s">
        <v>644</v>
      </c>
      <c r="G66" s="257">
        <v>1</v>
      </c>
      <c r="H66" s="253">
        <v>1500</v>
      </c>
      <c r="I66" s="247">
        <f t="shared" si="2"/>
        <v>1500</v>
      </c>
    </row>
    <row r="67" spans="1:9" x14ac:dyDescent="0.25">
      <c r="A67" s="228" t="s">
        <v>649</v>
      </c>
      <c r="B67" s="228"/>
      <c r="C67" s="228"/>
      <c r="D67" s="228"/>
      <c r="E67" s="228"/>
      <c r="F67" s="258" t="s">
        <v>644</v>
      </c>
      <c r="G67" s="257">
        <v>1</v>
      </c>
      <c r="H67" s="253">
        <v>3500</v>
      </c>
      <c r="I67" s="247">
        <f t="shared" si="2"/>
        <v>3500</v>
      </c>
    </row>
    <row r="68" spans="1:9" x14ac:dyDescent="0.25">
      <c r="A68" s="228" t="s">
        <v>648</v>
      </c>
      <c r="B68" s="228"/>
      <c r="C68" s="228"/>
      <c r="D68" s="228"/>
      <c r="E68" s="228"/>
      <c r="F68" s="258" t="s">
        <v>644</v>
      </c>
      <c r="G68" s="257">
        <v>200</v>
      </c>
      <c r="H68" s="253">
        <v>9.2200000000000006</v>
      </c>
      <c r="I68" s="247">
        <f t="shared" si="2"/>
        <v>1844</v>
      </c>
    </row>
    <row r="69" spans="1:9" x14ac:dyDescent="0.25">
      <c r="A69" s="228" t="s">
        <v>647</v>
      </c>
      <c r="B69" s="228"/>
      <c r="C69" s="228"/>
      <c r="D69" s="228"/>
      <c r="E69" s="228"/>
      <c r="F69" s="256" t="s">
        <v>646</v>
      </c>
      <c r="G69" s="245">
        <v>2500</v>
      </c>
      <c r="H69" s="253">
        <v>0.74</v>
      </c>
      <c r="I69" s="244">
        <f t="shared" si="2"/>
        <v>1850</v>
      </c>
    </row>
    <row r="70" spans="1:9" ht="15.75" thickBot="1" x14ac:dyDescent="0.3">
      <c r="A70" s="228" t="s">
        <v>645</v>
      </c>
      <c r="B70" s="228"/>
      <c r="C70" s="228"/>
      <c r="D70" s="228"/>
      <c r="E70" s="228"/>
      <c r="F70" s="256" t="s">
        <v>644</v>
      </c>
      <c r="G70" s="245">
        <v>2</v>
      </c>
      <c r="H70" s="253">
        <v>55</v>
      </c>
      <c r="I70" s="244">
        <f t="shared" si="2"/>
        <v>110</v>
      </c>
    </row>
    <row r="71" spans="1:9" ht="15.75" thickBot="1" x14ac:dyDescent="0.3">
      <c r="A71" s="931" t="s">
        <v>643</v>
      </c>
      <c r="B71" s="932"/>
      <c r="C71" s="932"/>
      <c r="D71" s="932"/>
      <c r="E71" s="932"/>
      <c r="F71" s="932"/>
      <c r="G71" s="932"/>
      <c r="H71" s="255"/>
      <c r="I71" s="254">
        <f>SUM(I62:I70)</f>
        <v>31569.64</v>
      </c>
    </row>
    <row r="72" spans="1:9" ht="15.75" thickTop="1" x14ac:dyDescent="0.25">
      <c r="A72" s="904" t="s">
        <v>642</v>
      </c>
      <c r="B72" s="904"/>
      <c r="C72" s="904"/>
      <c r="D72" s="904"/>
      <c r="E72" s="904"/>
      <c r="F72" s="904"/>
      <c r="G72" s="904"/>
      <c r="H72" s="904"/>
      <c r="I72" s="904"/>
    </row>
    <row r="73" spans="1:9" x14ac:dyDescent="0.25">
      <c r="A73" s="251" t="s">
        <v>641</v>
      </c>
      <c r="B73" s="250"/>
      <c r="C73" s="250"/>
      <c r="D73" s="250"/>
      <c r="E73" s="249"/>
      <c r="F73" s="252" t="s">
        <v>601</v>
      </c>
      <c r="G73" s="248">
        <v>881</v>
      </c>
      <c r="H73" s="253">
        <v>69</v>
      </c>
      <c r="I73" s="247">
        <f>ROUND(G73*H73,2)</f>
        <v>60789</v>
      </c>
    </row>
    <row r="74" spans="1:9" x14ac:dyDescent="0.25">
      <c r="A74" s="251" t="s">
        <v>640</v>
      </c>
      <c r="B74" s="250"/>
      <c r="C74" s="250"/>
      <c r="D74" s="250"/>
      <c r="E74" s="249"/>
      <c r="F74" s="252" t="s">
        <v>601</v>
      </c>
      <c r="G74" s="248">
        <v>48</v>
      </c>
      <c r="H74" s="247">
        <v>64</v>
      </c>
      <c r="I74" s="247">
        <f>ROUND(G74*H74,2)</f>
        <v>3072</v>
      </c>
    </row>
    <row r="75" spans="1:9" x14ac:dyDescent="0.25">
      <c r="A75" s="251" t="s">
        <v>639</v>
      </c>
      <c r="B75" s="250"/>
      <c r="C75" s="250"/>
      <c r="D75" s="250"/>
      <c r="E75" s="249"/>
      <c r="F75" s="252" t="s">
        <v>601</v>
      </c>
      <c r="G75" s="248">
        <v>297</v>
      </c>
      <c r="H75" s="247">
        <v>23</v>
      </c>
      <c r="I75" s="247">
        <f>ROUND(G75*H75,2)</f>
        <v>6831</v>
      </c>
    </row>
    <row r="76" spans="1:9" x14ac:dyDescent="0.25">
      <c r="A76" s="251" t="s">
        <v>638</v>
      </c>
      <c r="B76" s="250"/>
      <c r="C76" s="250"/>
      <c r="D76" s="250"/>
      <c r="E76" s="249"/>
      <c r="F76" s="231" t="s">
        <v>601</v>
      </c>
      <c r="G76" s="248">
        <v>297</v>
      </c>
      <c r="H76" s="247">
        <v>39</v>
      </c>
      <c r="I76" s="247">
        <f>ROUND(G76*H76,2)</f>
        <v>11583</v>
      </c>
    </row>
    <row r="77" spans="1:9" x14ac:dyDescent="0.25">
      <c r="A77" s="251" t="s">
        <v>637</v>
      </c>
      <c r="B77" s="250"/>
      <c r="C77" s="250"/>
      <c r="D77" s="250"/>
      <c r="E77" s="249"/>
      <c r="F77" s="231" t="s">
        <v>601</v>
      </c>
      <c r="G77" s="248">
        <v>48</v>
      </c>
      <c r="H77" s="247">
        <v>150</v>
      </c>
      <c r="I77" s="247">
        <f>ROUND(G77*H77,2)</f>
        <v>7200</v>
      </c>
    </row>
    <row r="78" spans="1:9" x14ac:dyDescent="0.25">
      <c r="A78" s="251"/>
      <c r="B78" s="250"/>
      <c r="C78" s="250"/>
      <c r="D78" s="250"/>
      <c r="E78" s="249"/>
      <c r="F78" s="252"/>
      <c r="G78" s="248"/>
      <c r="H78" s="247"/>
      <c r="I78" s="247"/>
    </row>
    <row r="79" spans="1:9" ht="15.75" thickBot="1" x14ac:dyDescent="0.3">
      <c r="A79" s="901" t="s">
        <v>636</v>
      </c>
      <c r="B79" s="901"/>
      <c r="C79" s="901"/>
      <c r="D79" s="901"/>
      <c r="E79" s="901"/>
      <c r="F79" s="901"/>
      <c r="G79" s="901"/>
      <c r="H79" s="240"/>
      <c r="I79" s="239">
        <f>SUM(I73:I78)</f>
        <v>89475</v>
      </c>
    </row>
    <row r="80" spans="1:9" ht="15.75" thickTop="1" x14ac:dyDescent="0.25">
      <c r="A80" s="904" t="s">
        <v>635</v>
      </c>
      <c r="B80" s="904"/>
      <c r="C80" s="904"/>
      <c r="D80" s="904"/>
      <c r="E80" s="904"/>
      <c r="F80" s="904"/>
      <c r="G80" s="904"/>
      <c r="H80" s="904"/>
      <c r="I80" s="904"/>
    </row>
    <row r="81" spans="1:9" x14ac:dyDescent="0.25">
      <c r="A81" s="251" t="s">
        <v>634</v>
      </c>
      <c r="B81" s="250"/>
      <c r="C81" s="250"/>
      <c r="D81" s="250"/>
      <c r="E81" s="249"/>
      <c r="F81" s="231" t="s">
        <v>607</v>
      </c>
      <c r="G81" s="248">
        <v>12</v>
      </c>
      <c r="H81" s="247">
        <v>50</v>
      </c>
      <c r="I81" s="247">
        <f>ROUND(G81*H81,2)</f>
        <v>600</v>
      </c>
    </row>
    <row r="82" spans="1:9" x14ac:dyDescent="0.25">
      <c r="A82" s="251" t="s">
        <v>633</v>
      </c>
      <c r="B82" s="250"/>
      <c r="C82" s="250"/>
      <c r="D82" s="250"/>
      <c r="E82" s="249"/>
      <c r="F82" s="231" t="s">
        <v>607</v>
      </c>
      <c r="G82" s="248">
        <v>84</v>
      </c>
      <c r="H82" s="247">
        <v>30</v>
      </c>
      <c r="I82" s="247">
        <f>ROUND(G82*H82,2)</f>
        <v>2520</v>
      </c>
    </row>
    <row r="83" spans="1:9" ht="21" customHeight="1" x14ac:dyDescent="0.25">
      <c r="A83" s="905" t="s">
        <v>632</v>
      </c>
      <c r="B83" s="906"/>
      <c r="C83" s="906"/>
      <c r="D83" s="906"/>
      <c r="E83" s="907"/>
      <c r="F83" s="231" t="s">
        <v>607</v>
      </c>
      <c r="G83" s="248">
        <v>12000</v>
      </c>
      <c r="H83" s="247">
        <v>1.31</v>
      </c>
      <c r="I83" s="247">
        <f>ROUND(G83*H83,2)</f>
        <v>15720</v>
      </c>
    </row>
    <row r="84" spans="1:9" x14ac:dyDescent="0.25">
      <c r="A84" s="894" t="s">
        <v>631</v>
      </c>
      <c r="B84" s="895"/>
      <c r="C84" s="895"/>
      <c r="D84" s="895"/>
      <c r="E84" s="896"/>
      <c r="F84" s="246" t="s">
        <v>607</v>
      </c>
      <c r="G84" s="245">
        <v>72</v>
      </c>
      <c r="H84" s="244">
        <v>250</v>
      </c>
      <c r="I84" s="244">
        <f>ROUND(G84*H84,2)</f>
        <v>18000</v>
      </c>
    </row>
    <row r="85" spans="1:9" x14ac:dyDescent="0.25">
      <c r="A85" s="897" t="s">
        <v>630</v>
      </c>
      <c r="B85" s="898"/>
      <c r="C85" s="898"/>
      <c r="D85" s="898"/>
      <c r="E85" s="899"/>
      <c r="F85" s="243" t="s">
        <v>607</v>
      </c>
      <c r="G85" s="242">
        <v>3400</v>
      </c>
      <c r="H85" s="241">
        <v>30</v>
      </c>
      <c r="I85" s="241">
        <f>ROUND(G85*H85,2)</f>
        <v>102000</v>
      </c>
    </row>
    <row r="86" spans="1:9" ht="15.75" thickBot="1" x14ac:dyDescent="0.3">
      <c r="A86" s="900" t="s">
        <v>629</v>
      </c>
      <c r="B86" s="901"/>
      <c r="C86" s="901"/>
      <c r="D86" s="901"/>
      <c r="E86" s="901"/>
      <c r="F86" s="901"/>
      <c r="G86" s="901"/>
      <c r="H86" s="240"/>
      <c r="I86" s="239">
        <f>SUM(I81:I85)</f>
        <v>138840</v>
      </c>
    </row>
    <row r="87" spans="1:9" ht="16.5" thickTop="1" thickBot="1" x14ac:dyDescent="0.3">
      <c r="A87" s="902" t="s">
        <v>628</v>
      </c>
      <c r="B87" s="903"/>
      <c r="C87" s="903"/>
      <c r="D87" s="903"/>
      <c r="E87" s="903"/>
      <c r="F87" s="903"/>
      <c r="G87" s="903"/>
      <c r="H87" s="903"/>
      <c r="I87" s="903"/>
    </row>
    <row r="88" spans="1:9" x14ac:dyDescent="0.25">
      <c r="A88" s="238" t="s">
        <v>627</v>
      </c>
      <c r="B88" s="237"/>
      <c r="C88" s="237"/>
      <c r="D88" s="237"/>
      <c r="E88" s="237"/>
      <c r="F88" s="236"/>
      <c r="G88" s="235"/>
      <c r="H88" s="234"/>
      <c r="I88" s="233"/>
    </row>
    <row r="89" spans="1:9" x14ac:dyDescent="0.25">
      <c r="A89" s="939" t="s">
        <v>626</v>
      </c>
      <c r="B89" s="940"/>
      <c r="C89" s="940"/>
      <c r="D89" s="940"/>
      <c r="E89" s="940"/>
      <c r="F89" s="226" t="s">
        <v>607</v>
      </c>
      <c r="G89" s="225">
        <v>480</v>
      </c>
      <c r="H89" s="224">
        <v>45</v>
      </c>
      <c r="I89" s="224">
        <f t="shared" ref="I89:I98" si="3">ROUND(G89*H89,2)</f>
        <v>21600</v>
      </c>
    </row>
    <row r="90" spans="1:9" x14ac:dyDescent="0.25">
      <c r="A90" s="939" t="s">
        <v>625</v>
      </c>
      <c r="B90" s="940"/>
      <c r="C90" s="940"/>
      <c r="D90" s="940"/>
      <c r="E90" s="940"/>
      <c r="F90" s="226" t="s">
        <v>607</v>
      </c>
      <c r="G90" s="225">
        <v>480</v>
      </c>
      <c r="H90" s="224">
        <v>45</v>
      </c>
      <c r="I90" s="224">
        <f t="shared" si="3"/>
        <v>21600</v>
      </c>
    </row>
    <row r="91" spans="1:9" x14ac:dyDescent="0.25">
      <c r="A91" s="939" t="s">
        <v>624</v>
      </c>
      <c r="B91" s="940"/>
      <c r="C91" s="940"/>
      <c r="D91" s="940"/>
      <c r="E91" s="940"/>
      <c r="F91" s="226" t="s">
        <v>607</v>
      </c>
      <c r="G91" s="225">
        <v>480</v>
      </c>
      <c r="H91" s="224">
        <v>45</v>
      </c>
      <c r="I91" s="224">
        <f t="shared" si="3"/>
        <v>21600</v>
      </c>
    </row>
    <row r="92" spans="1:9" x14ac:dyDescent="0.25">
      <c r="A92" s="939" t="s">
        <v>623</v>
      </c>
      <c r="B92" s="940"/>
      <c r="C92" s="940"/>
      <c r="D92" s="940"/>
      <c r="E92" s="940"/>
      <c r="F92" s="226" t="s">
        <v>607</v>
      </c>
      <c r="G92" s="225">
        <v>480</v>
      </c>
      <c r="H92" s="224">
        <v>45</v>
      </c>
      <c r="I92" s="224">
        <f t="shared" si="3"/>
        <v>21600</v>
      </c>
    </row>
    <row r="93" spans="1:9" x14ac:dyDescent="0.25">
      <c r="A93" s="939" t="s">
        <v>622</v>
      </c>
      <c r="B93" s="940"/>
      <c r="C93" s="940"/>
      <c r="D93" s="940"/>
      <c r="E93" s="940"/>
      <c r="F93" s="226" t="s">
        <v>607</v>
      </c>
      <c r="G93" s="225">
        <v>480</v>
      </c>
      <c r="H93" s="224">
        <v>140</v>
      </c>
      <c r="I93" s="224">
        <f t="shared" si="3"/>
        <v>67200</v>
      </c>
    </row>
    <row r="94" spans="1:9" x14ac:dyDescent="0.25">
      <c r="A94" s="939" t="s">
        <v>621</v>
      </c>
      <c r="B94" s="940"/>
      <c r="C94" s="940"/>
      <c r="D94" s="940"/>
      <c r="E94" s="940"/>
      <c r="F94" s="226" t="s">
        <v>607</v>
      </c>
      <c r="G94" s="225">
        <v>480</v>
      </c>
      <c r="H94" s="224">
        <v>140</v>
      </c>
      <c r="I94" s="224">
        <f t="shared" si="3"/>
        <v>67200</v>
      </c>
    </row>
    <row r="95" spans="1:9" x14ac:dyDescent="0.25">
      <c r="A95" s="939" t="s">
        <v>620</v>
      </c>
      <c r="B95" s="940"/>
      <c r="C95" s="940"/>
      <c r="D95" s="940"/>
      <c r="E95" s="940"/>
      <c r="F95" s="226" t="s">
        <v>607</v>
      </c>
      <c r="G95" s="225">
        <v>480</v>
      </c>
      <c r="H95" s="224">
        <v>140</v>
      </c>
      <c r="I95" s="224">
        <f t="shared" si="3"/>
        <v>67200</v>
      </c>
    </row>
    <row r="96" spans="1:9" x14ac:dyDescent="0.25">
      <c r="A96" s="939" t="s">
        <v>619</v>
      </c>
      <c r="B96" s="940"/>
      <c r="C96" s="940"/>
      <c r="D96" s="940"/>
      <c r="E96" s="940"/>
      <c r="F96" s="226" t="s">
        <v>607</v>
      </c>
      <c r="G96" s="225">
        <v>480</v>
      </c>
      <c r="H96" s="224">
        <v>140</v>
      </c>
      <c r="I96" s="224">
        <f t="shared" si="3"/>
        <v>67200</v>
      </c>
    </row>
    <row r="97" spans="1:9" x14ac:dyDescent="0.25">
      <c r="A97" s="939" t="s">
        <v>618</v>
      </c>
      <c r="B97" s="940"/>
      <c r="C97" s="940"/>
      <c r="D97" s="940"/>
      <c r="E97" s="940"/>
      <c r="F97" s="226" t="s">
        <v>607</v>
      </c>
      <c r="G97" s="225">
        <v>480</v>
      </c>
      <c r="H97" s="224">
        <v>140</v>
      </c>
      <c r="I97" s="224">
        <f t="shared" si="3"/>
        <v>67200</v>
      </c>
    </row>
    <row r="98" spans="1:9" x14ac:dyDescent="0.25">
      <c r="A98" s="939" t="s">
        <v>617</v>
      </c>
      <c r="B98" s="940"/>
      <c r="C98" s="940"/>
      <c r="D98" s="940"/>
      <c r="E98" s="940"/>
      <c r="F98" s="226" t="s">
        <v>607</v>
      </c>
      <c r="G98" s="225">
        <v>480</v>
      </c>
      <c r="H98" s="224">
        <v>140</v>
      </c>
      <c r="I98" s="224">
        <f t="shared" si="3"/>
        <v>67200</v>
      </c>
    </row>
    <row r="99" spans="1:9" ht="15.75" thickBot="1" x14ac:dyDescent="0.3">
      <c r="A99" s="928" t="s">
        <v>616</v>
      </c>
      <c r="B99" s="929"/>
      <c r="C99" s="929"/>
      <c r="D99" s="929"/>
      <c r="E99" s="929"/>
      <c r="F99" s="929"/>
      <c r="G99" s="930"/>
      <c r="H99" s="217"/>
      <c r="I99" s="216">
        <f>SUM(I89:I98)</f>
        <v>489600</v>
      </c>
    </row>
    <row r="100" spans="1:9" ht="16.5" thickTop="1" thickBot="1" x14ac:dyDescent="0.3">
      <c r="A100" s="902" t="s">
        <v>615</v>
      </c>
      <c r="B100" s="903"/>
      <c r="C100" s="903"/>
      <c r="D100" s="903"/>
      <c r="E100" s="903"/>
      <c r="F100" s="903"/>
      <c r="G100" s="903"/>
      <c r="H100" s="903"/>
      <c r="I100" s="903"/>
    </row>
    <row r="101" spans="1:9" x14ac:dyDescent="0.25">
      <c r="A101" s="936" t="s">
        <v>614</v>
      </c>
      <c r="B101" s="895"/>
      <c r="C101" s="895"/>
      <c r="D101" s="895"/>
      <c r="E101" s="895"/>
      <c r="F101" s="895"/>
      <c r="G101" s="895"/>
      <c r="H101" s="895"/>
      <c r="I101" s="895"/>
    </row>
    <row r="102" spans="1:9" x14ac:dyDescent="0.25">
      <c r="A102" s="933" t="s">
        <v>613</v>
      </c>
      <c r="B102" s="934"/>
      <c r="C102" s="934"/>
      <c r="D102" s="934"/>
      <c r="E102" s="935"/>
      <c r="F102" s="232" t="s">
        <v>149</v>
      </c>
      <c r="G102" s="230">
        <v>2</v>
      </c>
      <c r="H102" s="227">
        <v>200000</v>
      </c>
      <c r="I102" s="227">
        <f>ROUND(G102*H102,2)</f>
        <v>400000</v>
      </c>
    </row>
    <row r="103" spans="1:9" x14ac:dyDescent="0.25">
      <c r="A103" s="933" t="s">
        <v>610</v>
      </c>
      <c r="B103" s="934"/>
      <c r="C103" s="934"/>
      <c r="D103" s="934"/>
      <c r="E103" s="935"/>
      <c r="F103" s="232" t="s">
        <v>149</v>
      </c>
      <c r="G103" s="230">
        <v>2</v>
      </c>
      <c r="H103" s="227">
        <v>50000</v>
      </c>
      <c r="I103" s="227">
        <f>ROUND(G103*H103,2)</f>
        <v>100000</v>
      </c>
    </row>
    <row r="104" spans="1:9" x14ac:dyDescent="0.25">
      <c r="A104" s="937" t="s">
        <v>612</v>
      </c>
      <c r="B104" s="938"/>
      <c r="C104" s="938"/>
      <c r="D104" s="938"/>
      <c r="E104" s="938"/>
      <c r="F104" s="938"/>
      <c r="G104" s="938"/>
      <c r="H104" s="938"/>
      <c r="I104" s="938"/>
    </row>
    <row r="105" spans="1:9" x14ac:dyDescent="0.25">
      <c r="A105" s="933" t="s">
        <v>611</v>
      </c>
      <c r="B105" s="934"/>
      <c r="C105" s="934"/>
      <c r="D105" s="934"/>
      <c r="E105" s="935"/>
      <c r="F105" s="231" t="s">
        <v>601</v>
      </c>
      <c r="G105" s="230">
        <v>12</v>
      </c>
      <c r="H105" s="227">
        <v>30000</v>
      </c>
      <c r="I105" s="227">
        <f>ROUND(G105*H105,2)</f>
        <v>360000</v>
      </c>
    </row>
    <row r="106" spans="1:9" x14ac:dyDescent="0.25">
      <c r="A106" s="937" t="s">
        <v>610</v>
      </c>
      <c r="B106" s="938"/>
      <c r="C106" s="938"/>
      <c r="D106" s="938"/>
      <c r="E106" s="938"/>
      <c r="F106" s="938"/>
      <c r="G106" s="938"/>
      <c r="H106" s="938"/>
      <c r="I106" s="938"/>
    </row>
    <row r="107" spans="1:9" x14ac:dyDescent="0.25">
      <c r="A107" s="906" t="s">
        <v>609</v>
      </c>
      <c r="B107" s="906"/>
      <c r="C107" s="906"/>
      <c r="D107" s="906"/>
      <c r="E107" s="907"/>
      <c r="F107" s="226" t="s">
        <v>607</v>
      </c>
      <c r="G107" s="225">
        <v>90000</v>
      </c>
      <c r="H107" s="224">
        <v>1.5</v>
      </c>
      <c r="I107" s="224">
        <f t="shared" ref="I107:I112" si="4">ROUND(G107*H107,2)</f>
        <v>135000</v>
      </c>
    </row>
    <row r="108" spans="1:9" ht="29.25" customHeight="1" x14ac:dyDescent="0.25">
      <c r="A108" s="906" t="s">
        <v>608</v>
      </c>
      <c r="B108" s="906"/>
      <c r="C108" s="906"/>
      <c r="D108" s="906"/>
      <c r="E108" s="907"/>
      <c r="F108" s="226" t="s">
        <v>607</v>
      </c>
      <c r="G108" s="225">
        <v>90000</v>
      </c>
      <c r="H108" s="224">
        <v>2.5</v>
      </c>
      <c r="I108" s="224">
        <f t="shared" si="4"/>
        <v>225000</v>
      </c>
    </row>
    <row r="109" spans="1:9" x14ac:dyDescent="0.25">
      <c r="A109" s="228" t="s">
        <v>606</v>
      </c>
      <c r="B109" s="228"/>
      <c r="C109" s="229"/>
      <c r="D109" s="228"/>
      <c r="E109" s="228"/>
      <c r="F109" s="226" t="s">
        <v>604</v>
      </c>
      <c r="G109" s="225">
        <v>500</v>
      </c>
      <c r="H109" s="227">
        <v>80</v>
      </c>
      <c r="I109" s="227">
        <f t="shared" si="4"/>
        <v>40000</v>
      </c>
    </row>
    <row r="110" spans="1:9" ht="26.25" customHeight="1" x14ac:dyDescent="0.25">
      <c r="A110" s="906" t="s">
        <v>605</v>
      </c>
      <c r="B110" s="906"/>
      <c r="C110" s="906"/>
      <c r="D110" s="906"/>
      <c r="E110" s="907"/>
      <c r="F110" s="226" t="s">
        <v>604</v>
      </c>
      <c r="G110" s="225">
        <v>1250</v>
      </c>
      <c r="H110" s="224">
        <v>450</v>
      </c>
      <c r="I110" s="224">
        <f t="shared" si="4"/>
        <v>562500</v>
      </c>
    </row>
    <row r="111" spans="1:9" ht="25.5" customHeight="1" x14ac:dyDescent="0.25">
      <c r="A111" s="906" t="s">
        <v>603</v>
      </c>
      <c r="B111" s="906"/>
      <c r="C111" s="906"/>
      <c r="D111" s="906"/>
      <c r="E111" s="907"/>
      <c r="F111" s="226" t="s">
        <v>601</v>
      </c>
      <c r="G111" s="225">
        <v>6</v>
      </c>
      <c r="H111" s="224">
        <v>50000</v>
      </c>
      <c r="I111" s="224">
        <f t="shared" si="4"/>
        <v>300000</v>
      </c>
    </row>
    <row r="112" spans="1:9" x14ac:dyDescent="0.25">
      <c r="A112" s="906" t="s">
        <v>602</v>
      </c>
      <c r="B112" s="906"/>
      <c r="C112" s="906"/>
      <c r="D112" s="906"/>
      <c r="E112" s="907"/>
      <c r="F112" s="226" t="s">
        <v>601</v>
      </c>
      <c r="G112" s="225">
        <v>6</v>
      </c>
      <c r="H112" s="224">
        <v>100000</v>
      </c>
      <c r="I112" s="224">
        <f t="shared" si="4"/>
        <v>600000</v>
      </c>
    </row>
    <row r="113" spans="1:9" x14ac:dyDescent="0.25">
      <c r="A113" s="223"/>
      <c r="B113" s="222"/>
      <c r="C113" s="222"/>
      <c r="D113" s="222"/>
      <c r="E113" s="222"/>
      <c r="F113" s="221"/>
      <c r="G113" s="220"/>
      <c r="H113" s="219"/>
      <c r="I113" s="218"/>
    </row>
    <row r="114" spans="1:9" ht="15.75" thickBot="1" x14ac:dyDescent="0.3">
      <c r="A114" s="928" t="s">
        <v>600</v>
      </c>
      <c r="B114" s="929"/>
      <c r="C114" s="929"/>
      <c r="D114" s="929"/>
      <c r="E114" s="929"/>
      <c r="F114" s="929"/>
      <c r="G114" s="930"/>
      <c r="H114" s="217"/>
      <c r="I114" s="216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4174768.6</v>
      </c>
    </row>
  </sheetData>
  <mergeCells count="68">
    <mergeCell ref="A104:I104"/>
    <mergeCell ref="A105:E105"/>
    <mergeCell ref="A100:I100"/>
    <mergeCell ref="A95:E95"/>
    <mergeCell ref="A96:E96"/>
    <mergeCell ref="A24:E24"/>
    <mergeCell ref="A25:E25"/>
    <mergeCell ref="A26:E26"/>
    <mergeCell ref="A27:E27"/>
    <mergeCell ref="A28:E28"/>
    <mergeCell ref="A94:E94"/>
    <mergeCell ref="A97:E97"/>
    <mergeCell ref="A98:E98"/>
    <mergeCell ref="A99:G99"/>
    <mergeCell ref="A102:E102"/>
    <mergeCell ref="A39:E39"/>
    <mergeCell ref="A41:E41"/>
    <mergeCell ref="A33:E33"/>
    <mergeCell ref="A40:G40"/>
    <mergeCell ref="A60:G60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90"/>
  <sheetViews>
    <sheetView showGridLines="0" topLeftCell="A50" zoomScale="80" zoomScaleNormal="80" workbookViewId="0">
      <selection activeCell="G8" sqref="G8"/>
    </sheetView>
  </sheetViews>
  <sheetFormatPr defaultRowHeight="15" x14ac:dyDescent="0.25"/>
  <cols>
    <col min="1" max="1" width="24.42578125" bestFit="1" customWidth="1"/>
    <col min="2" max="2" width="35.140625" style="302" customWidth="1"/>
    <col min="3" max="3" width="35.85546875" style="303" customWidth="1"/>
    <col min="4" max="4" width="96.140625" customWidth="1"/>
    <col min="5" max="5" width="14.7109375" style="304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8" t="s">
        <v>690</v>
      </c>
      <c r="E3"/>
      <c r="F3" s="285" t="s">
        <v>694</v>
      </c>
      <c r="G3" s="286">
        <f>B75</f>
        <v>1212577582.5599613</v>
      </c>
    </row>
    <row r="4" spans="1:9" x14ac:dyDescent="0.25">
      <c r="A4" s="7" t="s">
        <v>691</v>
      </c>
      <c r="B4" s="280">
        <f>SUM(B5:B8)</f>
        <v>33271520.589999862</v>
      </c>
      <c r="C4" s="7"/>
      <c r="E4"/>
      <c r="F4" s="95" t="s">
        <v>1216</v>
      </c>
      <c r="G4" s="479">
        <f>'custos unitários para atualizar'!B4</f>
        <v>0.12956699999999999</v>
      </c>
    </row>
    <row r="5" spans="1:9" x14ac:dyDescent="0.25">
      <c r="A5" s="7" t="s">
        <v>5</v>
      </c>
      <c r="B5" s="281">
        <v>50000</v>
      </c>
      <c r="C5" s="282">
        <v>1E-3</v>
      </c>
      <c r="E5"/>
      <c r="F5" s="95" t="s">
        <v>1217</v>
      </c>
      <c r="G5" s="94">
        <f>G3*(1+G4)</f>
        <v>1369687622.1995077</v>
      </c>
    </row>
    <row r="6" spans="1:9" x14ac:dyDescent="0.25">
      <c r="A6" s="7" t="s">
        <v>6</v>
      </c>
      <c r="B6" s="283">
        <f>G8</f>
        <v>21297758.989999861</v>
      </c>
      <c r="C6" s="7"/>
      <c r="D6" s="283">
        <f>B6*20%</f>
        <v>4259551.7979999725</v>
      </c>
      <c r="E6"/>
      <c r="F6" s="7" t="s">
        <v>695</v>
      </c>
      <c r="G6" s="287">
        <f>G5</f>
        <v>1369687622.1995077</v>
      </c>
    </row>
    <row r="7" spans="1:9" x14ac:dyDescent="0.25">
      <c r="A7" s="7" t="s">
        <v>692</v>
      </c>
      <c r="B7" s="293">
        <v>11923761.6</v>
      </c>
      <c r="C7" s="7"/>
      <c r="E7"/>
      <c r="F7" s="7" t="s">
        <v>696</v>
      </c>
      <c r="G7" s="288">
        <v>0</v>
      </c>
    </row>
    <row r="8" spans="1:9" x14ac:dyDescent="0.25">
      <c r="A8" s="291" t="s">
        <v>693</v>
      </c>
      <c r="B8" s="284">
        <v>0</v>
      </c>
      <c r="C8" s="292">
        <v>5.0000000000000001E-3</v>
      </c>
      <c r="D8" s="323">
        <f>B6-D6</f>
        <v>17038207.19199989</v>
      </c>
      <c r="E8"/>
      <c r="F8" s="7" t="s">
        <v>697</v>
      </c>
      <c r="G8" s="289">
        <f>-PMT(G10,G9,,G6)</f>
        <v>21297758.989999861</v>
      </c>
    </row>
    <row r="9" spans="1:9" x14ac:dyDescent="0.25">
      <c r="C9" s="303" t="s">
        <v>1160</v>
      </c>
      <c r="F9" s="7" t="s">
        <v>698</v>
      </c>
      <c r="G9" s="288">
        <f>'Anexo 4_CF_FRA'!D76</f>
        <v>30</v>
      </c>
    </row>
    <row r="10" spans="1:9" x14ac:dyDescent="0.25">
      <c r="A10" s="5">
        <v>0.2</v>
      </c>
      <c r="B10" s="283">
        <f>$B$6*20%</f>
        <v>4259551.7979999725</v>
      </c>
      <c r="C10" s="455">
        <f>$B$6-B10</f>
        <v>17038207.19199989</v>
      </c>
      <c r="F10" s="7" t="s">
        <v>699</v>
      </c>
      <c r="G10" s="290">
        <v>4.8099999999999997E-2</v>
      </c>
    </row>
    <row r="11" spans="1:9" x14ac:dyDescent="0.25">
      <c r="A11" s="5">
        <v>0.4</v>
      </c>
      <c r="B11" s="283">
        <f>$B$6*40%</f>
        <v>8519103.595999945</v>
      </c>
      <c r="C11" s="455">
        <f>$B$6-B11</f>
        <v>12778655.393999916</v>
      </c>
    </row>
    <row r="12" spans="1:9" x14ac:dyDescent="0.25">
      <c r="A12" s="5">
        <v>0.6</v>
      </c>
      <c r="B12" s="283">
        <f>$B$6*60%</f>
        <v>12778655.393999916</v>
      </c>
      <c r="C12" s="455">
        <f>$B$6-B12</f>
        <v>8519103.595999945</v>
      </c>
    </row>
    <row r="13" spans="1:9" x14ac:dyDescent="0.25">
      <c r="A13" s="5">
        <v>0.8</v>
      </c>
      <c r="B13" s="283">
        <f>$B$6*80%</f>
        <v>17038207.19199989</v>
      </c>
      <c r="C13" s="455">
        <f>$B$6-B13</f>
        <v>4259551.7979999706</v>
      </c>
    </row>
    <row r="14" spans="1:9" x14ac:dyDescent="0.25">
      <c r="A14" t="s">
        <v>8</v>
      </c>
      <c r="B14" s="283"/>
      <c r="C14" s="455">
        <f>SUM(C10:C13)</f>
        <v>42595517.979999721</v>
      </c>
    </row>
    <row r="15" spans="1:9" ht="21" x14ac:dyDescent="0.25">
      <c r="B15" s="944" t="s">
        <v>723</v>
      </c>
      <c r="C15" s="944"/>
      <c r="D15" s="944"/>
      <c r="E15" s="944"/>
      <c r="F15" s="944"/>
      <c r="G15" s="944"/>
    </row>
    <row r="16" spans="1:9" s="306" customFormat="1" ht="60" x14ac:dyDescent="0.25">
      <c r="A16" s="305" t="s">
        <v>724</v>
      </c>
      <c r="B16" s="305" t="s">
        <v>544</v>
      </c>
      <c r="C16" s="305" t="s">
        <v>725</v>
      </c>
      <c r="D16" s="305" t="s">
        <v>726</v>
      </c>
      <c r="E16" s="305" t="s">
        <v>727</v>
      </c>
      <c r="F16" s="305" t="s">
        <v>728</v>
      </c>
      <c r="G16" s="305" t="s">
        <v>729</v>
      </c>
      <c r="H16" s="305" t="s">
        <v>1168</v>
      </c>
      <c r="I16" s="305" t="s">
        <v>1167</v>
      </c>
    </row>
    <row r="17" spans="1:9" s="306" customFormat="1" x14ac:dyDescent="0.25">
      <c r="A17" s="363"/>
      <c r="B17" s="941" t="s">
        <v>730</v>
      </c>
      <c r="C17" s="941"/>
      <c r="D17" s="941"/>
      <c r="E17" s="307"/>
      <c r="F17" s="308"/>
      <c r="G17" s="309">
        <f>SUM(G18:G24)</f>
        <v>200582845.56</v>
      </c>
      <c r="H17" s="308"/>
      <c r="I17" s="309">
        <f>SUM(I18:I24)</f>
        <v>354996944.75927991</v>
      </c>
    </row>
    <row r="18" spans="1:9" ht="30" x14ac:dyDescent="0.25">
      <c r="A18" s="7" t="s">
        <v>704</v>
      </c>
      <c r="B18" s="364" t="s">
        <v>731</v>
      </c>
      <c r="C18" s="214" t="s">
        <v>732</v>
      </c>
      <c r="D18" s="310" t="s">
        <v>733</v>
      </c>
      <c r="E18" s="310" t="s">
        <v>734</v>
      </c>
      <c r="F18" s="210">
        <v>38481</v>
      </c>
      <c r="G18" s="209">
        <v>34290314</v>
      </c>
      <c r="H18" s="465">
        <v>1.9279999999999999</v>
      </c>
      <c r="I18" s="11">
        <f t="shared" ref="I18:I24" si="0">G18*H18</f>
        <v>66111725.391999997</v>
      </c>
    </row>
    <row r="19" spans="1:9" ht="15" customHeight="1" x14ac:dyDescent="0.25">
      <c r="A19" s="7" t="s">
        <v>704</v>
      </c>
      <c r="B19" s="942" t="s">
        <v>735</v>
      </c>
      <c r="C19" s="945" t="s">
        <v>732</v>
      </c>
      <c r="D19" s="310" t="s">
        <v>736</v>
      </c>
      <c r="E19" s="310" t="s">
        <v>737</v>
      </c>
      <c r="F19" s="210">
        <v>38481</v>
      </c>
      <c r="G19" s="209">
        <v>18297602</v>
      </c>
      <c r="H19" s="465">
        <v>1.9279999999999999</v>
      </c>
      <c r="I19" s="11">
        <f t="shared" si="0"/>
        <v>35277776.655999996</v>
      </c>
    </row>
    <row r="20" spans="1:9" x14ac:dyDescent="0.25">
      <c r="A20" s="7" t="s">
        <v>704</v>
      </c>
      <c r="B20" s="943"/>
      <c r="C20" s="946"/>
      <c r="D20" s="310" t="s">
        <v>738</v>
      </c>
      <c r="E20" s="310" t="s">
        <v>734</v>
      </c>
      <c r="F20" s="210">
        <v>38481</v>
      </c>
      <c r="G20" s="209">
        <v>45188398</v>
      </c>
      <c r="H20" s="465">
        <v>1.9279999999999999</v>
      </c>
      <c r="I20" s="11">
        <f t="shared" si="0"/>
        <v>87123231.343999997</v>
      </c>
    </row>
    <row r="21" spans="1:9" x14ac:dyDescent="0.25">
      <c r="A21" s="7" t="s">
        <v>704</v>
      </c>
      <c r="B21" s="364" t="s">
        <v>739</v>
      </c>
      <c r="C21" s="214" t="s">
        <v>740</v>
      </c>
      <c r="D21" s="310" t="s">
        <v>741</v>
      </c>
      <c r="E21" s="310" t="s">
        <v>737</v>
      </c>
      <c r="F21" s="210">
        <v>38492</v>
      </c>
      <c r="G21" s="209">
        <v>47482000</v>
      </c>
      <c r="H21" s="465">
        <v>1.9279999999999999</v>
      </c>
      <c r="I21" s="11">
        <f t="shared" si="0"/>
        <v>91545296</v>
      </c>
    </row>
    <row r="22" spans="1:9" x14ac:dyDescent="0.25">
      <c r="A22" s="7" t="s">
        <v>704</v>
      </c>
      <c r="B22" s="364" t="s">
        <v>742</v>
      </c>
      <c r="C22" s="214" t="s">
        <v>743</v>
      </c>
      <c r="D22" s="310" t="s">
        <v>744</v>
      </c>
      <c r="E22" s="310" t="s">
        <v>737</v>
      </c>
      <c r="F22" s="210">
        <v>40848</v>
      </c>
      <c r="G22" s="209">
        <v>11141775.189999999</v>
      </c>
      <c r="H22" s="465">
        <v>1.3859999999999999</v>
      </c>
      <c r="I22" s="11">
        <f t="shared" si="0"/>
        <v>15442500.413339999</v>
      </c>
    </row>
    <row r="23" spans="1:9" x14ac:dyDescent="0.25">
      <c r="A23" s="7" t="s">
        <v>704</v>
      </c>
      <c r="B23" s="364" t="s">
        <v>745</v>
      </c>
      <c r="C23" s="214" t="s">
        <v>746</v>
      </c>
      <c r="D23" s="310" t="s">
        <v>747</v>
      </c>
      <c r="E23" s="310"/>
      <c r="F23" s="210">
        <v>41091</v>
      </c>
      <c r="G23" s="209">
        <v>36268445.31000001</v>
      </c>
      <c r="H23" s="465">
        <v>1.3380000000000001</v>
      </c>
      <c r="I23" s="11">
        <f t="shared" si="0"/>
        <v>48527179.824780017</v>
      </c>
    </row>
    <row r="24" spans="1:9" x14ac:dyDescent="0.25">
      <c r="A24" s="297" t="s">
        <v>714</v>
      </c>
      <c r="B24" s="364" t="s">
        <v>748</v>
      </c>
      <c r="C24" s="214" t="s">
        <v>749</v>
      </c>
      <c r="D24" s="310" t="s">
        <v>750</v>
      </c>
      <c r="E24" s="310" t="s">
        <v>737</v>
      </c>
      <c r="F24" s="210">
        <v>40848</v>
      </c>
      <c r="G24" s="209">
        <v>7914311.0599999996</v>
      </c>
      <c r="H24" s="465">
        <v>1.3859999999999999</v>
      </c>
      <c r="I24" s="11">
        <f t="shared" si="0"/>
        <v>10969235.129159998</v>
      </c>
    </row>
    <row r="25" spans="1:9" s="306" customFormat="1" x14ac:dyDescent="0.25">
      <c r="A25" s="363"/>
      <c r="B25" s="941" t="s">
        <v>751</v>
      </c>
      <c r="C25" s="941"/>
      <c r="D25" s="941"/>
      <c r="E25" s="307"/>
      <c r="F25" s="308"/>
      <c r="G25" s="309">
        <f>SUM(G26:G36)</f>
        <v>243424941.77871838</v>
      </c>
      <c r="H25" s="308"/>
      <c r="I25" s="309">
        <f>SUM(I26:I36)</f>
        <v>371158664.50029087</v>
      </c>
    </row>
    <row r="26" spans="1:9" ht="30" x14ac:dyDescent="0.25">
      <c r="A26" s="297" t="s">
        <v>752</v>
      </c>
      <c r="B26" s="364" t="s">
        <v>753</v>
      </c>
      <c r="C26" s="311" t="s">
        <v>754</v>
      </c>
      <c r="D26" s="310" t="s">
        <v>755</v>
      </c>
      <c r="E26" s="212" t="s">
        <v>734</v>
      </c>
      <c r="F26" s="210">
        <v>39892</v>
      </c>
      <c r="G26" s="209">
        <v>41371400.27871836</v>
      </c>
      <c r="H26" s="446">
        <v>1.591</v>
      </c>
      <c r="I26" s="11">
        <f t="shared" ref="I26:I36" si="1">G26*H26</f>
        <v>65821897.843440913</v>
      </c>
    </row>
    <row r="27" spans="1:9" ht="30" x14ac:dyDescent="0.25">
      <c r="A27" s="297" t="s">
        <v>706</v>
      </c>
      <c r="B27" s="364" t="s">
        <v>756</v>
      </c>
      <c r="C27" s="311" t="s">
        <v>754</v>
      </c>
      <c r="D27" s="310" t="s">
        <v>757</v>
      </c>
      <c r="E27" s="212" t="s">
        <v>737</v>
      </c>
      <c r="F27" s="210"/>
      <c r="G27" s="209">
        <v>57656162.530000001</v>
      </c>
      <c r="H27" s="446">
        <v>1.591</v>
      </c>
      <c r="I27" s="11">
        <f t="shared" si="1"/>
        <v>91730954.585229993</v>
      </c>
    </row>
    <row r="28" spans="1:9" x14ac:dyDescent="0.25">
      <c r="A28" s="297" t="s">
        <v>714</v>
      </c>
      <c r="B28" s="365" t="s">
        <v>758</v>
      </c>
      <c r="C28" s="312" t="s">
        <v>759</v>
      </c>
      <c r="D28" s="310" t="s">
        <v>760</v>
      </c>
      <c r="E28" s="310" t="s">
        <v>737</v>
      </c>
      <c r="F28" s="210">
        <v>39892</v>
      </c>
      <c r="G28" s="209">
        <v>0</v>
      </c>
      <c r="H28" s="465"/>
      <c r="I28" s="11">
        <f t="shared" si="1"/>
        <v>0</v>
      </c>
    </row>
    <row r="29" spans="1:9" x14ac:dyDescent="0.25">
      <c r="A29" s="297" t="s">
        <v>716</v>
      </c>
      <c r="B29" s="364" t="s">
        <v>761</v>
      </c>
      <c r="C29" s="313" t="s">
        <v>762</v>
      </c>
      <c r="D29" s="314" t="s">
        <v>763</v>
      </c>
      <c r="E29" s="212" t="s">
        <v>737</v>
      </c>
      <c r="F29" s="210"/>
      <c r="G29" s="209">
        <v>14619857</v>
      </c>
      <c r="H29" s="446">
        <v>1.591</v>
      </c>
      <c r="I29" s="11">
        <f t="shared" si="1"/>
        <v>23260192.487</v>
      </c>
    </row>
    <row r="30" spans="1:9" x14ac:dyDescent="0.25">
      <c r="A30" s="297" t="s">
        <v>752</v>
      </c>
      <c r="B30" s="364" t="s">
        <v>764</v>
      </c>
      <c r="C30" s="313" t="s">
        <v>765</v>
      </c>
      <c r="D30" s="310" t="s">
        <v>766</v>
      </c>
      <c r="E30" s="212" t="s">
        <v>734</v>
      </c>
      <c r="F30" s="210">
        <v>41671</v>
      </c>
      <c r="G30" s="209">
        <v>38690655.719999999</v>
      </c>
      <c r="H30" s="465">
        <v>1.208</v>
      </c>
      <c r="I30" s="11">
        <f t="shared" si="1"/>
        <v>46738312.109759994</v>
      </c>
    </row>
    <row r="31" spans="1:9" x14ac:dyDescent="0.25">
      <c r="A31" s="297" t="s">
        <v>713</v>
      </c>
      <c r="B31" s="364" t="s">
        <v>767</v>
      </c>
      <c r="C31" s="313" t="s">
        <v>768</v>
      </c>
      <c r="D31" s="314" t="s">
        <v>769</v>
      </c>
      <c r="E31" s="212" t="s">
        <v>734</v>
      </c>
      <c r="F31" s="210">
        <v>41671</v>
      </c>
      <c r="G31" s="209">
        <v>2279364.9000000004</v>
      </c>
      <c r="H31" s="465">
        <v>1.208</v>
      </c>
      <c r="I31" s="11">
        <f t="shared" si="1"/>
        <v>2753472.7992000002</v>
      </c>
    </row>
    <row r="32" spans="1:9" x14ac:dyDescent="0.25">
      <c r="A32" s="297" t="s">
        <v>716</v>
      </c>
      <c r="B32" s="364" t="s">
        <v>770</v>
      </c>
      <c r="C32" s="313" t="s">
        <v>768</v>
      </c>
      <c r="D32" s="211" t="s">
        <v>771</v>
      </c>
      <c r="E32" s="212" t="s">
        <v>772</v>
      </c>
      <c r="F32" s="210">
        <v>41671</v>
      </c>
      <c r="G32" s="209">
        <v>1145952.93</v>
      </c>
      <c r="H32" s="465">
        <v>1.208</v>
      </c>
      <c r="I32" s="11">
        <f t="shared" si="1"/>
        <v>1384311.1394399998</v>
      </c>
    </row>
    <row r="33" spans="1:9" x14ac:dyDescent="0.25">
      <c r="A33" s="297" t="s">
        <v>716</v>
      </c>
      <c r="B33" s="364" t="s">
        <v>773</v>
      </c>
      <c r="C33" s="313" t="s">
        <v>774</v>
      </c>
      <c r="D33" s="310" t="s">
        <v>775</v>
      </c>
      <c r="E33" s="212" t="s">
        <v>734</v>
      </c>
      <c r="F33" s="210">
        <v>39892</v>
      </c>
      <c r="G33" s="209">
        <v>10521695.710000001</v>
      </c>
      <c r="H33" s="446">
        <v>1.591</v>
      </c>
      <c r="I33" s="11">
        <f t="shared" si="1"/>
        <v>16740017.874610001</v>
      </c>
    </row>
    <row r="34" spans="1:9" x14ac:dyDescent="0.25">
      <c r="A34" s="297" t="s">
        <v>713</v>
      </c>
      <c r="B34" s="364" t="s">
        <v>776</v>
      </c>
      <c r="C34" s="313" t="s">
        <v>777</v>
      </c>
      <c r="D34" s="314" t="s">
        <v>778</v>
      </c>
      <c r="E34" s="212" t="s">
        <v>734</v>
      </c>
      <c r="F34" s="210">
        <v>39892</v>
      </c>
      <c r="G34" s="209">
        <v>23471086.82</v>
      </c>
      <c r="H34" s="446">
        <v>1.591</v>
      </c>
      <c r="I34" s="11">
        <f t="shared" si="1"/>
        <v>37342499.130620003</v>
      </c>
    </row>
    <row r="35" spans="1:9" x14ac:dyDescent="0.25">
      <c r="A35" s="297" t="s">
        <v>713</v>
      </c>
      <c r="B35" s="364" t="s">
        <v>779</v>
      </c>
      <c r="C35" s="313" t="s">
        <v>777</v>
      </c>
      <c r="D35" s="314" t="s">
        <v>780</v>
      </c>
      <c r="E35" s="212" t="s">
        <v>737</v>
      </c>
      <c r="F35" s="210">
        <v>39892</v>
      </c>
      <c r="G35" s="209">
        <v>28494245.920000002</v>
      </c>
      <c r="H35" s="446">
        <v>1.591</v>
      </c>
      <c r="I35" s="11">
        <f t="shared" si="1"/>
        <v>45334345.258720003</v>
      </c>
    </row>
    <row r="36" spans="1:9" x14ac:dyDescent="0.25">
      <c r="A36" s="297" t="s">
        <v>714</v>
      </c>
      <c r="B36" s="364" t="s">
        <v>781</v>
      </c>
      <c r="C36" s="313" t="s">
        <v>777</v>
      </c>
      <c r="D36" s="310" t="s">
        <v>782</v>
      </c>
      <c r="E36" s="212" t="s">
        <v>734</v>
      </c>
      <c r="F36" s="210">
        <v>39892</v>
      </c>
      <c r="G36" s="209">
        <v>25174519.969999999</v>
      </c>
      <c r="H36" s="446">
        <v>1.591</v>
      </c>
      <c r="I36" s="11">
        <f t="shared" si="1"/>
        <v>40052661.272269994</v>
      </c>
    </row>
    <row r="37" spans="1:9" s="306" customFormat="1" x14ac:dyDescent="0.25">
      <c r="A37" s="363"/>
      <c r="B37" s="941" t="s">
        <v>783</v>
      </c>
      <c r="C37" s="941"/>
      <c r="D37" s="941"/>
      <c r="E37" s="307"/>
      <c r="F37" s="308"/>
      <c r="G37" s="309">
        <f>SUM(G38:G57)</f>
        <v>342034795.67164117</v>
      </c>
      <c r="H37" s="308"/>
      <c r="I37" s="309">
        <f>SUM(I38:I57)</f>
        <v>481921973.3003906</v>
      </c>
    </row>
    <row r="38" spans="1:9" x14ac:dyDescent="0.25">
      <c r="A38" s="297" t="s">
        <v>718</v>
      </c>
      <c r="B38" s="366" t="s">
        <v>587</v>
      </c>
      <c r="C38" s="214" t="s">
        <v>784</v>
      </c>
      <c r="D38" s="212" t="s">
        <v>586</v>
      </c>
      <c r="E38" s="212" t="s">
        <v>734</v>
      </c>
      <c r="F38" s="210">
        <v>41573</v>
      </c>
      <c r="G38" s="209">
        <v>13977401.869999999</v>
      </c>
      <c r="H38" s="446">
        <v>1.2350000000000001</v>
      </c>
      <c r="I38" s="11">
        <f t="shared" ref="I38:I57" si="2">G38*H38</f>
        <v>17262091.309450001</v>
      </c>
    </row>
    <row r="39" spans="1:9" x14ac:dyDescent="0.25">
      <c r="A39" s="297" t="s">
        <v>718</v>
      </c>
      <c r="B39" s="366" t="s">
        <v>585</v>
      </c>
      <c r="C39" s="214" t="s">
        <v>784</v>
      </c>
      <c r="D39" s="212" t="s">
        <v>584</v>
      </c>
      <c r="E39" s="212" t="s">
        <v>734</v>
      </c>
      <c r="F39" s="210">
        <v>41573</v>
      </c>
      <c r="G39" s="209">
        <v>16480155.34</v>
      </c>
      <c r="H39" s="446">
        <v>1.2350000000000001</v>
      </c>
      <c r="I39" s="11">
        <f t="shared" si="2"/>
        <v>20352991.844900001</v>
      </c>
    </row>
    <row r="40" spans="1:9" x14ac:dyDescent="0.25">
      <c r="A40" s="297" t="s">
        <v>710</v>
      </c>
      <c r="B40" s="364" t="s">
        <v>539</v>
      </c>
      <c r="C40" s="214" t="s">
        <v>785</v>
      </c>
      <c r="D40" s="212" t="s">
        <v>538</v>
      </c>
      <c r="E40" s="212" t="s">
        <v>737</v>
      </c>
      <c r="F40" s="210">
        <v>40017</v>
      </c>
      <c r="G40" s="209">
        <v>35309770.784000002</v>
      </c>
      <c r="H40" s="465">
        <v>1.6080000000000001</v>
      </c>
      <c r="I40" s="11">
        <f t="shared" si="2"/>
        <v>56778111.420672007</v>
      </c>
    </row>
    <row r="41" spans="1:9" x14ac:dyDescent="0.25">
      <c r="A41" s="297" t="s">
        <v>710</v>
      </c>
      <c r="B41" s="364" t="s">
        <v>537</v>
      </c>
      <c r="C41" s="214" t="s">
        <v>785</v>
      </c>
      <c r="D41" s="212" t="s">
        <v>536</v>
      </c>
      <c r="E41" s="212" t="s">
        <v>734</v>
      </c>
      <c r="F41" s="210">
        <v>40017</v>
      </c>
      <c r="G41" s="209">
        <v>40251043.048999995</v>
      </c>
      <c r="H41" s="465">
        <v>1.6080000000000001</v>
      </c>
      <c r="I41" s="11">
        <f t="shared" si="2"/>
        <v>64723677.222791992</v>
      </c>
    </row>
    <row r="42" spans="1:9" ht="30" x14ac:dyDescent="0.25">
      <c r="A42" s="297" t="s">
        <v>710</v>
      </c>
      <c r="B42" s="364" t="s">
        <v>535</v>
      </c>
      <c r="C42" s="214" t="s">
        <v>786</v>
      </c>
      <c r="D42" s="213" t="s">
        <v>534</v>
      </c>
      <c r="E42" s="212" t="s">
        <v>737</v>
      </c>
      <c r="F42" s="210">
        <v>41500</v>
      </c>
      <c r="G42" s="209">
        <v>20161090.785599999</v>
      </c>
      <c r="H42" s="465">
        <v>1.2549999999999999</v>
      </c>
      <c r="I42" s="11">
        <f t="shared" si="2"/>
        <v>25302168.935927998</v>
      </c>
    </row>
    <row r="43" spans="1:9" ht="30" x14ac:dyDescent="0.25">
      <c r="A43" s="297" t="s">
        <v>708</v>
      </c>
      <c r="B43" s="364" t="s">
        <v>582</v>
      </c>
      <c r="C43" s="214" t="s">
        <v>787</v>
      </c>
      <c r="D43" s="213" t="s">
        <v>581</v>
      </c>
      <c r="E43" s="212" t="s">
        <v>734</v>
      </c>
      <c r="F43" s="210">
        <v>40017</v>
      </c>
      <c r="G43" s="209">
        <v>30616347.631999988</v>
      </c>
      <c r="H43" s="465">
        <v>1.6080000000000001</v>
      </c>
      <c r="I43" s="11">
        <f t="shared" si="2"/>
        <v>49231086.992255986</v>
      </c>
    </row>
    <row r="44" spans="1:9" ht="30" x14ac:dyDescent="0.25">
      <c r="A44" s="297" t="s">
        <v>708</v>
      </c>
      <c r="B44" s="364" t="s">
        <v>579</v>
      </c>
      <c r="C44" s="214" t="s">
        <v>788</v>
      </c>
      <c r="D44" s="213" t="s">
        <v>580</v>
      </c>
      <c r="E44" s="212" t="s">
        <v>737</v>
      </c>
      <c r="F44" s="210">
        <v>41410</v>
      </c>
      <c r="G44" s="209">
        <v>21119291.794</v>
      </c>
      <c r="H44" s="466">
        <v>1.268</v>
      </c>
      <c r="I44" s="11">
        <f t="shared" si="2"/>
        <v>26779261.994791999</v>
      </c>
    </row>
    <row r="45" spans="1:9" ht="30" x14ac:dyDescent="0.25">
      <c r="A45" s="297" t="s">
        <v>708</v>
      </c>
      <c r="B45" s="364" t="s">
        <v>579</v>
      </c>
      <c r="C45" s="214" t="s">
        <v>789</v>
      </c>
      <c r="D45" s="213" t="s">
        <v>578</v>
      </c>
      <c r="E45" s="212" t="s">
        <v>737</v>
      </c>
      <c r="F45" s="210">
        <v>41410</v>
      </c>
      <c r="G45" s="209">
        <v>33980015.173999995</v>
      </c>
      <c r="H45" s="466">
        <v>1.268</v>
      </c>
      <c r="I45" s="11">
        <f t="shared" si="2"/>
        <v>43086659.240631998</v>
      </c>
    </row>
    <row r="46" spans="1:9" ht="30" x14ac:dyDescent="0.25">
      <c r="A46" s="297" t="s">
        <v>720</v>
      </c>
      <c r="B46" s="364" t="s">
        <v>790</v>
      </c>
      <c r="C46" s="214" t="s">
        <v>791</v>
      </c>
      <c r="D46" s="213" t="s">
        <v>792</v>
      </c>
      <c r="E46" s="212" t="s">
        <v>737</v>
      </c>
      <c r="F46" s="210">
        <v>40359</v>
      </c>
      <c r="G46" s="209">
        <v>6871270.2400000002</v>
      </c>
      <c r="H46" s="465">
        <v>1.5409999999999999</v>
      </c>
      <c r="I46" s="11">
        <f t="shared" si="2"/>
        <v>10588627.43984</v>
      </c>
    </row>
    <row r="47" spans="1:9" ht="30" x14ac:dyDescent="0.25">
      <c r="A47" s="297" t="s">
        <v>720</v>
      </c>
      <c r="B47" s="364" t="s">
        <v>793</v>
      </c>
      <c r="C47" s="214" t="s">
        <v>794</v>
      </c>
      <c r="D47" s="213" t="s">
        <v>795</v>
      </c>
      <c r="E47" s="212" t="s">
        <v>737</v>
      </c>
      <c r="F47" s="210">
        <v>41499</v>
      </c>
      <c r="G47" s="209">
        <v>996000</v>
      </c>
      <c r="H47" s="465">
        <v>1.2549999999999999</v>
      </c>
      <c r="I47" s="11">
        <f t="shared" si="2"/>
        <v>1249980</v>
      </c>
    </row>
    <row r="48" spans="1:9" ht="30" x14ac:dyDescent="0.25">
      <c r="A48" s="297" t="s">
        <v>720</v>
      </c>
      <c r="B48" s="364" t="s">
        <v>796</v>
      </c>
      <c r="C48" s="214" t="s">
        <v>797</v>
      </c>
      <c r="D48" s="213" t="s">
        <v>798</v>
      </c>
      <c r="E48" s="212" t="s">
        <v>734</v>
      </c>
      <c r="F48" s="210">
        <v>41370</v>
      </c>
      <c r="G48" s="209">
        <v>1960640</v>
      </c>
      <c r="H48" s="465">
        <v>1.27</v>
      </c>
      <c r="I48" s="11">
        <f t="shared" si="2"/>
        <v>2490012.7999999998</v>
      </c>
    </row>
    <row r="49" spans="1:9" ht="30" x14ac:dyDescent="0.25">
      <c r="A49" s="297" t="s">
        <v>720</v>
      </c>
      <c r="B49" s="367" t="s">
        <v>799</v>
      </c>
      <c r="C49" s="315" t="s">
        <v>797</v>
      </c>
      <c r="D49" s="316" t="s">
        <v>800</v>
      </c>
      <c r="E49" s="212" t="s">
        <v>737</v>
      </c>
      <c r="F49" s="210">
        <v>41370</v>
      </c>
      <c r="G49" s="209">
        <v>3000860</v>
      </c>
      <c r="H49" s="465">
        <v>1.27</v>
      </c>
      <c r="I49" s="11">
        <f t="shared" si="2"/>
        <v>3811092.2</v>
      </c>
    </row>
    <row r="50" spans="1:9" ht="30" x14ac:dyDescent="0.25">
      <c r="A50" s="297" t="s">
        <v>712</v>
      </c>
      <c r="B50" s="364" t="s">
        <v>801</v>
      </c>
      <c r="C50" s="214" t="s">
        <v>802</v>
      </c>
      <c r="D50" s="213" t="s">
        <v>803</v>
      </c>
      <c r="E50" s="212" t="s">
        <v>734</v>
      </c>
      <c r="F50" s="210">
        <v>40242</v>
      </c>
      <c r="G50" s="209">
        <v>23403194.578400001</v>
      </c>
      <c r="H50" s="465">
        <v>1.587</v>
      </c>
      <c r="I50" s="11">
        <f t="shared" si="2"/>
        <v>37140869.795920804</v>
      </c>
    </row>
    <row r="51" spans="1:9" ht="30" x14ac:dyDescent="0.25">
      <c r="A51" s="297" t="s">
        <v>712</v>
      </c>
      <c r="B51" s="364" t="s">
        <v>804</v>
      </c>
      <c r="C51" s="214" t="s">
        <v>802</v>
      </c>
      <c r="D51" s="213" t="s">
        <v>805</v>
      </c>
      <c r="E51" s="212" t="s">
        <v>737</v>
      </c>
      <c r="F51" s="210">
        <v>40160</v>
      </c>
      <c r="G51" s="209">
        <v>33274844.963600002</v>
      </c>
      <c r="H51" s="465">
        <v>1.611</v>
      </c>
      <c r="I51" s="11">
        <f t="shared" si="2"/>
        <v>53605775.236359604</v>
      </c>
    </row>
    <row r="52" spans="1:9" x14ac:dyDescent="0.25">
      <c r="A52" s="297" t="s">
        <v>716</v>
      </c>
      <c r="B52" s="364" t="s">
        <v>806</v>
      </c>
      <c r="C52" s="313" t="s">
        <v>768</v>
      </c>
      <c r="D52" s="211" t="s">
        <v>807</v>
      </c>
      <c r="E52" s="212" t="s">
        <v>737</v>
      </c>
      <c r="F52" s="317">
        <v>41738</v>
      </c>
      <c r="G52" s="209">
        <v>157288.69</v>
      </c>
      <c r="H52" s="465">
        <v>1.1830000000000001</v>
      </c>
      <c r="I52" s="11">
        <f t="shared" si="2"/>
        <v>186072.52027000001</v>
      </c>
    </row>
    <row r="53" spans="1:9" x14ac:dyDescent="0.25">
      <c r="A53" s="297" t="s">
        <v>716</v>
      </c>
      <c r="B53" s="364" t="s">
        <v>806</v>
      </c>
      <c r="C53" s="313" t="s">
        <v>768</v>
      </c>
      <c r="D53" s="211" t="s">
        <v>808</v>
      </c>
      <c r="E53" s="212" t="s">
        <v>737</v>
      </c>
      <c r="F53" s="317">
        <v>41738</v>
      </c>
      <c r="G53" s="209">
        <v>906531.93</v>
      </c>
      <c r="H53" s="465">
        <v>1.1830000000000001</v>
      </c>
      <c r="I53" s="11">
        <f t="shared" si="2"/>
        <v>1072427.2731900001</v>
      </c>
    </row>
    <row r="54" spans="1:9" ht="30" x14ac:dyDescent="0.25">
      <c r="A54" s="297" t="s">
        <v>720</v>
      </c>
      <c r="B54" s="364" t="s">
        <v>809</v>
      </c>
      <c r="C54" s="313" t="s">
        <v>810</v>
      </c>
      <c r="D54" s="211" t="s">
        <v>811</v>
      </c>
      <c r="E54" s="310" t="s">
        <v>737</v>
      </c>
      <c r="F54" s="210">
        <v>41791</v>
      </c>
      <c r="G54" s="209">
        <v>2389042.1021412001</v>
      </c>
      <c r="H54" s="465">
        <v>1.1759999999999999</v>
      </c>
      <c r="I54" s="11">
        <f t="shared" si="2"/>
        <v>2809513.5121180513</v>
      </c>
    </row>
    <row r="55" spans="1:9" ht="30" x14ac:dyDescent="0.25">
      <c r="A55" s="297" t="s">
        <v>710</v>
      </c>
      <c r="B55" s="364" t="s">
        <v>533</v>
      </c>
      <c r="C55" s="313" t="s">
        <v>786</v>
      </c>
      <c r="D55" s="211" t="s">
        <v>532</v>
      </c>
      <c r="E55" s="212" t="s">
        <v>734</v>
      </c>
      <c r="F55" s="210">
        <v>41879</v>
      </c>
      <c r="G55" s="209">
        <v>10507343.437200001</v>
      </c>
      <c r="H55" s="465">
        <v>1.1919999999999999</v>
      </c>
      <c r="I55" s="11">
        <f t="shared" si="2"/>
        <v>12524753.3771424</v>
      </c>
    </row>
    <row r="56" spans="1:9" x14ac:dyDescent="0.25">
      <c r="A56" s="7" t="s">
        <v>708</v>
      </c>
      <c r="B56" s="364" t="s">
        <v>577</v>
      </c>
      <c r="C56" s="313" t="s">
        <v>812</v>
      </c>
      <c r="D56" s="211" t="s">
        <v>576</v>
      </c>
      <c r="E56" s="212" t="s">
        <v>737</v>
      </c>
      <c r="F56" s="210">
        <v>42148</v>
      </c>
      <c r="G56" s="209">
        <v>39703524.853199996</v>
      </c>
      <c r="H56" s="466">
        <v>1.1339999999999999</v>
      </c>
      <c r="I56" s="11">
        <f t="shared" si="2"/>
        <v>45023797.183528788</v>
      </c>
    </row>
    <row r="57" spans="1:9" x14ac:dyDescent="0.25">
      <c r="A57" s="7" t="s">
        <v>708</v>
      </c>
      <c r="B57" s="368" t="s">
        <v>575</v>
      </c>
      <c r="C57" s="313" t="s">
        <v>812</v>
      </c>
      <c r="D57" s="211" t="s">
        <v>574</v>
      </c>
      <c r="E57" s="212" t="s">
        <v>737</v>
      </c>
      <c r="F57" s="210">
        <v>42148</v>
      </c>
      <c r="G57" s="209">
        <v>6969138.4484999999</v>
      </c>
      <c r="H57" s="466">
        <v>1.1339999999999999</v>
      </c>
      <c r="I57" s="11">
        <f t="shared" si="2"/>
        <v>7903003.0005989997</v>
      </c>
    </row>
    <row r="58" spans="1:9" s="306" customFormat="1" x14ac:dyDescent="0.25">
      <c r="A58" s="363"/>
      <c r="B58" s="941" t="s">
        <v>140</v>
      </c>
      <c r="C58" s="941"/>
      <c r="D58" s="941"/>
      <c r="E58" s="307"/>
      <c r="F58" s="308"/>
      <c r="G58" s="309">
        <f>G17+G25+G37</f>
        <v>786042583.01035953</v>
      </c>
      <c r="H58" s="308"/>
      <c r="I58" s="309">
        <f>I17+I25+I37</f>
        <v>1208077582.5599613</v>
      </c>
    </row>
    <row r="59" spans="1:9" x14ac:dyDescent="0.25">
      <c r="B59" s="318" t="s">
        <v>813</v>
      </c>
      <c r="C59" s="319"/>
      <c r="D59" s="320"/>
      <c r="E59" s="321"/>
      <c r="F59" s="320"/>
      <c r="G59" s="320"/>
      <c r="H59" s="320"/>
    </row>
    <row r="60" spans="1:9" x14ac:dyDescent="0.25">
      <c r="B60" s="318"/>
      <c r="C60" s="322"/>
      <c r="D60" s="320"/>
      <c r="E60" s="321"/>
      <c r="F60" s="320"/>
      <c r="G60" s="320"/>
      <c r="H60" s="320"/>
    </row>
    <row r="61" spans="1:9" x14ac:dyDescent="0.25">
      <c r="B61" s="318"/>
      <c r="C61" s="322"/>
      <c r="D61" s="320"/>
      <c r="E61" s="321"/>
      <c r="F61" s="320"/>
      <c r="G61" s="320"/>
      <c r="H61" s="320"/>
    </row>
    <row r="62" spans="1:9" x14ac:dyDescent="0.25">
      <c r="B62" s="318"/>
      <c r="C62" s="322"/>
      <c r="D62" s="320"/>
      <c r="E62" s="321"/>
      <c r="F62" s="320"/>
      <c r="G62" s="320"/>
      <c r="H62" s="320"/>
    </row>
    <row r="63" spans="1:9" x14ac:dyDescent="0.25">
      <c r="A63" s="294" t="s">
        <v>39</v>
      </c>
      <c r="B63" s="294" t="s">
        <v>700</v>
      </c>
      <c r="C63" s="294" t="s">
        <v>701</v>
      </c>
      <c r="D63" s="294" t="s">
        <v>702</v>
      </c>
      <c r="E63" s="947" t="s">
        <v>703</v>
      </c>
      <c r="F63" s="947"/>
      <c r="G63" s="947"/>
      <c r="H63" s="320"/>
    </row>
    <row r="64" spans="1:9" x14ac:dyDescent="0.25">
      <c r="A64" s="7" t="s">
        <v>704</v>
      </c>
      <c r="B64" s="295">
        <f>SUMIF('Anexo 4_CF_FRA'!$A$18:$A$57,'Anexo 4_CF_FRA'!A64,'Anexo 4_CF_FRA'!$I$18:$I$57)</f>
        <v>344027709.63011992</v>
      </c>
      <c r="C64" s="296">
        <f t="shared" ref="C64:C74" si="3">B64/$B$75</f>
        <v>0.28371603976367255</v>
      </c>
      <c r="D64" s="14">
        <v>30</v>
      </c>
      <c r="E64" s="948" t="s">
        <v>705</v>
      </c>
      <c r="F64" s="948"/>
      <c r="G64" s="948"/>
      <c r="H64" s="320"/>
    </row>
    <row r="65" spans="1:8" x14ac:dyDescent="0.25">
      <c r="A65" s="297" t="s">
        <v>706</v>
      </c>
      <c r="B65" s="295">
        <f>SUMIF('Anexo 4_CF_FRA'!$A$18:$A$57,'Anexo 4_CF_FRA'!A65,'Anexo 4_CF_FRA'!$I$18:$I$57)</f>
        <v>204291164.5384309</v>
      </c>
      <c r="C65" s="296">
        <f t="shared" si="3"/>
        <v>0.16847677829169236</v>
      </c>
      <c r="D65" s="14">
        <v>30</v>
      </c>
      <c r="E65" s="948" t="s">
        <v>707</v>
      </c>
      <c r="F65" s="948"/>
      <c r="G65" s="948"/>
      <c r="H65" s="320"/>
    </row>
    <row r="66" spans="1:8" x14ac:dyDescent="0.25">
      <c r="A66" s="297" t="s">
        <v>708</v>
      </c>
      <c r="B66" s="295">
        <f>SUMIF('Anexo 4_CF_FRA'!$A$18:$A$57,'Anexo 4_CF_FRA'!A66,'Anexo 4_CF_FRA'!$I$18:$I$57)</f>
        <v>172023808.41180778</v>
      </c>
      <c r="C66" s="296">
        <f t="shared" si="3"/>
        <v>0.14186622850855921</v>
      </c>
      <c r="D66" s="14">
        <v>28</v>
      </c>
      <c r="E66" s="948" t="s">
        <v>709</v>
      </c>
      <c r="F66" s="948"/>
      <c r="G66" s="948"/>
      <c r="H66" s="320"/>
    </row>
    <row r="67" spans="1:8" x14ac:dyDescent="0.25">
      <c r="A67" s="297" t="s">
        <v>710</v>
      </c>
      <c r="B67" s="295">
        <f>SUMIF('Anexo 4_CF_FRA'!$A$18:$A$57,'Anexo 4_CF_FRA'!A67,'Anexo 4_CF_FRA'!$I$18:$I$57)</f>
        <v>159328710.95653439</v>
      </c>
      <c r="C67" s="296">
        <f t="shared" si="3"/>
        <v>0.13139671493857233</v>
      </c>
      <c r="D67" s="14">
        <v>40</v>
      </c>
      <c r="E67" s="948" t="s">
        <v>711</v>
      </c>
      <c r="F67" s="948"/>
      <c r="G67" s="948"/>
      <c r="H67" s="320"/>
    </row>
    <row r="68" spans="1:8" x14ac:dyDescent="0.25">
      <c r="A68" s="297" t="s">
        <v>712</v>
      </c>
      <c r="B68" s="295">
        <f>SUMIF('Anexo 4_CF_FRA'!$A$18:$A$57,'Anexo 4_CF_FRA'!A68,'Anexo 4_CF_FRA'!$I$18:$I$57)</f>
        <v>90746645.032280415</v>
      </c>
      <c r="C68" s="296">
        <f t="shared" si="3"/>
        <v>7.4837805297949284E-2</v>
      </c>
      <c r="D68" s="14">
        <v>25</v>
      </c>
      <c r="E68" s="948" t="s">
        <v>705</v>
      </c>
      <c r="F68" s="948"/>
      <c r="G68" s="948"/>
      <c r="H68" s="320"/>
    </row>
    <row r="69" spans="1:8" x14ac:dyDescent="0.25">
      <c r="A69" s="297" t="s">
        <v>713</v>
      </c>
      <c r="B69" s="295">
        <f>SUMIF('Anexo 4_CF_FRA'!$A$18:$A$57,'Anexo 4_CF_FRA'!A69,'Anexo 4_CF_FRA'!$I$18:$I$57)</f>
        <v>85430317.188540012</v>
      </c>
      <c r="C69" s="296">
        <f t="shared" si="3"/>
        <v>7.0453485547854036E-2</v>
      </c>
      <c r="D69" s="14">
        <v>20</v>
      </c>
      <c r="E69" s="948" t="s">
        <v>705</v>
      </c>
      <c r="F69" s="948"/>
      <c r="G69" s="948"/>
      <c r="H69" s="320"/>
    </row>
    <row r="70" spans="1:8" x14ac:dyDescent="0.25">
      <c r="A70" s="297" t="s">
        <v>714</v>
      </c>
      <c r="B70" s="295">
        <f>SUMIF('Anexo 4_CF_FRA'!$A$18:$A$57,'Anexo 4_CF_FRA'!A70,'Anexo 4_CF_FRA'!$I$18:$I$57)</f>
        <v>51021896.401429996</v>
      </c>
      <c r="C70" s="296">
        <f t="shared" si="3"/>
        <v>4.2077222220877557E-2</v>
      </c>
      <c r="D70" s="14">
        <v>30</v>
      </c>
      <c r="E70" s="948" t="s">
        <v>715</v>
      </c>
      <c r="F70" s="948"/>
      <c r="G70" s="948"/>
      <c r="H70" s="320"/>
    </row>
    <row r="71" spans="1:8" x14ac:dyDescent="0.25">
      <c r="A71" s="297" t="s">
        <v>716</v>
      </c>
      <c r="B71" s="295">
        <f>SUMIF('Anexo 4_CF_FRA'!$A$18:$A$57,'Anexo 4_CF_FRA'!A71,'Anexo 4_CF_FRA'!$I$18:$I$57)</f>
        <v>42643021.294509999</v>
      </c>
      <c r="C71" s="296">
        <f t="shared" si="3"/>
        <v>3.5167251900272804E-2</v>
      </c>
      <c r="D71" s="14">
        <v>30</v>
      </c>
      <c r="E71" s="948" t="s">
        <v>717</v>
      </c>
      <c r="F71" s="948"/>
      <c r="G71" s="948"/>
      <c r="H71" s="320"/>
    </row>
    <row r="72" spans="1:8" x14ac:dyDescent="0.25">
      <c r="A72" s="297" t="s">
        <v>718</v>
      </c>
      <c r="B72" s="295">
        <f>SUMIF('Anexo 4_CF_FRA'!$A$18:$A$57,'Anexo 4_CF_FRA'!A72,'Anexo 4_CF_FRA'!$I$18:$I$57)</f>
        <v>37615083.154349998</v>
      </c>
      <c r="C72" s="296">
        <f t="shared" si="3"/>
        <v>3.1020764110563582E-2</v>
      </c>
      <c r="D72" s="14">
        <v>22.5</v>
      </c>
      <c r="E72" s="948" t="s">
        <v>719</v>
      </c>
      <c r="F72" s="948"/>
      <c r="G72" s="948"/>
      <c r="H72" s="320"/>
    </row>
    <row r="73" spans="1:8" x14ac:dyDescent="0.25">
      <c r="A73" s="297" t="s">
        <v>720</v>
      </c>
      <c r="B73" s="295">
        <f>SUMIF('Anexo 4_CF_FRA'!$A$18:$A$57,'Anexo 4_CF_FRA'!A73,'Anexo 4_CF_FRA'!$I$18:$I$57)</f>
        <v>20949225.951958053</v>
      </c>
      <c r="C73" s="296">
        <f t="shared" si="3"/>
        <v>1.7276606670997997E-2</v>
      </c>
      <c r="D73" s="14">
        <v>30</v>
      </c>
      <c r="E73" s="948" t="s">
        <v>721</v>
      </c>
      <c r="F73" s="948"/>
      <c r="G73" s="948"/>
      <c r="H73" s="320"/>
    </row>
    <row r="74" spans="1:8" x14ac:dyDescent="0.25">
      <c r="A74" s="297" t="s">
        <v>1158</v>
      </c>
      <c r="B74" s="295">
        <v>4500000</v>
      </c>
      <c r="C74" s="296">
        <f t="shared" si="3"/>
        <v>3.7111027489884155E-3</v>
      </c>
      <c r="D74" s="454">
        <v>20</v>
      </c>
      <c r="E74" s="454" t="s">
        <v>1159</v>
      </c>
      <c r="F74" s="454"/>
      <c r="G74" s="454"/>
      <c r="H74" s="320"/>
    </row>
    <row r="75" spans="1:8" x14ac:dyDescent="0.25">
      <c r="A75" s="298" t="s">
        <v>8</v>
      </c>
      <c r="B75" s="299">
        <f>SUM(B64:B74)</f>
        <v>1212577582.5599613</v>
      </c>
      <c r="C75" s="300">
        <f>SUM(C64:C74)</f>
        <v>1</v>
      </c>
      <c r="D75" s="301">
        <f>SUMPRODUCT(B64:B74,D64:D74)/B75</f>
        <v>29.681744052081211</v>
      </c>
      <c r="E75" s="949"/>
      <c r="F75" s="949"/>
      <c r="G75" s="949"/>
      <c r="H75" s="320"/>
    </row>
    <row r="76" spans="1:8" x14ac:dyDescent="0.25">
      <c r="A76" s="298"/>
      <c r="B76" s="298"/>
      <c r="C76" s="298" t="s">
        <v>722</v>
      </c>
      <c r="D76" s="298">
        <v>30</v>
      </c>
      <c r="E76" s="949" t="s">
        <v>464</v>
      </c>
      <c r="F76" s="949"/>
      <c r="G76" s="949"/>
      <c r="H76" s="320"/>
    </row>
    <row r="77" spans="1:8" x14ac:dyDescent="0.25">
      <c r="B77" s="318"/>
      <c r="C77" s="322"/>
      <c r="D77" s="320"/>
      <c r="E77" s="321"/>
      <c r="F77" s="320"/>
      <c r="G77" s="320"/>
      <c r="H77" s="320"/>
    </row>
    <row r="78" spans="1:8" x14ac:dyDescent="0.25">
      <c r="B78" s="318"/>
      <c r="C78" s="322"/>
      <c r="D78" s="320"/>
      <c r="E78" s="321"/>
      <c r="F78" s="320"/>
      <c r="G78" s="320"/>
      <c r="H78" s="320"/>
    </row>
    <row r="79" spans="1:8" x14ac:dyDescent="0.25">
      <c r="B79" s="318"/>
      <c r="C79" s="322"/>
      <c r="D79" s="320"/>
      <c r="E79" s="321"/>
      <c r="F79" s="320"/>
      <c r="G79" s="320"/>
      <c r="H79" s="320"/>
    </row>
    <row r="80" spans="1:8" x14ac:dyDescent="0.25">
      <c r="B80" s="318"/>
      <c r="C80" s="322"/>
      <c r="D80" s="320"/>
      <c r="E80" s="321"/>
      <c r="F80" s="320"/>
      <c r="G80" s="320"/>
      <c r="H80" s="320"/>
    </row>
    <row r="81" spans="2:8" x14ac:dyDescent="0.25">
      <c r="B81" s="318"/>
      <c r="C81" s="322"/>
      <c r="D81" s="320"/>
      <c r="E81" s="321"/>
      <c r="F81" s="320"/>
      <c r="G81" s="320"/>
      <c r="H81" s="320"/>
    </row>
    <row r="82" spans="2:8" x14ac:dyDescent="0.25">
      <c r="B82" s="318"/>
      <c r="C82" s="322"/>
      <c r="D82" s="320"/>
      <c r="E82" s="321"/>
      <c r="F82" s="320"/>
      <c r="G82" s="320"/>
      <c r="H82" s="320"/>
    </row>
    <row r="83" spans="2:8" x14ac:dyDescent="0.25">
      <c r="B83" s="318"/>
      <c r="C83" s="322"/>
      <c r="D83" s="320"/>
      <c r="E83" s="321"/>
      <c r="F83" s="320"/>
      <c r="G83" s="320"/>
      <c r="H83" s="320"/>
    </row>
    <row r="84" spans="2:8" x14ac:dyDescent="0.25">
      <c r="B84" s="318"/>
      <c r="C84" s="322"/>
      <c r="D84" s="428"/>
      <c r="E84" s="321"/>
      <c r="F84" s="320"/>
      <c r="G84" s="320"/>
      <c r="H84" s="320"/>
    </row>
    <row r="85" spans="2:8" x14ac:dyDescent="0.25">
      <c r="B85" s="318"/>
      <c r="C85" s="322"/>
      <c r="D85" s="320"/>
      <c r="E85" s="321"/>
      <c r="F85" s="320"/>
      <c r="G85" s="320"/>
      <c r="H85" s="320"/>
    </row>
    <row r="86" spans="2:8" x14ac:dyDescent="0.25">
      <c r="B86" s="318"/>
      <c r="C86" s="322"/>
      <c r="D86" s="320"/>
      <c r="E86" s="321"/>
      <c r="F86" s="320"/>
      <c r="G86" s="320"/>
      <c r="H86" s="320"/>
    </row>
    <row r="87" spans="2:8" x14ac:dyDescent="0.25">
      <c r="B87" s="318"/>
      <c r="C87" s="322"/>
      <c r="D87" s="320"/>
      <c r="E87" s="321"/>
      <c r="F87" s="320"/>
      <c r="G87" s="320"/>
      <c r="H87" s="320"/>
    </row>
    <row r="88" spans="2:8" x14ac:dyDescent="0.25">
      <c r="B88" s="318"/>
      <c r="C88" s="322"/>
      <c r="D88" s="320"/>
      <c r="E88" s="321"/>
      <c r="F88" s="320"/>
      <c r="G88" s="320"/>
      <c r="H88" s="320"/>
    </row>
    <row r="89" spans="2:8" x14ac:dyDescent="0.25">
      <c r="B89" s="318"/>
      <c r="C89" s="322"/>
      <c r="D89" s="320"/>
      <c r="E89" s="321"/>
      <c r="F89" s="320"/>
      <c r="G89" s="320"/>
      <c r="H89" s="320"/>
    </row>
    <row r="90" spans="2:8" x14ac:dyDescent="0.25">
      <c r="B90" s="318"/>
      <c r="C90" s="322"/>
      <c r="D90" s="320"/>
      <c r="E90" s="321"/>
      <c r="F90" s="320"/>
      <c r="G90" s="320"/>
      <c r="H90" s="320"/>
    </row>
  </sheetData>
  <mergeCells count="20"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  <mergeCell ref="E63:G63"/>
    <mergeCell ref="E64:G64"/>
    <mergeCell ref="E65:G65"/>
    <mergeCell ref="E66:G66"/>
    <mergeCell ref="B58:D58"/>
    <mergeCell ref="B37:D37"/>
    <mergeCell ref="B19:B20"/>
    <mergeCell ref="B15:G15"/>
    <mergeCell ref="B17:D17"/>
    <mergeCell ref="C19:C20"/>
    <mergeCell ref="B25:D2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1"/>
  <sheetViews>
    <sheetView showGridLines="0" zoomScale="120" zoomScaleNormal="120" workbookViewId="0"/>
  </sheetViews>
  <sheetFormatPr defaultRowHeight="15" x14ac:dyDescent="0.25"/>
  <cols>
    <col min="1" max="1" width="71" customWidth="1"/>
    <col min="2" max="2" width="13.85546875" bestFit="1" customWidth="1"/>
    <col min="3" max="3" width="13.85546875" customWidth="1"/>
    <col min="4" max="4" width="17.85546875" bestFit="1" customWidth="1"/>
    <col min="6" max="6" width="33.28515625" bestFit="1" customWidth="1"/>
    <col min="7" max="7" width="15.140625" bestFit="1" customWidth="1"/>
    <col min="8" max="8" width="12.7109375" bestFit="1" customWidth="1"/>
    <col min="10" max="10" width="33.28515625" bestFit="1" customWidth="1"/>
    <col min="11" max="11" width="14.28515625" bestFit="1" customWidth="1"/>
  </cols>
  <sheetData>
    <row r="1" spans="1:8" ht="15.75" thickBot="1" x14ac:dyDescent="0.3">
      <c r="A1" s="6" t="s">
        <v>1153</v>
      </c>
      <c r="B1" s="6"/>
      <c r="C1" s="6"/>
      <c r="D1" s="17"/>
    </row>
    <row r="2" spans="1:8" ht="15.75" thickBot="1" x14ac:dyDescent="0.3">
      <c r="A2" s="953" t="s">
        <v>1056</v>
      </c>
      <c r="B2" s="950" t="s">
        <v>1055</v>
      </c>
      <c r="C2" s="951"/>
      <c r="D2" s="952"/>
    </row>
    <row r="3" spans="1:8" ht="15.75" thickBot="1" x14ac:dyDescent="0.3">
      <c r="A3" s="954"/>
      <c r="B3" s="849" t="s">
        <v>1391</v>
      </c>
      <c r="C3" s="849" t="s">
        <v>1267</v>
      </c>
      <c r="D3" s="756" t="s">
        <v>1266</v>
      </c>
      <c r="E3" s="17"/>
      <c r="F3" s="17"/>
    </row>
    <row r="4" spans="1:8" x14ac:dyDescent="0.25">
      <c r="A4" s="841" t="s">
        <v>1053</v>
      </c>
      <c r="B4" s="836"/>
      <c r="C4" s="836"/>
      <c r="D4" s="840"/>
      <c r="E4" s="17"/>
      <c r="F4" s="830" t="s">
        <v>20</v>
      </c>
      <c r="G4" s="833">
        <f>SUM(G5:G8)</f>
        <v>17896757.959341064</v>
      </c>
    </row>
    <row r="5" spans="1:8" ht="18.75" customHeight="1" x14ac:dyDescent="0.25">
      <c r="A5" s="842" t="s">
        <v>1157</v>
      </c>
      <c r="B5" s="837">
        <f>'salarios e encargos ajustada'!H82</f>
        <v>14181785.329341061</v>
      </c>
      <c r="C5" s="837">
        <v>13017687</v>
      </c>
      <c r="D5" s="837">
        <v>12353939</v>
      </c>
      <c r="E5" s="17"/>
      <c r="F5" s="831" t="s">
        <v>13</v>
      </c>
      <c r="G5" s="834">
        <f>'Anexo 5_Desp Adm'!B5</f>
        <v>14181785.329341061</v>
      </c>
    </row>
    <row r="6" spans="1:8" x14ac:dyDescent="0.25">
      <c r="A6" s="842" t="s">
        <v>14</v>
      </c>
      <c r="B6" s="837">
        <f>'Benefícios '!L15</f>
        <v>2457523.2800000003</v>
      </c>
      <c r="C6" s="837">
        <v>2421417</v>
      </c>
      <c r="D6" s="837">
        <v>1540382</v>
      </c>
      <c r="E6" s="17"/>
      <c r="F6" s="831" t="s">
        <v>14</v>
      </c>
      <c r="G6" s="834">
        <f>'Anexo 5_Desp Adm'!B6</f>
        <v>2457523.2800000003</v>
      </c>
      <c r="H6" s="360"/>
    </row>
    <row r="7" spans="1:8" x14ac:dyDescent="0.25">
      <c r="A7" s="842" t="s">
        <v>1052</v>
      </c>
      <c r="B7" s="837">
        <f>SUM(B8:B17)</f>
        <v>1237508.5999999999</v>
      </c>
      <c r="C7" s="837">
        <v>1397429</v>
      </c>
      <c r="D7" s="837">
        <v>2230807</v>
      </c>
      <c r="E7" s="17"/>
      <c r="F7" s="831" t="s">
        <v>1057</v>
      </c>
      <c r="G7" s="834">
        <f>'Anexo 5_Desp Adm'!B7</f>
        <v>1237508.5999999999</v>
      </c>
    </row>
    <row r="8" spans="1:8" ht="15.75" thickBot="1" x14ac:dyDescent="0.3">
      <c r="A8" s="843" t="s">
        <v>1051</v>
      </c>
      <c r="B8" s="838">
        <f>'Custos Administrativos - Materi'!F8</f>
        <v>7583.28</v>
      </c>
      <c r="C8" s="838">
        <v>24418</v>
      </c>
      <c r="D8" s="838">
        <v>166768</v>
      </c>
      <c r="E8" s="17"/>
      <c r="F8" s="832" t="s">
        <v>1069</v>
      </c>
      <c r="G8" s="835">
        <f>'Anexo 5_Desp Adm'!B18</f>
        <v>19940.75</v>
      </c>
      <c r="H8" s="4"/>
    </row>
    <row r="9" spans="1:8" x14ac:dyDescent="0.25">
      <c r="A9" s="843" t="s">
        <v>1050</v>
      </c>
      <c r="B9" s="838">
        <f>'Custos Administrativos - Materi'!F9</f>
        <v>53377.06</v>
      </c>
      <c r="C9" s="838">
        <v>175930</v>
      </c>
      <c r="D9" s="838">
        <v>127473.98</v>
      </c>
      <c r="E9" s="17"/>
      <c r="F9" s="17"/>
    </row>
    <row r="10" spans="1:8" x14ac:dyDescent="0.25">
      <c r="A10" s="843" t="s">
        <v>1049</v>
      </c>
      <c r="B10" s="838">
        <f>'Custos Administrativos - Materi'!F5</f>
        <v>354544.62</v>
      </c>
      <c r="C10" s="838">
        <v>325442</v>
      </c>
      <c r="D10" s="838">
        <v>308848</v>
      </c>
      <c r="E10" s="17"/>
      <c r="F10" s="17"/>
    </row>
    <row r="11" spans="1:8" x14ac:dyDescent="0.25">
      <c r="A11" s="844" t="s">
        <v>1048</v>
      </c>
      <c r="B11" s="838">
        <f>'Custos Administrativos - Materi'!F6</f>
        <v>35479.74</v>
      </c>
      <c r="C11" s="838">
        <v>39422</v>
      </c>
      <c r="D11" s="838">
        <v>43802</v>
      </c>
      <c r="E11" s="17"/>
      <c r="F11" s="17"/>
    </row>
    <row r="12" spans="1:8" x14ac:dyDescent="0.25">
      <c r="A12" s="844" t="s">
        <v>1047</v>
      </c>
      <c r="B12" s="838">
        <f>'Custos Administrativos - Materi'!F10</f>
        <v>9193.14</v>
      </c>
      <c r="C12" s="838">
        <v>13859</v>
      </c>
      <c r="D12" s="838">
        <v>12479</v>
      </c>
      <c r="E12" s="17"/>
      <c r="F12" s="17"/>
    </row>
    <row r="13" spans="1:8" x14ac:dyDescent="0.25">
      <c r="A13" s="844" t="s">
        <v>1268</v>
      </c>
      <c r="B13" s="838">
        <f>'Custos Administrativos - Materi'!F4</f>
        <v>335205.13</v>
      </c>
      <c r="C13" s="838">
        <v>367082</v>
      </c>
      <c r="D13" s="838">
        <v>667176</v>
      </c>
      <c r="E13" s="17"/>
      <c r="F13" s="17"/>
    </row>
    <row r="14" spans="1:8" x14ac:dyDescent="0.25">
      <c r="A14" s="844" t="s">
        <v>1046</v>
      </c>
      <c r="B14" s="838">
        <f>'Custos Administrativos - Materi'!F7</f>
        <v>3352.05</v>
      </c>
      <c r="C14" s="838">
        <v>3671</v>
      </c>
      <c r="D14" s="838">
        <v>9969</v>
      </c>
      <c r="E14" s="17"/>
      <c r="F14" s="17"/>
      <c r="G14" s="24"/>
    </row>
    <row r="15" spans="1:8" x14ac:dyDescent="0.25">
      <c r="A15" s="844" t="s">
        <v>1045</v>
      </c>
      <c r="B15" s="838">
        <f>'Custos Administrativos - Materi'!F11</f>
        <v>409765.22</v>
      </c>
      <c r="C15" s="838">
        <v>412674</v>
      </c>
      <c r="D15" s="838">
        <v>322703</v>
      </c>
      <c r="E15" s="17"/>
      <c r="F15" s="17"/>
    </row>
    <row r="16" spans="1:8" x14ac:dyDescent="0.25">
      <c r="A16" s="844" t="s">
        <v>1044</v>
      </c>
      <c r="B16" s="838">
        <f>'Custos Administrativos - Materi'!F12</f>
        <v>5360.7</v>
      </c>
      <c r="C16" s="838">
        <v>5361</v>
      </c>
      <c r="D16" s="838">
        <v>8005</v>
      </c>
      <c r="E16" s="17"/>
      <c r="F16" s="17"/>
    </row>
    <row r="17" spans="1:6" x14ac:dyDescent="0.25">
      <c r="A17" s="844" t="s">
        <v>1043</v>
      </c>
      <c r="B17" s="838">
        <v>23647.66</v>
      </c>
      <c r="C17" s="838">
        <v>29571</v>
      </c>
      <c r="D17" s="838">
        <v>263669.41176470602</v>
      </c>
      <c r="E17" s="17"/>
      <c r="F17" s="17"/>
    </row>
    <row r="18" spans="1:6" x14ac:dyDescent="0.25">
      <c r="A18" s="845" t="s">
        <v>1070</v>
      </c>
      <c r="B18" s="837">
        <f>'auditoria contabilidade'!B3</f>
        <v>19940.75</v>
      </c>
      <c r="C18" s="837">
        <v>19801</v>
      </c>
      <c r="D18" s="837">
        <v>26090</v>
      </c>
      <c r="E18" s="17"/>
      <c r="F18" s="17"/>
    </row>
    <row r="19" spans="1:6" x14ac:dyDescent="0.25">
      <c r="A19" s="842" t="s">
        <v>1384</v>
      </c>
      <c r="B19" s="839">
        <f>B5+B6+B7+B18</f>
        <v>17896757.959341064</v>
      </c>
      <c r="C19" s="839">
        <v>16856334.07</v>
      </c>
      <c r="D19" s="839">
        <v>16151218.369999999</v>
      </c>
      <c r="E19" s="186"/>
      <c r="F19" s="138"/>
    </row>
    <row r="20" spans="1:6" ht="15.75" thickBot="1" x14ac:dyDescent="0.3">
      <c r="A20" s="846"/>
      <c r="B20" s="847"/>
      <c r="C20" s="847"/>
      <c r="D20" s="848"/>
      <c r="E20" s="17"/>
      <c r="F20" s="17"/>
    </row>
    <row r="21" spans="1:6" ht="15.75" thickBot="1" x14ac:dyDescent="0.3">
      <c r="A21" s="849" t="s">
        <v>1214</v>
      </c>
      <c r="B21" s="741">
        <f>B20+B19</f>
        <v>17896757.959341064</v>
      </c>
      <c r="C21" s="741">
        <v>16856334.07</v>
      </c>
      <c r="D21" s="741">
        <v>16151218.369999999</v>
      </c>
    </row>
  </sheetData>
  <mergeCells count="2">
    <mergeCell ref="B2:D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zoomScale="110" zoomScaleNormal="110" workbookViewId="0">
      <selection activeCell="C11" sqref="C11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433" t="s">
        <v>39</v>
      </c>
      <c r="C2" s="433" t="s">
        <v>1120</v>
      </c>
    </row>
    <row r="3" spans="2:9" ht="33" customHeight="1" x14ac:dyDescent="0.25">
      <c r="B3" s="7" t="s">
        <v>1116</v>
      </c>
      <c r="C3" s="10">
        <f>C4+C8</f>
        <v>2438109.7180062118</v>
      </c>
      <c r="E3" s="407" t="s">
        <v>1075</v>
      </c>
      <c r="F3" s="407" t="s">
        <v>1076</v>
      </c>
      <c r="G3" s="407" t="s">
        <v>1077</v>
      </c>
      <c r="H3" s="407" t="s">
        <v>1078</v>
      </c>
      <c r="I3" s="434" t="s">
        <v>1114</v>
      </c>
    </row>
    <row r="4" spans="2:9" x14ac:dyDescent="0.25">
      <c r="B4" s="7" t="s">
        <v>1113</v>
      </c>
      <c r="C4" s="435">
        <f>C5*C6*C7</f>
        <v>2438109.7180062118</v>
      </c>
      <c r="E4" s="408">
        <f>'Anexo1B-CV Energia Elétrica'!C7</f>
        <v>291206.45692197751</v>
      </c>
      <c r="F4" s="362">
        <f>'Anexo1B-CV Energia Elétrica'!D7</f>
        <v>300.81</v>
      </c>
      <c r="G4" s="408">
        <f>E4*F4</f>
        <v>87597814.306700051</v>
      </c>
      <c r="H4" s="408">
        <f>G4/(1-0.25)-G4</f>
        <v>29199271.435566679</v>
      </c>
      <c r="I4" s="11">
        <f>G4+H4</f>
        <v>116797085.74226673</v>
      </c>
    </row>
    <row r="5" spans="2:9" x14ac:dyDescent="0.25">
      <c r="B5" s="7" t="s">
        <v>1118</v>
      </c>
      <c r="C5" s="422">
        <f>Tarifa!G3+Tarifa!G4+Tarifa!G6+Tarifa!G8</f>
        <v>121905485.90031058</v>
      </c>
      <c r="E5" s="408">
        <f>E4</f>
        <v>291206.45692197751</v>
      </c>
      <c r="F5" s="362">
        <f>'custos unitários para atualizar'!B32</f>
        <v>237.76</v>
      </c>
      <c r="G5" s="408">
        <f>E5*F5</f>
        <v>69237247.197769374</v>
      </c>
      <c r="H5" s="408">
        <f>G5/(1-0.25)-G5</f>
        <v>23079082.399256453</v>
      </c>
      <c r="I5" s="11">
        <f>G5+H5</f>
        <v>92316329.597025827</v>
      </c>
    </row>
    <row r="6" spans="2:9" x14ac:dyDescent="0.25">
      <c r="B6" s="7" t="s">
        <v>1117</v>
      </c>
      <c r="C6" s="436">
        <v>0.02</v>
      </c>
    </row>
    <row r="7" spans="2:9" x14ac:dyDescent="0.25">
      <c r="B7" s="7" t="s">
        <v>21</v>
      </c>
      <c r="C7" s="297">
        <v>1</v>
      </c>
    </row>
    <row r="8" spans="2:9" x14ac:dyDescent="0.25">
      <c r="B8" s="7" t="s">
        <v>1115</v>
      </c>
      <c r="C8" s="435">
        <f>IF(C9&lt;0,0,C9)</f>
        <v>0</v>
      </c>
    </row>
    <row r="9" spans="2:9" x14ac:dyDescent="0.25">
      <c r="B9" s="450" t="s">
        <v>1154</v>
      </c>
      <c r="C9" s="435">
        <f>(C10-C11)*C12</f>
        <v>-489615.12290481804</v>
      </c>
    </row>
    <row r="10" spans="2:9" x14ac:dyDescent="0.25">
      <c r="B10" s="7" t="s">
        <v>1119</v>
      </c>
      <c r="C10" s="11">
        <f>I5</f>
        <v>92316329.597025827</v>
      </c>
    </row>
    <row r="11" spans="2:9" x14ac:dyDescent="0.25">
      <c r="B11" s="7" t="s">
        <v>1114</v>
      </c>
      <c r="C11" s="11">
        <f>I4</f>
        <v>116797085.74226673</v>
      </c>
    </row>
    <row r="12" spans="2:9" x14ac:dyDescent="0.25">
      <c r="B12" s="7" t="s">
        <v>22</v>
      </c>
      <c r="C12" s="429">
        <v>0.02</v>
      </c>
    </row>
  </sheetData>
  <pageMargins left="0.511811024" right="0.511811024" top="0.78740157499999996" bottom="0.78740157499999996" header="0.31496062000000002" footer="0.31496062000000002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F8961F6361794295BF5DFFF963FBA1" ma:contentTypeVersion="0" ma:contentTypeDescription="Crie um novo documento." ma:contentTypeScope="" ma:versionID="000692cef8fa36f400cdcb688300b7b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e6c6ff1d6681a1aea848abd1ab7794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E7BAA6-A8D5-4283-BB10-3B425575B215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8A9D40-FEE5-4BA3-8614-0B15D9B7F2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9136D-1EC7-4BE2-B1D4-518B7EF7A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Anexo 3_Custos Ambientais</vt:lpstr>
      <vt:lpstr>Anexo 4_CF_FRA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auditoria contabilidade</vt:lpstr>
      <vt:lpstr>salarios e encargos ajustada</vt:lpstr>
      <vt:lpstr>Tabela salarial FC Codevasf</vt:lpstr>
      <vt:lpstr>Custos Administrativos - Materi</vt:lpstr>
      <vt:lpstr>Benefícios </vt:lpstr>
      <vt:lpstr>Impostos</vt:lpstr>
      <vt:lpstr>Execução Orçamentária Materiais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Maristela de Lourdes Barbosa</cp:lastModifiedBy>
  <dcterms:created xsi:type="dcterms:W3CDTF">2016-04-20T20:02:25Z</dcterms:created>
  <dcterms:modified xsi:type="dcterms:W3CDTF">2020-03-20T18:21:35Z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0x01010041F8961F6361794295BF5DFFF963FBA1</vt:lpwstr>
  </property>
</Properties>
</file>