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gencia\ana\COSER\2_RE~19X\1_PISF\CONT~ZT2\ARQU~YS%\Tarifa\METO~2T!\"/>
    </mc:Choice>
  </mc:AlternateContent>
  <bookViews>
    <workbookView xWindow="0" yWindow="0" windowWidth="20490" windowHeight="7755" tabRatio="924"/>
  </bookViews>
  <sheets>
    <sheet name="Tarifa" sheetId="18" r:id="rId1"/>
    <sheet name="Anexo 2_CF_CV Energia Elétrica" sheetId="58" r:id="rId2"/>
    <sheet name="Anexo 3_CF_O&amp;M" sheetId="26" r:id="rId3"/>
    <sheet name="CF_FRA_custos macro e vida útil" sheetId="47" state="hidden" r:id="rId4"/>
    <sheet name="Anexo 4_Custos Ambiental" sheetId="44" r:id="rId5"/>
    <sheet name="Anexo 5_CF_FRA_valores MI" sheetId="48" r:id="rId6"/>
    <sheet name="CF_Fundo Reposição Ativos" sheetId="46" state="hidden" r:id="rId7"/>
    <sheet name="mão de obra" sheetId="30" state="hidden" r:id="rId8"/>
    <sheet name="Veículos" sheetId="27" state="hidden" r:id="rId9"/>
    <sheet name="Equipamentos" sheetId="31" state="hidden" r:id="rId10"/>
    <sheet name="amoxarifado" sheetId="28" r:id="rId11"/>
    <sheet name="Ferramentas" sheetId="29" r:id="rId12"/>
    <sheet name="Materiais de consumo" sheetId="32" state="hidden" r:id="rId13"/>
    <sheet name="auditoria contabilidade" sheetId="33" state="hidden" r:id="rId14"/>
    <sheet name="incendio" sheetId="34" state="hidden" r:id="rId15"/>
    <sheet name="automação" sheetId="35" state="hidden" r:id="rId16"/>
    <sheet name="helicoptero" sheetId="36" state="hidden" r:id="rId17"/>
    <sheet name="drone" sheetId="37" state="hidden" r:id="rId18"/>
    <sheet name="geomembranas" sheetId="38" state="hidden" r:id="rId19"/>
    <sheet name="linhas transmissão" sheetId="39" state="hidden" r:id="rId20"/>
    <sheet name="subestações" sheetId="42" state="hidden" r:id="rId21"/>
    <sheet name="baixa tensão" sheetId="43" state="hidden" r:id="rId22"/>
    <sheet name="materiais sobressalentes" sheetId="41" state="hidden" r:id="rId23"/>
    <sheet name="aferição medidores de vazão" sheetId="40" state="hidden" r:id="rId24"/>
    <sheet name="apoio rio Piranhas" sheetId="25" state="hidden" r:id="rId25"/>
    <sheet name="Depreciação" sheetId="56" state="hidden" r:id="rId26"/>
    <sheet name="Detalhe Custos Ambientais" sheetId="45" state="hidden" r:id="rId27"/>
    <sheet name="Despesas Adm. e tx adm." sheetId="5" state="hidden" r:id="rId28"/>
    <sheet name="Anexo 6_Desp Adm" sheetId="54" r:id="rId29"/>
    <sheet name="salarios e encargos ajustada" sheetId="49" state="hidden" r:id="rId30"/>
    <sheet name="Tabela salarial FC Codevasf" sheetId="50" state="hidden" r:id="rId31"/>
    <sheet name="Comunicação, água, luz" sheetId="51" state="hidden" r:id="rId32"/>
    <sheet name="Papelaria" sheetId="52" state="hidden" r:id="rId33"/>
    <sheet name="Administrativos terceirizados" sheetId="53" state="hidden" r:id="rId34"/>
    <sheet name="Anexo 8_Tx Adm" sheetId="8" r:id="rId35"/>
    <sheet name="Comparativo Codevasf" sheetId="59" r:id="rId3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8" l="1"/>
  <c r="A20" i="18"/>
  <c r="A21" i="18"/>
  <c r="A19" i="18"/>
  <c r="E22" i="59" l="1"/>
  <c r="E25" i="26" l="1"/>
  <c r="P10" i="29" l="1"/>
  <c r="D6" i="18" l="1"/>
  <c r="D5" i="18"/>
  <c r="C7" i="54" l="1"/>
  <c r="I3" i="58" l="1"/>
  <c r="H93" i="58"/>
  <c r="K91" i="58"/>
  <c r="K82" i="58"/>
  <c r="Q77" i="58"/>
  <c r="F68" i="58"/>
  <c r="F69" i="58" s="1"/>
  <c r="D68" i="58"/>
  <c r="N67" i="58"/>
  <c r="O67" i="58" s="1"/>
  <c r="K67" i="58"/>
  <c r="J67" i="58"/>
  <c r="N66" i="58"/>
  <c r="O66" i="58" s="1"/>
  <c r="K66" i="58"/>
  <c r="J66" i="58"/>
  <c r="N65" i="58"/>
  <c r="O65" i="58" s="1"/>
  <c r="K65" i="58"/>
  <c r="J65" i="58"/>
  <c r="N64" i="58"/>
  <c r="O64" i="58" s="1"/>
  <c r="K64" i="58"/>
  <c r="J64" i="58"/>
  <c r="N63" i="58"/>
  <c r="J63" i="58"/>
  <c r="E63" i="58"/>
  <c r="K63" i="58" s="1"/>
  <c r="G63" i="58" s="1"/>
  <c r="N62" i="58"/>
  <c r="J62" i="58"/>
  <c r="E62" i="58"/>
  <c r="K62" i="58" s="1"/>
  <c r="F60" i="58"/>
  <c r="F61" i="58" s="1"/>
  <c r="D60" i="58"/>
  <c r="N59" i="58"/>
  <c r="O59" i="58" s="1"/>
  <c r="K59" i="58"/>
  <c r="G59" i="58" s="1"/>
  <c r="J59" i="58"/>
  <c r="N58" i="58"/>
  <c r="O58" i="58" s="1"/>
  <c r="K58" i="58"/>
  <c r="J58" i="58"/>
  <c r="N57" i="58"/>
  <c r="J57" i="58"/>
  <c r="E57" i="58"/>
  <c r="K57" i="58" s="1"/>
  <c r="G57" i="58" s="1"/>
  <c r="K54" i="58"/>
  <c r="Q52" i="58"/>
  <c r="P52" i="58"/>
  <c r="O52" i="58"/>
  <c r="N52" i="58"/>
  <c r="R51" i="58"/>
  <c r="K51" i="58"/>
  <c r="R50" i="58"/>
  <c r="K50" i="58"/>
  <c r="K49" i="58"/>
  <c r="K48" i="58"/>
  <c r="K47" i="58"/>
  <c r="L44" i="58"/>
  <c r="K44" i="58"/>
  <c r="F44" i="58"/>
  <c r="L43" i="58"/>
  <c r="K43" i="58"/>
  <c r="F43" i="58"/>
  <c r="L42" i="58"/>
  <c r="K42" i="58"/>
  <c r="F42" i="58"/>
  <c r="F87" i="58" l="1"/>
  <c r="G87" i="58" s="1"/>
  <c r="G65" i="58"/>
  <c r="P59" i="58"/>
  <c r="F88" i="58"/>
  <c r="G88" i="58" s="1"/>
  <c r="G66" i="58"/>
  <c r="F86" i="58"/>
  <c r="G86" i="58" s="1"/>
  <c r="G64" i="58"/>
  <c r="F84" i="58"/>
  <c r="G62" i="58"/>
  <c r="F89" i="58"/>
  <c r="G89" i="58" s="1"/>
  <c r="G67" i="58"/>
  <c r="F79" i="58"/>
  <c r="G79" i="58" s="1"/>
  <c r="G58" i="58"/>
  <c r="O62" i="58"/>
  <c r="P62" i="58" s="1"/>
  <c r="K93" i="58"/>
  <c r="P58" i="58"/>
  <c r="L58" i="58" s="1"/>
  <c r="P67" i="58"/>
  <c r="O57" i="58"/>
  <c r="P57" i="58" s="1"/>
  <c r="O63" i="58"/>
  <c r="F78" i="58"/>
  <c r="G78" i="58" s="1"/>
  <c r="P64" i="58"/>
  <c r="L64" i="58" s="1"/>
  <c r="P66" i="58"/>
  <c r="L66" i="58" s="1"/>
  <c r="F80" i="58"/>
  <c r="G80" i="58" s="1"/>
  <c r="R52" i="58"/>
  <c r="P65" i="58"/>
  <c r="L59" i="58"/>
  <c r="F85" i="58"/>
  <c r="G85" i="58" s="1"/>
  <c r="G84" i="58"/>
  <c r="P63" i="58"/>
  <c r="F81" i="58"/>
  <c r="P60" i="58"/>
  <c r="F90" i="58"/>
  <c r="P68" i="58"/>
  <c r="G60" i="58"/>
  <c r="G68" i="58"/>
  <c r="L57" i="58" l="1"/>
  <c r="P69" i="58"/>
  <c r="P70" i="58" s="1"/>
  <c r="L67" i="58"/>
  <c r="L62" i="58"/>
  <c r="G69" i="58"/>
  <c r="E9" i="58" s="1"/>
  <c r="L65" i="58"/>
  <c r="G61" i="58"/>
  <c r="C9" i="58" s="1"/>
  <c r="F82" i="58"/>
  <c r="F91" i="58"/>
  <c r="L63" i="58"/>
  <c r="M82" i="58"/>
  <c r="G81" i="58"/>
  <c r="G82" i="58" s="1"/>
  <c r="J82" i="58" s="1"/>
  <c r="M91" i="58"/>
  <c r="G90" i="58"/>
  <c r="G91" i="58" s="1"/>
  <c r="J91" i="58" s="1"/>
  <c r="F93" i="58" l="1"/>
  <c r="N91" i="58"/>
  <c r="J93" i="58"/>
  <c r="N82" i="58"/>
  <c r="O82" i="58" s="1"/>
  <c r="M93" i="58"/>
  <c r="N93" i="58" l="1"/>
  <c r="O93" i="58" s="1"/>
  <c r="O91" i="58"/>
  <c r="F104" i="29" l="1"/>
  <c r="F84" i="29"/>
  <c r="E8" i="59" l="1"/>
  <c r="E14" i="59"/>
  <c r="F6" i="54" l="1"/>
  <c r="I25" i="44"/>
  <c r="I26" i="44"/>
  <c r="I27" i="44"/>
  <c r="I28" i="44"/>
  <c r="I29" i="44"/>
  <c r="I30" i="44"/>
  <c r="I40" i="44"/>
  <c r="G43" i="44"/>
  <c r="I43" i="44" s="1"/>
  <c r="I45" i="44" s="1"/>
  <c r="G44" i="44"/>
  <c r="I44" i="44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14" i="44" s="1"/>
  <c r="I108" i="44"/>
  <c r="I109" i="44"/>
  <c r="I110" i="44"/>
  <c r="I111" i="44"/>
  <c r="I112" i="44"/>
  <c r="G7" i="48"/>
  <c r="I99" i="44" l="1"/>
  <c r="I117" i="44" s="1"/>
  <c r="I79" i="44"/>
  <c r="I60" i="44"/>
  <c r="I31" i="44"/>
  <c r="I71" i="44"/>
  <c r="I86" i="44"/>
  <c r="I33" i="44"/>
  <c r="I32" i="44"/>
  <c r="I34" i="44" s="1"/>
  <c r="K3" i="58"/>
  <c r="E4" i="8" s="1"/>
  <c r="D7" i="18"/>
  <c r="D4" i="18"/>
  <c r="C8" i="18"/>
  <c r="B8" i="18"/>
  <c r="L12" i="58"/>
  <c r="M12" i="58"/>
  <c r="D8" i="18" l="1"/>
  <c r="D10" i="18" s="1"/>
  <c r="E5" i="8"/>
  <c r="G5" i="8" s="1"/>
  <c r="H5" i="8" s="1"/>
  <c r="I5" i="8" s="1"/>
  <c r="C10" i="8" s="1"/>
  <c r="G4" i="8"/>
  <c r="H4" i="8" s="1"/>
  <c r="I4" i="8" s="1"/>
  <c r="B14" i="58"/>
  <c r="C14" i="58" s="1"/>
  <c r="J12" i="58" s="1"/>
  <c r="E10" i="58"/>
  <c r="D10" i="58"/>
  <c r="C10" i="58"/>
  <c r="B10" i="58"/>
  <c r="Q3" i="58"/>
  <c r="C18" i="58"/>
  <c r="B18" i="58"/>
  <c r="B10" i="18" l="1"/>
  <c r="F10" i="58"/>
  <c r="B3" i="58" s="1"/>
  <c r="O3" i="58"/>
  <c r="P3" i="58"/>
  <c r="M3" i="58"/>
  <c r="N3" i="58" l="1"/>
  <c r="R3" i="58" s="1"/>
  <c r="G16" i="18" s="1"/>
  <c r="C3" i="58"/>
  <c r="C11" i="8" l="1"/>
  <c r="C9" i="8" s="1"/>
  <c r="C8" i="8" s="1"/>
  <c r="C20" i="59"/>
  <c r="D3" i="58"/>
  <c r="I12" i="58" s="1"/>
  <c r="N12" i="58" s="1"/>
  <c r="G17" i="18" l="1"/>
  <c r="G8" i="18"/>
  <c r="C12" i="59" s="1"/>
  <c r="D18" i="58"/>
  <c r="C21" i="59" l="1"/>
  <c r="G18" i="18"/>
  <c r="C37" i="26"/>
  <c r="F65" i="56"/>
  <c r="I65" i="56" s="1"/>
  <c r="I66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I29" i="56" s="1"/>
  <c r="F28" i="56"/>
  <c r="I28" i="56" s="1"/>
  <c r="F27" i="56"/>
  <c r="I27" i="56" s="1"/>
  <c r="F26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F23" i="56" l="1"/>
  <c r="C22" i="59"/>
  <c r="D20" i="59" s="1"/>
  <c r="B14" i="18"/>
  <c r="H28" i="18"/>
  <c r="G23" i="18"/>
  <c r="H16" i="18"/>
  <c r="H17" i="18"/>
  <c r="F61" i="56"/>
  <c r="I6" i="56"/>
  <c r="I23" i="56" s="1"/>
  <c r="C36" i="26" s="1"/>
  <c r="I26" i="56"/>
  <c r="I61" i="56" s="1"/>
  <c r="C35" i="26" s="1"/>
  <c r="D21" i="59" l="1"/>
  <c r="D22" i="59" s="1"/>
  <c r="H23" i="18"/>
  <c r="H18" i="18"/>
  <c r="I68" i="56"/>
  <c r="C14" i="18" l="1"/>
  <c r="B21" i="18" s="1"/>
  <c r="B8" i="54" l="1"/>
  <c r="B9" i="54"/>
  <c r="B11" i="54"/>
  <c r="B13" i="54"/>
  <c r="B14" i="54"/>
  <c r="B15" i="54"/>
  <c r="B17" i="54"/>
  <c r="B18" i="54"/>
  <c r="B19" i="54"/>
  <c r="P4" i="53"/>
  <c r="K5" i="53"/>
  <c r="L5" i="53"/>
  <c r="M5" i="53"/>
  <c r="N5" i="53"/>
  <c r="O5" i="53"/>
  <c r="K10" i="53"/>
  <c r="K5" i="52"/>
  <c r="L5" i="52" s="1"/>
  <c r="M5" i="52" s="1"/>
  <c r="N5" i="52" s="1"/>
  <c r="O5" i="52" s="1"/>
  <c r="P4" i="51"/>
  <c r="P5" i="51"/>
  <c r="D7" i="51"/>
  <c r="E7" i="51"/>
  <c r="F7" i="51"/>
  <c r="G7" i="51"/>
  <c r="H7" i="51"/>
  <c r="I7" i="51"/>
  <c r="J7" i="51"/>
  <c r="K7" i="51"/>
  <c r="L7" i="51"/>
  <c r="M7" i="51"/>
  <c r="N7" i="51"/>
  <c r="O7" i="51"/>
  <c r="P7" i="51"/>
  <c r="E6" i="49"/>
  <c r="F6" i="49" s="1"/>
  <c r="G6" i="49" s="1"/>
  <c r="F7" i="49"/>
  <c r="G7" i="49" s="1"/>
  <c r="F8" i="49"/>
  <c r="G8" i="49"/>
  <c r="F9" i="49"/>
  <c r="G9" i="49" s="1"/>
  <c r="F10" i="49"/>
  <c r="G10" i="49" s="1"/>
  <c r="F11" i="49"/>
  <c r="G11" i="49" s="1"/>
  <c r="F13" i="49"/>
  <c r="G13" i="49" s="1"/>
  <c r="F14" i="49"/>
  <c r="G14" i="49" s="1"/>
  <c r="F15" i="49"/>
  <c r="G15" i="49"/>
  <c r="F16" i="49"/>
  <c r="G16" i="49" s="1"/>
  <c r="F17" i="49"/>
  <c r="G17" i="49"/>
  <c r="F18" i="49"/>
  <c r="G18" i="49" s="1"/>
  <c r="F19" i="49"/>
  <c r="G19" i="49" s="1"/>
  <c r="F20" i="49"/>
  <c r="G20" i="49" s="1"/>
  <c r="F21" i="49"/>
  <c r="G21" i="49" s="1"/>
  <c r="F22" i="49"/>
  <c r="G22" i="49" s="1"/>
  <c r="F23" i="49"/>
  <c r="G23" i="49" s="1"/>
  <c r="F24" i="49"/>
  <c r="G24" i="49" s="1"/>
  <c r="F25" i="49"/>
  <c r="G25" i="49"/>
  <c r="F26" i="49"/>
  <c r="G26" i="49" s="1"/>
  <c r="F27" i="49"/>
  <c r="G27" i="49" s="1"/>
  <c r="F28" i="49"/>
  <c r="G28" i="49" s="1"/>
  <c r="F29" i="49"/>
  <c r="G29" i="49" s="1"/>
  <c r="F30" i="49"/>
  <c r="G30" i="49" s="1"/>
  <c r="F31" i="49"/>
  <c r="G31" i="49"/>
  <c r="F32" i="49"/>
  <c r="G32" i="49" s="1"/>
  <c r="F33" i="49"/>
  <c r="G33" i="49"/>
  <c r="F34" i="49"/>
  <c r="G34" i="49" s="1"/>
  <c r="F35" i="49"/>
  <c r="G35" i="49" s="1"/>
  <c r="F36" i="49"/>
  <c r="G36" i="49" s="1"/>
  <c r="F37" i="49"/>
  <c r="G37" i="49" s="1"/>
  <c r="F38" i="49"/>
  <c r="G38" i="49" s="1"/>
  <c r="F39" i="49"/>
  <c r="G39" i="49" s="1"/>
  <c r="F40" i="49"/>
  <c r="G40" i="49" s="1"/>
  <c r="F41" i="49"/>
  <c r="G41" i="49"/>
  <c r="F42" i="49"/>
  <c r="G42" i="49" s="1"/>
  <c r="F43" i="49"/>
  <c r="G43" i="49" s="1"/>
  <c r="F44" i="49"/>
  <c r="G44" i="49" s="1"/>
  <c r="F46" i="49"/>
  <c r="G46" i="49" s="1"/>
  <c r="F47" i="49"/>
  <c r="G47" i="49" s="1"/>
  <c r="F48" i="49"/>
  <c r="G48" i="49"/>
  <c r="F49" i="49"/>
  <c r="G49" i="49" s="1"/>
  <c r="F50" i="49"/>
  <c r="G50" i="49"/>
  <c r="F51" i="49"/>
  <c r="G51" i="49" s="1"/>
  <c r="F53" i="49"/>
  <c r="G53" i="49" s="1"/>
  <c r="F54" i="49"/>
  <c r="G54" i="49" s="1"/>
  <c r="F55" i="49"/>
  <c r="G55" i="49" s="1"/>
  <c r="F56" i="49"/>
  <c r="G56" i="49" s="1"/>
  <c r="F57" i="49"/>
  <c r="G57" i="49" s="1"/>
  <c r="F58" i="49"/>
  <c r="G58" i="49" s="1"/>
  <c r="F59" i="49"/>
  <c r="G59" i="49"/>
  <c r="F61" i="49"/>
  <c r="G61" i="49" s="1"/>
  <c r="F62" i="49"/>
  <c r="G62" i="49" s="1"/>
  <c r="F64" i="49"/>
  <c r="G64" i="49" s="1"/>
  <c r="F65" i="49"/>
  <c r="G65" i="49" s="1"/>
  <c r="F66" i="49"/>
  <c r="G66" i="49" s="1"/>
  <c r="F67" i="49"/>
  <c r="G67" i="49"/>
  <c r="F68" i="49"/>
  <c r="G68" i="49" s="1"/>
  <c r="F69" i="49"/>
  <c r="G69" i="49"/>
  <c r="F70" i="49"/>
  <c r="G70" i="49" s="1"/>
  <c r="F71" i="49"/>
  <c r="G71" i="49" s="1"/>
  <c r="F72" i="49"/>
  <c r="G72" i="49" s="1"/>
  <c r="F73" i="49"/>
  <c r="G73" i="49" s="1"/>
  <c r="F74" i="49"/>
  <c r="G74" i="49" s="1"/>
  <c r="F75" i="49"/>
  <c r="G75" i="49"/>
  <c r="F76" i="49"/>
  <c r="G76" i="49" s="1"/>
  <c r="F77" i="49"/>
  <c r="G77" i="49"/>
  <c r="F78" i="49"/>
  <c r="G78" i="49" s="1"/>
  <c r="F79" i="49"/>
  <c r="G79" i="49" s="1"/>
  <c r="F80" i="49"/>
  <c r="G80" i="49" s="1"/>
  <c r="F81" i="49"/>
  <c r="G81" i="49" s="1"/>
  <c r="L10" i="53" l="1"/>
  <c r="M10" i="53" s="1"/>
  <c r="N10" i="53" s="1"/>
  <c r="P5" i="52"/>
  <c r="B12" i="54" s="1"/>
  <c r="G82" i="49"/>
  <c r="B5" i="54" l="1"/>
  <c r="F5" i="54" s="1"/>
  <c r="B10" i="54"/>
  <c r="B7" i="54" s="1"/>
  <c r="F7" i="54" s="1"/>
  <c r="O10" i="53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64" i="48" l="1"/>
  <c r="B72" i="48"/>
  <c r="B73" i="48"/>
  <c r="B71" i="48"/>
  <c r="B65" i="48"/>
  <c r="B67" i="48"/>
  <c r="B70" i="48"/>
  <c r="B69" i="48"/>
  <c r="P10" i="53"/>
  <c r="Q10" i="53" s="1"/>
  <c r="I17" i="48"/>
  <c r="I25" i="48"/>
  <c r="I37" i="48"/>
  <c r="G58" i="48"/>
  <c r="I58" i="48" l="1"/>
  <c r="G3" i="48" s="1"/>
  <c r="G4" i="48" s="1"/>
  <c r="G6" i="48" s="1"/>
  <c r="B74" i="48"/>
  <c r="C65" i="48" s="1"/>
  <c r="B6" i="48" l="1"/>
  <c r="G5" i="18"/>
  <c r="C69" i="48"/>
  <c r="C71" i="48"/>
  <c r="C68" i="48"/>
  <c r="C72" i="48"/>
  <c r="C73" i="48"/>
  <c r="C64" i="48"/>
  <c r="C66" i="48"/>
  <c r="D74" i="48"/>
  <c r="C70" i="48"/>
  <c r="C67" i="48"/>
  <c r="B4" i="48" l="1"/>
  <c r="C8" i="59"/>
  <c r="C74" i="48"/>
  <c r="C7" i="44" l="1"/>
  <c r="C8" i="44"/>
  <c r="C9" i="44"/>
  <c r="C10" i="44"/>
  <c r="C11" i="44"/>
  <c r="C4" i="44"/>
  <c r="C6" i="44"/>
  <c r="C3" i="44" l="1"/>
  <c r="C12" i="44"/>
  <c r="C5" i="44"/>
  <c r="C13" i="44" l="1"/>
  <c r="C14" i="44" s="1"/>
  <c r="C15" i="44" s="1"/>
  <c r="C16" i="44" s="1"/>
  <c r="C17" i="44" s="1"/>
  <c r="C13" i="59" l="1"/>
  <c r="G4" i="18"/>
  <c r="F3" i="43"/>
  <c r="F4" i="43"/>
  <c r="F5" i="43" s="1"/>
  <c r="F6" i="43" s="1"/>
  <c r="C21" i="26" s="1"/>
  <c r="D5" i="43"/>
  <c r="G4" i="42"/>
  <c r="G5" i="42"/>
  <c r="G6" i="42"/>
  <c r="G9" i="42" s="1"/>
  <c r="G10" i="42" s="1"/>
  <c r="C20" i="26" s="1"/>
  <c r="G7" i="42"/>
  <c r="G8" i="42"/>
  <c r="E9" i="42"/>
  <c r="C8" i="41"/>
  <c r="C10" i="41"/>
  <c r="C13" i="41"/>
  <c r="C15" i="41"/>
  <c r="C21" i="41"/>
  <c r="C22" i="41"/>
  <c r="C23" i="41" s="1"/>
  <c r="C32" i="41"/>
  <c r="C33" i="41"/>
  <c r="C5" i="40"/>
  <c r="C6" i="40"/>
  <c r="F3" i="39"/>
  <c r="F7" i="39" s="1"/>
  <c r="F8" i="39" s="1"/>
  <c r="C19" i="26" s="1"/>
  <c r="F4" i="39"/>
  <c r="F5" i="39"/>
  <c r="F6" i="39"/>
  <c r="H5" i="38"/>
  <c r="C9" i="38" s="1"/>
  <c r="C11" i="38" s="1"/>
  <c r="C3" i="37"/>
  <c r="C15" i="37" s="1"/>
  <c r="C17" i="37" s="1"/>
  <c r="G2" i="37" s="1"/>
  <c r="C5" i="37"/>
  <c r="C7" i="37" s="1"/>
  <c r="C6" i="37"/>
  <c r="C8" i="37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13" i="34" s="1"/>
  <c r="B8" i="34"/>
  <c r="F6" i="34" s="1"/>
  <c r="E9" i="33"/>
  <c r="B4" i="33" s="1"/>
  <c r="B5" i="33" s="1"/>
  <c r="B20" i="54" s="1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F34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H66" i="32"/>
  <c r="G67" i="32"/>
  <c r="F68" i="32"/>
  <c r="G6" i="31"/>
  <c r="K6" i="31"/>
  <c r="G7" i="31"/>
  <c r="G8" i="31"/>
  <c r="K8" i="31"/>
  <c r="G9" i="31"/>
  <c r="K9" i="31"/>
  <c r="G10" i="31"/>
  <c r="G11" i="31"/>
  <c r="G12" i="31"/>
  <c r="G13" i="31"/>
  <c r="G14" i="31"/>
  <c r="G15" i="31"/>
  <c r="K15" i="31"/>
  <c r="G16" i="31"/>
  <c r="G17" i="31"/>
  <c r="K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J4" i="30" s="1"/>
  <c r="H4" i="30"/>
  <c r="O4" i="30"/>
  <c r="R4" i="30" s="1"/>
  <c r="E5" i="30"/>
  <c r="J5" i="30" s="1"/>
  <c r="F5" i="30"/>
  <c r="G5" i="30"/>
  <c r="H5" i="30"/>
  <c r="I5" i="30"/>
  <c r="O5" i="30"/>
  <c r="R5" i="30" s="1"/>
  <c r="C6" i="30"/>
  <c r="J6" i="30" s="1"/>
  <c r="E6" i="30"/>
  <c r="F6" i="30"/>
  <c r="O6" i="30"/>
  <c r="R6" i="30"/>
  <c r="E7" i="30"/>
  <c r="F7" i="30"/>
  <c r="H7" i="30"/>
  <c r="J7" i="30"/>
  <c r="O7" i="30"/>
  <c r="R7" i="30"/>
  <c r="E8" i="30"/>
  <c r="F8" i="30"/>
  <c r="H8" i="30"/>
  <c r="O8" i="30"/>
  <c r="R8" i="30" s="1"/>
  <c r="E9" i="30"/>
  <c r="J9" i="30" s="1"/>
  <c r="F9" i="30"/>
  <c r="H9" i="30"/>
  <c r="O9" i="30"/>
  <c r="R9" i="30" s="1"/>
  <c r="E10" i="30"/>
  <c r="F10" i="30"/>
  <c r="H10" i="30"/>
  <c r="O10" i="30"/>
  <c r="R10" i="30"/>
  <c r="E11" i="30"/>
  <c r="F11" i="30"/>
  <c r="J11" i="30" s="1"/>
  <c r="H11" i="30"/>
  <c r="O11" i="30"/>
  <c r="R11" i="30"/>
  <c r="E12" i="30"/>
  <c r="F12" i="30"/>
  <c r="H12" i="30"/>
  <c r="E13" i="30"/>
  <c r="J13" i="30" s="1"/>
  <c r="F13" i="30"/>
  <c r="H13" i="30"/>
  <c r="E14" i="30"/>
  <c r="F14" i="30"/>
  <c r="H14" i="30"/>
  <c r="E15" i="30"/>
  <c r="F15" i="30"/>
  <c r="H15" i="30"/>
  <c r="E16" i="30"/>
  <c r="F16" i="30"/>
  <c r="H16" i="30"/>
  <c r="N16" i="30"/>
  <c r="P16" i="30" s="1"/>
  <c r="E17" i="30"/>
  <c r="F17" i="30"/>
  <c r="G17" i="30"/>
  <c r="H17" i="30"/>
  <c r="E18" i="30"/>
  <c r="F18" i="30"/>
  <c r="G18" i="30"/>
  <c r="H18" i="30"/>
  <c r="I18" i="30"/>
  <c r="E19" i="30"/>
  <c r="J19" i="30" s="1"/>
  <c r="F19" i="30"/>
  <c r="C20" i="30"/>
  <c r="P21" i="30"/>
  <c r="P22" i="30"/>
  <c r="P23" i="30"/>
  <c r="N30" i="30"/>
  <c r="N31" i="30" s="1"/>
  <c r="F23" i="29"/>
  <c r="F51" i="29" s="1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F50" i="29"/>
  <c r="F78" i="29"/>
  <c r="I79" i="29"/>
  <c r="I80" i="29"/>
  <c r="I81" i="29"/>
  <c r="I114" i="29" s="1"/>
  <c r="D5" i="29" s="1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F114" i="29"/>
  <c r="D7" i="29" s="1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109" i="28" s="1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/>
  <c r="F117" i="28"/>
  <c r="I117" i="28" s="1"/>
  <c r="F118" i="28"/>
  <c r="I118" i="28" s="1"/>
  <c r="F119" i="28"/>
  <c r="I119" i="28" s="1"/>
  <c r="F120" i="28"/>
  <c r="I120" i="28"/>
  <c r="F121" i="28"/>
  <c r="I121" i="28" s="1"/>
  <c r="F122" i="28"/>
  <c r="I122" i="28" s="1"/>
  <c r="F123" i="28"/>
  <c r="I123" i="28" s="1"/>
  <c r="F124" i="28"/>
  <c r="I124" i="28"/>
  <c r="F125" i="28"/>
  <c r="I125" i="28" s="1"/>
  <c r="F126" i="28"/>
  <c r="I126" i="28" s="1"/>
  <c r="F127" i="28"/>
  <c r="I127" i="28" s="1"/>
  <c r="F128" i="28"/>
  <c r="I128" i="28"/>
  <c r="F129" i="28"/>
  <c r="I129" i="28" s="1"/>
  <c r="F130" i="28"/>
  <c r="I130" i="28" s="1"/>
  <c r="F131" i="28"/>
  <c r="I131" i="28" s="1"/>
  <c r="F132" i="28"/>
  <c r="I132" i="28"/>
  <c r="F141" i="28"/>
  <c r="F142" i="28" s="1"/>
  <c r="F161" i="28" s="1"/>
  <c r="F143" i="28"/>
  <c r="I143" i="28" s="1"/>
  <c r="F144" i="28"/>
  <c r="I144" i="28"/>
  <c r="F145" i="28"/>
  <c r="I145" i="28" s="1"/>
  <c r="F146" i="28"/>
  <c r="F160" i="28" s="1"/>
  <c r="F147" i="28"/>
  <c r="I147" i="28" s="1"/>
  <c r="F148" i="28"/>
  <c r="I148" i="28"/>
  <c r="F149" i="28"/>
  <c r="I149" i="28" s="1"/>
  <c r="F150" i="28"/>
  <c r="I150" i="28" s="1"/>
  <c r="F151" i="28"/>
  <c r="I151" i="28" s="1"/>
  <c r="F152" i="28"/>
  <c r="I152" i="28"/>
  <c r="F153" i="28"/>
  <c r="I153" i="28" s="1"/>
  <c r="F154" i="28"/>
  <c r="I154" i="28" s="1"/>
  <c r="F155" i="28"/>
  <c r="I155" i="28" s="1"/>
  <c r="F156" i="28"/>
  <c r="I156" i="28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C29" i="26"/>
  <c r="C30" i="26" s="1"/>
  <c r="D5" i="25"/>
  <c r="F5" i="25" s="1"/>
  <c r="E10" i="25"/>
  <c r="F10" i="25"/>
  <c r="G10" i="25" s="1"/>
  <c r="C15" i="25"/>
  <c r="C17" i="25"/>
  <c r="C18" i="25" s="1"/>
  <c r="C22" i="25" s="1"/>
  <c r="C23" i="25" s="1"/>
  <c r="C21" i="25"/>
  <c r="D29" i="25"/>
  <c r="E29" i="25" s="1"/>
  <c r="M3" i="25" s="1"/>
  <c r="C32" i="26" s="1"/>
  <c r="F13" i="34" l="1"/>
  <c r="H13" i="34" s="1"/>
  <c r="G13" i="34"/>
  <c r="C17" i="36"/>
  <c r="C19" i="36" s="1"/>
  <c r="G4" i="36" s="1"/>
  <c r="I146" i="28"/>
  <c r="F133" i="28"/>
  <c r="F134" i="28" s="1"/>
  <c r="D2" i="29"/>
  <c r="J8" i="30"/>
  <c r="D3" i="28"/>
  <c r="N32" i="30"/>
  <c r="N33" i="30" s="1"/>
  <c r="J17" i="30"/>
  <c r="J15" i="30"/>
  <c r="G6" i="34"/>
  <c r="H6" i="34" s="1"/>
  <c r="C14" i="26" s="1"/>
  <c r="F14" i="27"/>
  <c r="C8" i="26" s="1"/>
  <c r="G58" i="28"/>
  <c r="D2" i="28" s="1"/>
  <c r="D4" i="28" s="1"/>
  <c r="C10" i="26" s="1"/>
  <c r="J12" i="30"/>
  <c r="G34" i="32"/>
  <c r="D2" i="32" s="1"/>
  <c r="C7" i="40"/>
  <c r="C22" i="26" s="1"/>
  <c r="F8" i="54"/>
  <c r="F4" i="54" s="1"/>
  <c r="G6" i="18" s="1"/>
  <c r="C20" i="54"/>
  <c r="C21" i="54" s="1"/>
  <c r="B21" i="54"/>
  <c r="C14" i="59" s="1"/>
  <c r="J14" i="30"/>
  <c r="J20" i="30" s="1"/>
  <c r="R12" i="30"/>
  <c r="J22" i="30" s="1"/>
  <c r="C34" i="41"/>
  <c r="C38" i="41" s="1"/>
  <c r="C31" i="26" s="1"/>
  <c r="G68" i="32"/>
  <c r="D3" i="32" s="1"/>
  <c r="I50" i="29"/>
  <c r="D4" i="29" s="1"/>
  <c r="J10" i="30"/>
  <c r="J18" i="30"/>
  <c r="J16" i="30"/>
  <c r="F7" i="26"/>
  <c r="E7" i="59"/>
  <c r="F115" i="29"/>
  <c r="F3" i="41"/>
  <c r="F11" i="25"/>
  <c r="G11" i="25" s="1"/>
  <c r="G12" i="25" s="1"/>
  <c r="G3" i="41"/>
  <c r="C10" i="38"/>
  <c r="C12" i="38" s="1"/>
  <c r="C15" i="38" s="1"/>
  <c r="F3" i="38" s="1"/>
  <c r="F7" i="37"/>
  <c r="C14" i="37"/>
  <c r="C16" i="37" s="1"/>
  <c r="F2" i="37" s="1"/>
  <c r="H2" i="37" s="1"/>
  <c r="C17" i="26" s="1"/>
  <c r="C16" i="36"/>
  <c r="C18" i="36" s="1"/>
  <c r="F4" i="36" s="1"/>
  <c r="H4" i="36" s="1"/>
  <c r="C16" i="26" s="1"/>
  <c r="F9" i="36"/>
  <c r="G9" i="36" s="1"/>
  <c r="C13" i="35"/>
  <c r="C16" i="35"/>
  <c r="C8" i="35"/>
  <c r="G57" i="31"/>
  <c r="H32" i="31" s="1"/>
  <c r="P17" i="30"/>
  <c r="P18" i="30" s="1"/>
  <c r="E5" i="25"/>
  <c r="J101" i="29"/>
  <c r="J104" i="29"/>
  <c r="J40" i="29"/>
  <c r="J84" i="29"/>
  <c r="C27" i="26"/>
  <c r="D8" i="29"/>
  <c r="D3" i="29"/>
  <c r="I133" i="28"/>
  <c r="I160" i="28"/>
  <c r="D7" i="28"/>
  <c r="C28" i="26" s="1"/>
  <c r="C3" i="27"/>
  <c r="C5" i="27" s="1"/>
  <c r="F17" i="26"/>
  <c r="F21" i="26"/>
  <c r="F19" i="26"/>
  <c r="F13" i="26"/>
  <c r="F11" i="26"/>
  <c r="F8" i="26"/>
  <c r="F24" i="26"/>
  <c r="F22" i="26"/>
  <c r="F20" i="26"/>
  <c r="F18" i="26"/>
  <c r="F16" i="26"/>
  <c r="F14" i="26"/>
  <c r="F12" i="26"/>
  <c r="F10" i="26"/>
  <c r="F23" i="26"/>
  <c r="F15" i="26"/>
  <c r="F9" i="26"/>
  <c r="F25" i="26"/>
  <c r="G5" i="25"/>
  <c r="N35" i="30" l="1"/>
  <c r="N36" i="30" s="1"/>
  <c r="H5" i="25"/>
  <c r="I5" i="25" s="1"/>
  <c r="D6" i="29"/>
  <c r="C11" i="26" s="1"/>
  <c r="N34" i="30"/>
  <c r="D4" i="32"/>
  <c r="C12" i="26" s="1"/>
  <c r="E17" i="59"/>
  <c r="H3" i="41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C9" i="26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J21" i="30"/>
  <c r="J23" i="30" s="1"/>
  <c r="C7" i="26" s="1"/>
  <c r="P19" i="30"/>
  <c r="D8" i="28"/>
  <c r="C39" i="26" s="1"/>
  <c r="M2" i="25"/>
  <c r="C23" i="26" s="1"/>
  <c r="I6" i="31" l="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G10" i="18"/>
  <c r="C16" i="59"/>
  <c r="H4" i="35"/>
  <c r="C15" i="26" s="1"/>
  <c r="F24" i="35"/>
  <c r="C13" i="26"/>
  <c r="P20" i="30"/>
  <c r="P24" i="30" s="1"/>
  <c r="P25" i="30" s="1"/>
  <c r="C24" i="26" l="1"/>
  <c r="C5" i="26" s="1"/>
  <c r="G3" i="18" l="1"/>
  <c r="C7" i="59"/>
  <c r="C33" i="26"/>
  <c r="C5" i="8" l="1"/>
  <c r="C4" i="8" s="1"/>
  <c r="C3" i="8" l="1"/>
  <c r="G9" i="18"/>
  <c r="G11" i="18" l="1"/>
  <c r="C10" i="59"/>
  <c r="H9" i="18"/>
  <c r="C17" i="59" l="1"/>
  <c r="G19" i="18"/>
  <c r="H19" i="18" s="1"/>
  <c r="H7" i="18"/>
  <c r="H8" i="18"/>
  <c r="G22" i="18"/>
  <c r="H11" i="18"/>
  <c r="H27" i="18"/>
  <c r="H29" i="18" s="1"/>
  <c r="B13" i="18"/>
  <c r="H5" i="18"/>
  <c r="H4" i="18"/>
  <c r="H6" i="18"/>
  <c r="H10" i="18"/>
  <c r="H3" i="18"/>
  <c r="D16" i="59" l="1"/>
  <c r="D9" i="59"/>
  <c r="D12" i="59"/>
  <c r="D8" i="59"/>
  <c r="D13" i="59"/>
  <c r="D14" i="59"/>
  <c r="D7" i="59"/>
  <c r="D17" i="59" s="1"/>
  <c r="G24" i="18"/>
  <c r="I23" i="18" s="1"/>
  <c r="H22" i="18"/>
  <c r="D10" i="59"/>
  <c r="I22" i="18" l="1"/>
  <c r="I24" i="18" s="1"/>
  <c r="H24" i="18"/>
  <c r="C13" i="18"/>
  <c r="B20" i="18" s="1"/>
</calcChain>
</file>

<file path=xl/comments1.xml><?xml version="1.0" encoding="utf-8"?>
<comments xmlns="http://schemas.openxmlformats.org/spreadsheetml/2006/main">
  <authors>
    <author>Usuário do Windows</author>
  </authors>
  <commentList>
    <comment ref="H2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>
  <authors>
    <author>Usuário do Windows</author>
  </authors>
  <commentList>
    <comment ref="G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>
  <authors>
    <author>Usuário do Windows</author>
  </authors>
  <commentList>
    <comment ref="B7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>
  <authors>
    <author>Usuário do Windows</author>
  </authors>
  <commentList>
    <comment ref="C13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>
  <authors>
    <author>Usuário do Windows</author>
  </authors>
  <commentList>
    <comment ref="C20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>
  <connection id="1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<sst xmlns="http://schemas.openxmlformats.org/spreadsheetml/2006/main" count="2483" uniqueCount="1329">
  <si>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</si>
  <si>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</si>
  <si>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</si>
  <si>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</si>
  <si>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</si>
  <si>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</si>
  <si>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</si>
  <si>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</si>
  <si>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</si>
  <si>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</si>
  <si>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</si>
  <si>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</si>
  <si>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</si>
  <si>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</si>
  <si>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</si>
  <si>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</si>
  <si>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</si>
  <si>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</si>
  <si>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</si>
  <si>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</si>
  <si>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</si>
  <si>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</si>
  <si>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</si>
  <si>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</si>
  <si>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</si>
  <si>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%?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</si>
  <si>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</si>
  <si>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</si>
  <si>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</si>
  <si>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</si>
  <si>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</si>
  <si>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</si>
  <si>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</si>
  <si>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</si>
  <si>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</si>
  <si>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</si>
  <si>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</si>
  <si>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</si>
  <si>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</si>
  <si>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</si>
  <si>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</si>
  <si>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</si>
  <si>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</si>
  <si>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</si>
  <si>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</si>
  <si>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</si>
  <si>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</si>
  <si>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</si>
  <si>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</si>
  <si>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</si>
  <si>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</si>
  <si>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</si>
  <si>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</si>
  <si>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</si>
  <si>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</si>
  <si>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</si>
  <si>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</si>
  <si>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</si>
  <si>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</si>
  <si>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</si>
  <si>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</si>
  <si>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</si>
  <si>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</si>
  <si>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</si>
  <si>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</si>
  <si>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</si>
  <si>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</si>
  <si>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</si>
  <si>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</si>
  <si>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</si>
  <si>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</si>
  <si>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</si>
  <si>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</si>
  <si>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</si>
  <si>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</si>
  <si>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</si>
  <si>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</si>
  <si>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ok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</si>
  <si>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</si>
  <si>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</si>
  <si>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</si>
  <si>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</si>
  <si>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</si>
  <si>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</si>
  <si>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</si>
  <si>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</si>
  <si>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</si>
  <si>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</si>
  <si>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</si>
  <si>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</si>
  <si>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</si>
  <si>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</si>
  <si>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</si>
  <si>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</si>
  <si>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</si>
  <si>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</si>
  <si>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</si>
  <si>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</si>
  <si>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</si>
  <si>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</si>
  <si>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</si>
  <si>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</si>
  <si>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Valores CODEVASF</t>
  </si>
  <si>
    <t>PLANILHA CODEVASF</t>
  </si>
  <si>
    <t>PLANILHA ANA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</si>
  <si>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</si>
  <si>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</si>
  <si>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</si>
  <si>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</si>
  <si>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</si>
  <si>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</si>
  <si>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</si>
  <si>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</si>
  <si>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</si>
  <si>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</si>
  <si>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</si>
  <si>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</si>
  <si>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</si>
  <si>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</si>
  <si>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</si>
  <si>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</si>
  <si>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</si>
  <si>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</si>
  <si>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</si>
  <si>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</si>
  <si>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</si>
  <si>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</si>
  <si>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</si>
  <si>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</si>
  <si>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</si>
  <si>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</si>
  <si>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</si>
  <si>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</si>
  <si>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</si>
  <si>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</si>
  <si>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</si>
  <si>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</si>
  <si>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</si>
  <si>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</si>
  <si>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</si>
  <si>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</si>
  <si>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</si>
  <si>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</si>
  <si>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</si>
  <si>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</si>
  <si>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</si>
  <si>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</si>
  <si>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</si>
  <si>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</si>
  <si>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</si>
  <si>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</si>
  <si>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</si>
  <si>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</si>
  <si>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</si>
  <si>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</si>
  <si>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</si>
  <si>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</si>
  <si>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</si>
  <si>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</si>
  <si>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</si>
  <si>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</si>
  <si>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</si>
  <si>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</si>
  <si>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</si>
  <si>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</si>
  <si>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</si>
  <si>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</si>
  <si>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</si>
  <si>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</si>
  <si>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</si>
  <si>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</si>
  <si>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</si>
  <si>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</si>
  <si>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</si>
  <si>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</si>
  <si>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</si>
  <si>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</si>
  <si>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</si>
  <si>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</si>
  <si>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</si>
  <si>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</si>
  <si>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</si>
  <si>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</si>
  <si>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</si>
  <si>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</si>
  <si>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</si>
  <si>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</si>
  <si>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</si>
  <si>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</si>
  <si>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</si>
  <si>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</si>
  <si>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</si>
  <si>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</si>
  <si>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</si>
  <si>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</si>
  <si>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</si>
  <si>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</si>
  <si>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</si>
  <si>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</si>
  <si>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</si>
  <si>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</si>
  <si>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</si>
  <si>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</si>
  <si>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</si>
  <si>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</si>
  <si>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</si>
  <si>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</si>
  <si>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</si>
  <si>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</si>
  <si>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</si>
  <si>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</si>
  <si>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</si>
  <si>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</si>
  <si>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</si>
  <si>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</si>
  <si>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</si>
  <si>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</si>
  <si>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</si>
  <si>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</si>
  <si>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</si>
  <si>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</si>
  <si>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</si>
  <si>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</si>
  <si>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</si>
  <si>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</si>
  <si>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</si>
  <si>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</si>
  <si>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</si>
  <si>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</si>
  <si>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</si>
  <si>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</si>
  <si>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</si>
  <si>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</si>
  <si>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</si>
  <si>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</si>
  <si>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</si>
  <si>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</si>
  <si>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</si>
  <si>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</si>
  <si>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</si>
  <si>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</si>
  <si>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</si>
  <si>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</si>
  <si>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</si>
  <si>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</si>
  <si>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</si>
  <si>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</si>
  <si>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</si>
  <si>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</si>
  <si>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</si>
  <si>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</si>
  <si>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</si>
  <si>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</si>
  <si>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</si>
  <si>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</si>
  <si>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</si>
  <si>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</si>
  <si>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</si>
  <si>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</si>
  <si>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</si>
  <si>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</si>
  <si>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</si>
  <si>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</si>
  <si>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</si>
  <si>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</si>
  <si>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</si>
  <si>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</si>
  <si>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</si>
  <si>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</si>
  <si>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</si>
  <si>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</si>
  <si>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</si>
  <si>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</si>
  <si>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</si>
  <si>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</si>
  <si>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</si>
  <si>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</si>
  <si>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</si>
  <si>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</si>
  <si>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</si>
  <si>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</si>
  <si>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</si>
  <si>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</si>
  <si>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</si>
  <si>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</si>
  <si>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</si>
  <si>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</si>
  <si>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</si>
  <si>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</si>
  <si>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</si>
  <si>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</si>
  <si>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</si>
  <si>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</si>
  <si>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</si>
  <si>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</si>
  <si>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</si>
  <si>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</si>
  <si>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</si>
  <si>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</si>
  <si>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 adotado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</si>
  <si>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</si>
  <si>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</si>
  <si>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</si>
  <si>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</si>
  <si>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</si>
  <si>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</si>
  <si>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</si>
  <si>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</si>
  <si>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adotado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</si>
  <si>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</si>
  <si>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</si>
  <si>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</si>
  <si>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</si>
  <si>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</si>
  <si>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</si>
  <si>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</si>
  <si>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</si>
  <si>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</si>
  <si>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</si>
  <si>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</si>
  <si>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</si>
  <si>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</si>
  <si>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</si>
  <si>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</si>
  <si>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</si>
  <si>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</si>
  <si>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</si>
  <si>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</si>
  <si>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</si>
  <si>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</si>
  <si>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</si>
  <si>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</si>
  <si>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</si>
  <si>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</si>
  <si>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</si>
  <si>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</si>
  <si>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</si>
  <si>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</si>
  <si>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</si>
  <si>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</si>
  <si>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</si>
  <si>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</si>
  <si>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</si>
  <si>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</si>
  <si>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</si>
  <si>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</si>
  <si>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</si>
  <si>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</si>
  <si>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</si>
  <si>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</si>
  <si>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</si>
  <si>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</si>
  <si>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</si>
  <si>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</si>
  <si>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</si>
  <si>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</si>
  <si>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</si>
  <si>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</si>
  <si>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</si>
  <si>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</si>
  <si>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</si>
  <si>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</si>
  <si>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</si>
  <si>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</si>
  <si>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</si>
  <si>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</si>
  <si>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</si>
  <si>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</si>
  <si>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</si>
  <si>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</si>
  <si>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</si>
  <si>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</si>
  <si>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</si>
  <si>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</si>
  <si>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</si>
  <si>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</si>
  <si>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</si>
  <si>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</si>
  <si>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</si>
  <si>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</si>
  <si>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</si>
  <si>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</si>
  <si>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</si>
  <si>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</si>
  <si>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</si>
  <si>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</si>
  <si>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</si>
  <si>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</si>
  <si>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</si>
  <si>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</si>
  <si>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</si>
  <si>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</si>
  <si>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</si>
  <si>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</si>
  <si>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</si>
  <si>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</si>
  <si>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</si>
  <si>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</si>
  <si>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</si>
  <si>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</si>
  <si>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</si>
  <si>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</si>
  <si>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</si>
  <si>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</si>
  <si>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</si>
  <si>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</si>
  <si>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</si>
  <si>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</si>
  <si>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</si>
  <si>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</si>
  <si>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</si>
  <si>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</si>
  <si>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</si>
  <si>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</si>
  <si>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</si>
  <si>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</si>
  <si>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preço sinapi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</si>
  <si>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</si>
  <si>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</si>
  <si>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</si>
  <si>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</si>
  <si>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</si>
  <si>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</si>
  <si>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</si>
  <si>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</si>
  <si>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</si>
  <si>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</si>
  <si>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</si>
  <si>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</si>
  <si>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</si>
  <si>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</si>
  <si>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</si>
  <si>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</si>
  <si>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</si>
  <si>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</si>
  <si>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</si>
  <si>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</si>
  <si>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</si>
  <si>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</si>
  <si>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</si>
  <si>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</si>
  <si>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</si>
  <si>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</si>
  <si>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</si>
  <si>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</si>
  <si>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</si>
  <si>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</si>
  <si>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</si>
  <si>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</si>
  <si>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</si>
  <si>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</si>
  <si>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</si>
  <si>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</si>
  <si>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</si>
  <si>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</si>
  <si>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</si>
  <si>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</si>
  <si>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</si>
  <si>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</si>
  <si>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</si>
  <si>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</si>
  <si>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</si>
  <si>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</si>
  <si>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</si>
  <si>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</si>
  <si>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</si>
  <si>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</si>
  <si>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</si>
  <si>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</si>
  <si>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</si>
  <si>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</si>
  <si>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Coluna 39 FGV - Serviços de Consultoria</t>
  </si>
  <si>
    <t>R$/ ano</t>
  </si>
  <si>
    <t>R$/ dois anos</t>
  </si>
  <si>
    <t>valor para Fevereiro de 2016</t>
  </si>
  <si>
    <t>Contrato 0.089.00/2013 Codevasf</t>
  </si>
  <si>
    <t xml:space="preserve">Serviços de auditoria independente para exame das Demonstrações Financeiras 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</si>
  <si>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</si>
  <si>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</si>
  <si>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</si>
  <si>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</si>
  <si>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</si>
  <si>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</si>
  <si>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</si>
  <si>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</si>
  <si>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</si>
  <si>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</si>
  <si>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</si>
  <si>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</si>
  <si>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</si>
  <si>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</si>
  <si>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</si>
  <si>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</si>
  <si>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</si>
  <si>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</si>
  <si>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</si>
  <si>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</si>
  <si>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</si>
  <si>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</si>
  <si>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</si>
  <si>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</si>
  <si>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</si>
  <si>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</si>
  <si>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</si>
  <si>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</si>
  <si>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</si>
  <si>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</si>
  <si>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</si>
  <si>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</si>
  <si>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</si>
  <si>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</si>
  <si>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</si>
  <si>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</si>
  <si>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</si>
  <si>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</si>
  <si>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</si>
  <si>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</si>
  <si>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</si>
  <si>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</si>
  <si>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</si>
  <si>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</si>
  <si>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</si>
  <si>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</si>
  <si>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</si>
  <si>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</si>
  <si>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</si>
  <si>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</si>
  <si>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</si>
  <si>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</si>
  <si>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</si>
  <si>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</si>
  <si>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</si>
  <si>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</si>
  <si>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</si>
  <si>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</si>
  <si>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</si>
  <si>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</si>
  <si>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</si>
  <si>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</si>
  <si>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</si>
  <si>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</si>
  <si>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</si>
  <si>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sinapi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</si>
  <si>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</si>
  <si>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</si>
  <si>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</si>
  <si>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</si>
  <si>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</si>
  <si>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</si>
  <si>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</si>
  <si>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</si>
  <si>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</si>
  <si>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</si>
  <si>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</si>
  <si>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</si>
  <si>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</si>
  <si>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</si>
  <si>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</si>
  <si>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</si>
  <si>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</si>
  <si>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</si>
  <si>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</si>
  <si>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</si>
  <si>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</si>
  <si>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</si>
  <si>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</si>
  <si>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</si>
  <si>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</si>
  <si>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</si>
  <si>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</si>
  <si>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</si>
  <si>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</si>
  <si>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</si>
  <si>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</si>
  <si>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</si>
  <si>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</si>
  <si>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</si>
  <si>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</si>
  <si>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</si>
  <si>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</si>
  <si>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</si>
  <si>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</si>
  <si>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</si>
  <si>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</si>
  <si>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</si>
  <si>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</si>
  <si>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</si>
  <si>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</si>
  <si>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</si>
  <si>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</si>
  <si>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</si>
  <si>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</si>
  <si>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</si>
  <si>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</si>
  <si>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</si>
  <si>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</si>
  <si>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</si>
  <si>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</si>
  <si>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</si>
  <si>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</si>
  <si>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</si>
  <si>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</si>
  <si>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</si>
  <si>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</si>
  <si>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</si>
  <si>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</si>
  <si>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</si>
  <si>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</si>
  <si>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</si>
  <si>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</si>
  <si>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</si>
  <si>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</si>
  <si>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</si>
  <si>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Veícuos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</si>
  <si>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</si>
  <si>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</si>
  <si>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</si>
  <si>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</si>
  <si>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</si>
  <si>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</si>
  <si>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</si>
  <si>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</si>
  <si>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</si>
  <si>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</si>
  <si>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</si>
  <si>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</si>
  <si>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</si>
  <si>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</si>
  <si>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</si>
  <si>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</si>
  <si>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</si>
  <si>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</si>
  <si>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</si>
  <si>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</si>
  <si>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</si>
  <si>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</si>
  <si>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</si>
  <si>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</si>
  <si>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</si>
  <si>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</si>
  <si>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</si>
  <si>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</si>
  <si>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</si>
  <si>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>Preço CETESB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</si>
  <si>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</si>
  <si>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</si>
  <si>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</si>
  <si>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</si>
  <si>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</si>
  <si>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</si>
  <si>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</si>
  <si>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</si>
  <si>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</si>
  <si>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</si>
  <si>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</si>
  <si>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</si>
  <si>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</si>
  <si>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</si>
  <si>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</si>
  <si>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</si>
  <si>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</si>
  <si>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</si>
  <si>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</si>
  <si>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</si>
  <si>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</si>
  <si>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</si>
  <si>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</si>
  <si>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</si>
  <si>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</si>
  <si>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</si>
  <si>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</si>
  <si>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</si>
  <si>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</si>
  <si>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</si>
  <si>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</si>
  <si>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</si>
  <si>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</si>
  <si>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</si>
  <si>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</si>
  <si>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</si>
  <si>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</si>
  <si>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</si>
  <si>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</si>
  <si>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</si>
  <si>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</si>
  <si>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</si>
  <si>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</si>
  <si>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</si>
  <si>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</si>
  <si>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</si>
  <si>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</si>
  <si>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</si>
  <si>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</si>
  <si>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</si>
  <si>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</si>
  <si>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</si>
  <si>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</si>
  <si>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</si>
  <si>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</si>
  <si>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</si>
  <si>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</si>
  <si>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</si>
  <si>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</si>
  <si>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</si>
  <si>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</si>
  <si>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</si>
  <si>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</si>
  <si>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</si>
  <si>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</si>
  <si>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</si>
  <si>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</si>
  <si>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</si>
  <si>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</si>
  <si>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</si>
  <si>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</si>
  <si>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</si>
  <si>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</si>
  <si>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</si>
  <si>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</si>
  <si>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</si>
  <si>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</si>
  <si>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</si>
  <si>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</si>
  <si>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</si>
  <si>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</si>
  <si>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</si>
  <si>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</si>
  <si>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</si>
  <si>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</si>
  <si>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</si>
  <si>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</si>
  <si>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</si>
  <si>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</si>
  <si>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</si>
  <si>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</si>
  <si>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</si>
  <si>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</si>
  <si>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</si>
  <si>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</si>
  <si>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</si>
  <si>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</si>
  <si>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</si>
  <si>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</si>
  <si>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</si>
  <si>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</si>
  <si>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</si>
  <si>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</si>
  <si>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Fator de correção IGPM para julho de 2016</t>
  </si>
  <si>
    <t>Valor corrigido para julho de 2016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</si>
  <si>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</si>
  <si>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</si>
  <si>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</si>
  <si>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</si>
  <si>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</si>
  <si>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</si>
  <si>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</si>
  <si>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</si>
  <si>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</si>
  <si>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</si>
  <si>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</si>
  <si>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</si>
  <si>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</si>
  <si>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</si>
  <si>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</si>
  <si>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</si>
  <si>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</si>
  <si>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</si>
  <si>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</si>
  <si>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</si>
  <si>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</si>
  <si>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</si>
  <si>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</si>
  <si>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</si>
  <si>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</si>
  <si>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</si>
  <si>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</si>
  <si>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</si>
  <si>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</si>
  <si>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</si>
  <si>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</si>
  <si>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</si>
  <si>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</si>
  <si>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</si>
  <si>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</si>
  <si>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</si>
  <si>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</si>
  <si>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</si>
  <si>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</si>
  <si>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</si>
  <si>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</si>
  <si>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</si>
  <si>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</si>
  <si>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</si>
  <si>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</si>
  <si>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</si>
  <si>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</si>
  <si>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</si>
  <si>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</si>
  <si>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</si>
  <si>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</si>
  <si>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</si>
  <si>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</si>
  <si>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</si>
  <si>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</si>
  <si>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</si>
  <si>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</si>
  <si>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</si>
  <si>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</si>
  <si>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</si>
  <si>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</si>
  <si>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</si>
  <si>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</si>
  <si>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</si>
  <si>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</si>
  <si>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</si>
  <si>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</si>
  <si>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</si>
  <si>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</si>
  <si>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</si>
  <si>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</si>
  <si>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</si>
  <si>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</si>
  <si>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</si>
  <si>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</si>
  <si>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</si>
  <si>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</si>
  <si>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</si>
  <si>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</si>
  <si>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</si>
  <si>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</si>
  <si>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</si>
  <si>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</si>
  <si>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</si>
  <si>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</si>
  <si>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</si>
  <si>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</si>
  <si>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</si>
  <si>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</si>
  <si>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</si>
  <si>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</si>
  <si>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</si>
  <si>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</si>
  <si>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</si>
  <si>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</si>
  <si>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</si>
  <si>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</si>
  <si>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</si>
  <si>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</si>
  <si>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</si>
  <si>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</si>
  <si>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</si>
  <si>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</si>
  <si>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</si>
  <si>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</si>
  <si>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</si>
  <si>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</si>
  <si>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</si>
  <si>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</si>
  <si>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</si>
  <si>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</si>
  <si>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</si>
  <si>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</si>
  <si>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</si>
  <si>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</si>
  <si>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</si>
  <si>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</si>
  <si>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</si>
  <si>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</si>
  <si>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</si>
  <si>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</si>
  <si>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</si>
  <si>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</si>
  <si>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</si>
  <si>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</si>
  <si>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</si>
  <si>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</si>
  <si>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</si>
  <si>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</si>
  <si>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</si>
  <si>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</si>
  <si>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</si>
  <si>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</si>
  <si>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</si>
  <si>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</si>
  <si>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</si>
  <si>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</si>
  <si>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</si>
  <si>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</si>
  <si>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</si>
  <si>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</si>
  <si>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</si>
  <si>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</si>
  <si>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</si>
  <si>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</si>
  <si>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</si>
  <si>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</si>
  <si>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Ano 2016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</si>
  <si>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</si>
  <si>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</si>
  <si>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</si>
  <si>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</si>
  <si>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</si>
  <si>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</si>
  <si>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</si>
  <si>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</si>
  <si>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</si>
  <si>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</si>
  <si>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</si>
  <si>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</si>
  <si>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</si>
  <si>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</si>
  <si>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</si>
  <si>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 xml:space="preserve">Reajuste linear de 8,17% (ACT/2015 com vigência de 1º/05/2015 a 30/04/2016)   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</si>
  <si>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</si>
  <si>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</si>
  <si>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</si>
  <si>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</si>
  <si>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</si>
  <si>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</si>
  <si>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CC-3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</si>
  <si>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</si>
  <si>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</si>
  <si>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</si>
  <si>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</si>
  <si>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</si>
  <si>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</si>
  <si>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</si>
  <si>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</si>
  <si>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</si>
  <si>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</si>
  <si>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</si>
  <si>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</si>
  <si>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ANEXO II - TABELAS DE REMUNERAÇÃO DE CARGOS EM COMISSÃO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</si>
  <si>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</si>
  <si>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</si>
  <si>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</si>
  <si>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</si>
  <si>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</si>
  <si>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</si>
  <si>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</si>
  <si>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</si>
  <si>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</si>
  <si>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</si>
  <si>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</si>
  <si>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</si>
  <si>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</si>
  <si>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</si>
  <si>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</si>
  <si>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</si>
  <si>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</si>
  <si>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</si>
  <si>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</si>
  <si>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</si>
  <si>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</si>
  <si>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Total R$ </t>
  </si>
  <si>
    <t xml:space="preserve">Secretária de Superintendente Regional </t>
  </si>
  <si>
    <t>Contribuição a Entidade Fechada Previdência - 8%</t>
  </si>
  <si>
    <t xml:space="preserve">                             665.792.52</t>
  </si>
  <si>
    <t xml:space="preserve">Benefícios Assistênciais </t>
  </si>
  <si>
    <t xml:space="preserve">FC-7 </t>
  </si>
  <si>
    <t>Estimativa das Despesas relativa aos Benefícios Considerada Pela ANA Para o 1º Ano de Operação</t>
  </si>
  <si>
    <t xml:space="preserve">Chefe de Setor </t>
  </si>
  <si>
    <t>FC-6</t>
  </si>
  <si>
    <t xml:space="preserve">Chefe de Unidade de Produção e Pesquisa </t>
  </si>
  <si>
    <t>Chefe de Escritório de Apoio</t>
  </si>
  <si>
    <t>Fonte: àrea de Gestão de Pessoas da Codevasf.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</si>
  <si>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</si>
  <si>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</si>
  <si>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</si>
  <si>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</si>
  <si>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</si>
  <si>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Benefícios Pagos em 2015 - UG 195012  - Piaui - Teresina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</si>
  <si>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</si>
  <si>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</si>
  <si>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</si>
  <si>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</si>
  <si>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</si>
  <si>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ACT2015/2016 - Implantação do vale cultura e manteve o seguro de vida.</t>
  </si>
  <si>
    <t>Gerente</t>
  </si>
  <si>
    <t>Portaria MPOG nº 625</t>
  </si>
  <si>
    <t xml:space="preserve"> participação União         120,60</t>
  </si>
  <si>
    <t>Assistência Médica e Odontológica</t>
  </si>
  <si>
    <t>ACT 2015/2016</t>
  </si>
  <si>
    <t>Exames Períodicos</t>
  </si>
  <si>
    <t>FC-3</t>
  </si>
  <si>
    <t>Não integra o salário</t>
  </si>
  <si>
    <t>Auxílio Transporte</t>
  </si>
  <si>
    <t xml:space="preserve">Secretário Executivo </t>
  </si>
  <si>
    <t xml:space="preserve">FC-2 </t>
  </si>
  <si>
    <t>Assistência Pré-Escolar</t>
  </si>
  <si>
    <t>2% do valor recebido</t>
  </si>
  <si>
    <t>Auxílio -Alimentação</t>
  </si>
  <si>
    <t>Dependentes</t>
  </si>
  <si>
    <t>Titulares</t>
  </si>
  <si>
    <t xml:space="preserve">FC-1 </t>
  </si>
  <si>
    <t>Legislação</t>
  </si>
  <si>
    <t>Participação do Empregado</t>
  </si>
  <si>
    <t>Valor Per Capita (R$ 1,00)</t>
  </si>
  <si>
    <t>Posição: Março/2016</t>
  </si>
  <si>
    <t>ANEXO II - TABELAS FUNÇÕES DE CONFIANÇA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</si>
  <si>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</si>
  <si>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</si>
  <si>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</si>
  <si>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</si>
  <si>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</si>
  <si>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</si>
  <si>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</si>
  <si>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</si>
  <si>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</si>
  <si>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</si>
  <si>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</si>
  <si>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</si>
  <si>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</si>
  <si>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</si>
  <si>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</si>
  <si>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</si>
  <si>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</si>
  <si>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</si>
  <si>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 xml:space="preserve">2,352,39 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</si>
  <si>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</si>
  <si>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</si>
  <si>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</si>
  <si>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</si>
  <si>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</si>
  <si>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</si>
  <si>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</si>
  <si>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</si>
  <si>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</si>
  <si>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</si>
  <si>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</si>
  <si>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</si>
  <si>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</si>
  <si>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</si>
  <si>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</si>
  <si>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</si>
  <si>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</si>
  <si>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</si>
  <si>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</si>
  <si>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</si>
  <si>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</si>
  <si>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</si>
  <si>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</si>
  <si>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</si>
  <si>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</si>
  <si>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</si>
  <si>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</si>
  <si>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</si>
  <si>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</si>
  <si>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</si>
  <si>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</si>
  <si>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</si>
  <si>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</si>
  <si>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</si>
  <si>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</si>
  <si>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</si>
  <si>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</si>
  <si>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</si>
  <si>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</si>
  <si>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 xml:space="preserve">1,552,15 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</si>
  <si>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</si>
  <si>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</si>
  <si>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</si>
  <si>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</si>
  <si>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</si>
  <si>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</si>
  <si>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</si>
  <si>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</si>
  <si>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</si>
  <si>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</si>
  <si>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</si>
  <si>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</si>
  <si>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</si>
  <si>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</si>
  <si>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</si>
  <si>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</si>
  <si>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</si>
  <si>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</si>
  <si>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</si>
  <si>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</si>
  <si>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</si>
  <si>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</si>
  <si>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</si>
  <si>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</si>
  <si>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</si>
  <si>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</si>
  <si>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ANEXO II - TABELAS SALÁRIAIS</t>
  </si>
  <si>
    <t>Os Custos estimado pela ANA para as despesas de comunicação, água e eletricidade para o 1º ano de operação foram os propostos pela Codevasf</t>
  </si>
  <si>
    <t>* Fonte: Tesouro Gerencial:</t>
  </si>
  <si>
    <t>Saldo Atual - R$</t>
  </si>
  <si>
    <t>SERV.AGUA ESG.,ENER.ELE.,GAS E OUTR.-PJ-INTRA</t>
  </si>
  <si>
    <t>332320800</t>
  </si>
  <si>
    <t>SERVICOS COMUNICACAO, GRAFICO E AUDIOVISUAL</t>
  </si>
  <si>
    <t>332310300</t>
  </si>
  <si>
    <t xml:space="preserve">TOTAL 2015 </t>
  </si>
  <si>
    <t>Mês Lançamento</t>
  </si>
  <si>
    <t>Conta Contábil</t>
  </si>
  <si>
    <t>DESPESAS SERVIÇOS COM. AGUA.  195012 -2015</t>
  </si>
  <si>
    <t>A estimativa feita pela ANA para papelaria para o 1º ano de operação é de: R$ 22.202,40</t>
  </si>
  <si>
    <t>** Fonte: Tesouro Gerencial</t>
  </si>
  <si>
    <t>* A estimativa é a média  dos valores dos meses de janeiro a julho de 2016</t>
  </si>
  <si>
    <t>MATERIAL DE CONSUMO IMEDIATO</t>
  </si>
  <si>
    <t>331110900</t>
  </si>
  <si>
    <t>TOTAL jan-dez</t>
  </si>
  <si>
    <t xml:space="preserve"> Estimativa dez/16</t>
  </si>
  <si>
    <t xml:space="preserve"> Estimativa nov/16</t>
  </si>
  <si>
    <t xml:space="preserve"> Estimativa out/16</t>
  </si>
  <si>
    <t>DESPESAS MATERIAL DE CONSUMO - 195016-2016 - PISF</t>
  </si>
  <si>
    <t>u) serviços de conservação de equipamentos de processamento de dados, dentre outros.</t>
  </si>
  <si>
    <t xml:space="preserve">t) serviços de cópias e reprodução de documentos; </t>
  </si>
  <si>
    <t>s) limpeza e conservação;</t>
  </si>
  <si>
    <t>r) serviços domésticos;</t>
  </si>
  <si>
    <t>p) serviços de estacionamento de veículos;</t>
  </si>
  <si>
    <t>o)  manutenção e conservação de máquinas e equipamentos;</t>
  </si>
  <si>
    <t>n ) manutenção e conservação de bens imóveis;</t>
  </si>
  <si>
    <t>m) outras locações de mão de obra;</t>
  </si>
  <si>
    <t>l)  suporte a usuários de T.I;</t>
  </si>
  <si>
    <t>j) suporte de infraestrutura de T.I.;</t>
  </si>
  <si>
    <t>i) manutenção de software;</t>
  </si>
  <si>
    <t>h) apoio administrativo - menores - apredizes;</t>
  </si>
  <si>
    <t>g) serviços de brigada de incêndio;</t>
  </si>
  <si>
    <t>f)  manutenção e conservação de bens móveis;</t>
  </si>
  <si>
    <t>e) serviços de copa e cozinha;</t>
  </si>
  <si>
    <t>d) manutenção e conservação de bens imóveis;</t>
  </si>
  <si>
    <t>c) vigilância ostensiva;</t>
  </si>
  <si>
    <t>b) limpeza e conservação;</t>
  </si>
  <si>
    <t>a) apoio administrativo, técnico e operacional;</t>
  </si>
  <si>
    <t xml:space="preserve">1-  A conta serviços de apoio administrativo, técnico e operacional, envolve vários lançamentos contábeis, como:   </t>
  </si>
  <si>
    <t>Composição da Conta:</t>
  </si>
  <si>
    <t xml:space="preserve"> A estimativa considerou a progressão das despesas de julho até dezembro da UG 195012, aplicando- se o percentual de progressão de um mês para o outro no cálculo dos valores da UG 195016.    </t>
  </si>
  <si>
    <t>**  A Conta Serviços de Apoio ADM. Técnico e Operacional  foi utilizada para estima Custos Administrativos Terceirizados</t>
  </si>
  <si>
    <t>* Fonte: Tesouro Gerencial</t>
  </si>
  <si>
    <t>SERVICOS DE APOIO ADM, TECNICO E OPERACIONAL</t>
  </si>
  <si>
    <t>332310200</t>
  </si>
  <si>
    <t xml:space="preserve"> Estimativa set/16</t>
  </si>
  <si>
    <t xml:space="preserve"> Estimativa ago/16</t>
  </si>
  <si>
    <t>DESPESAS APOIO ADM .  195016-2016 - PISF</t>
  </si>
  <si>
    <t>TOTAL  2015</t>
  </si>
  <si>
    <t>DESPESAS APOIO ADM .  195012 - 2015</t>
  </si>
  <si>
    <t>Veículos e combustível</t>
  </si>
  <si>
    <t>Manutenção e limpeza predial</t>
  </si>
  <si>
    <t>Segurança Predial</t>
  </si>
  <si>
    <t>Exames periódicos</t>
  </si>
  <si>
    <t>Tecnologia da Informação</t>
  </si>
  <si>
    <t>Seguro Predial</t>
  </si>
  <si>
    <t>Escritórios e estacionamento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</si>
  <si>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</si>
  <si>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</si>
  <si>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</si>
  <si>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</si>
  <si>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</si>
  <si>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</si>
  <si>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Salários +Encargos</t>
  </si>
  <si>
    <t>Despesas Adm. Mão de Obra Própria</t>
  </si>
  <si>
    <t>Proposto Codevasf</t>
  </si>
  <si>
    <t>Adotado ANA</t>
  </si>
  <si>
    <t>Valor R$</t>
  </si>
  <si>
    <t xml:space="preserve">Despesas </t>
  </si>
  <si>
    <t>Resumo do valor considerado rozoável pela Ana para o 1º ano de operação</t>
  </si>
  <si>
    <t>_Ds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</si>
  <si>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</si>
  <si>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</si>
  <si>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</si>
  <si>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</si>
  <si>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</si>
  <si>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</si>
  <si>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</si>
  <si>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</si>
  <si>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</si>
  <si>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</si>
  <si>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</si>
  <si>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</si>
  <si>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</si>
  <si>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</si>
  <si>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</si>
  <si>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</si>
  <si>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>Serviços Bancários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</si>
  <si>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</si>
  <si>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</si>
  <si>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</si>
  <si>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</si>
  <si>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</si>
  <si>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</si>
  <si>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</si>
  <si>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</si>
  <si>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</si>
  <si>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</si>
  <si>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</si>
  <si>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</si>
  <si>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</si>
  <si>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</si>
  <si>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TUST (R$/KW)</t>
  </si>
  <si>
    <t>MUST (KW)</t>
  </si>
  <si>
    <t>EUST anual (R$)</t>
  </si>
  <si>
    <t>EC (R$)</t>
  </si>
  <si>
    <t>CCG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</si>
  <si>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</si>
  <si>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</si>
  <si>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</si>
  <si>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</si>
  <si>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</si>
  <si>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</si>
  <si>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</si>
  <si>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</si>
  <si>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</si>
  <si>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</si>
  <si>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</si>
  <si>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</si>
  <si>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Total custo fixo - conexão.</t>
  </si>
  <si>
    <t>Taxa Associativa ONS e CCEE (R$)</t>
  </si>
  <si>
    <t>Total custo fixo - serviços bancários e taxas associativas.</t>
  </si>
  <si>
    <t>Total custo fixo - demanda de energia elétrica.</t>
  </si>
  <si>
    <t>Custo total anual variável de energia elétrica - consumo, imposto e encargos.</t>
  </si>
  <si>
    <t>Custo total anual fixo de energia elétrica - demanda de potência, conexão, contratação de gestão da comercialização da energia elétrica, serviços bancários e taxas associativas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</si>
  <si>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</si>
  <si>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</si>
  <si>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</si>
  <si>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</si>
  <si>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</si>
  <si>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</si>
  <si>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</si>
  <si>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</si>
  <si>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</si>
  <si>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</si>
  <si>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Codevasf</t>
  </si>
  <si>
    <t>Impostos</t>
  </si>
  <si>
    <t>Total Receita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</si>
  <si>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</si>
  <si>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</si>
  <si>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</si>
  <si>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</si>
  <si>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</si>
  <si>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</si>
  <si>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</si>
  <si>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</si>
  <si>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</si>
  <si>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</si>
  <si>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</si>
  <si>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Sem PDD</t>
  </si>
  <si>
    <t>Com PDD</t>
  </si>
  <si>
    <t>Percentual</t>
  </si>
  <si>
    <t>PDD</t>
  </si>
  <si>
    <t>Receita Requerida Total</t>
  </si>
  <si>
    <t xml:space="preserve">Tarifa de Referência </t>
  </si>
  <si>
    <t>Disponibilidade</t>
  </si>
  <si>
    <t>Sem PDD  (R$/m³)</t>
  </si>
  <si>
    <t>Com PDD  (R$/m³)</t>
  </si>
  <si>
    <t>SABESP</t>
  </si>
  <si>
    <t xml:space="preserve">B1 - 20000cv - 1974  B2 - 20000cv - 1981   B3 - 20000cv - 1981   B4 - 20272cv - 1993 </t>
  </si>
  <si>
    <t>H</t>
  </si>
  <si>
    <t>Vol m3</t>
  </si>
  <si>
    <t>Vazão média m3/s</t>
  </si>
  <si>
    <t>kwh mês</t>
  </si>
  <si>
    <t>efic dec</t>
  </si>
  <si>
    <t>efic total cat</t>
  </si>
  <si>
    <t>efici calc</t>
  </si>
  <si>
    <t>CEN</t>
  </si>
  <si>
    <t>CAESB - testes 1998</t>
  </si>
  <si>
    <t>Vazão m3/s</t>
  </si>
  <si>
    <t>Pot kW</t>
  </si>
  <si>
    <t>B1 11000cv 1976</t>
  </si>
  <si>
    <t>B2 5500cv 1976</t>
  </si>
  <si>
    <t>B3 11000cv 1976</t>
  </si>
  <si>
    <t>Vazões outorga PISF m3/s</t>
  </si>
  <si>
    <t>m3/s</t>
  </si>
  <si>
    <t>B4 5500cv 1976</t>
  </si>
  <si>
    <t>B5 11000cv 1976</t>
  </si>
  <si>
    <t>CAESB - teste 2004</t>
  </si>
  <si>
    <t>B5 11000cv 2004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</si>
  <si>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</si>
  <si>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</si>
  <si>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</si>
  <si>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</si>
  <si>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</si>
  <si>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</si>
  <si>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</si>
  <si>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</si>
  <si>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</si>
  <si>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</si>
  <si>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</si>
  <si>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</si>
  <si>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</si>
  <si>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</si>
  <si>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</si>
  <si>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</si>
  <si>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</si>
  <si>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</si>
  <si>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</si>
  <si>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</si>
  <si>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</si>
  <si>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</si>
  <si>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</si>
  <si>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</si>
  <si>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</si>
  <si>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Potência máxima = Pot bombas + rendimento + perdas</t>
  </si>
  <si>
    <t>Considerando funcionamento pleno de todas as bombas</t>
  </si>
  <si>
    <t>e tranformadores auxiliares em plena carga</t>
  </si>
  <si>
    <t>Estação de Bombeamento</t>
  </si>
  <si>
    <t>Potência EB (kW)</t>
  </si>
  <si>
    <t>I (A)</t>
  </si>
  <si>
    <t>Km rede 230 kV</t>
  </si>
  <si>
    <t>Ohm.km CAA 636 MCM</t>
  </si>
  <si>
    <t>Potência média perdida rede 230 KV (kW)</t>
  </si>
  <si>
    <t>Km rede 13,8 kV</t>
  </si>
  <si>
    <t>Ohm.km 1/0</t>
  </si>
  <si>
    <t>Potência média perdida rede 13,8 KV (kW)</t>
  </si>
  <si>
    <t>Potência média total perdida (kW)</t>
  </si>
  <si>
    <t>Poténcia média total perdida (%)</t>
  </si>
  <si>
    <t>Tucutu</t>
  </si>
  <si>
    <t>Terra Nova</t>
  </si>
  <si>
    <t>Mangueira</t>
  </si>
  <si>
    <t>SUBTOTAL</t>
  </si>
  <si>
    <t>Areias</t>
  </si>
  <si>
    <t>Braúnas</t>
  </si>
  <si>
    <t>Mandantes</t>
  </si>
  <si>
    <t>Cacimba Nova</t>
  </si>
  <si>
    <t>Moxotó</t>
  </si>
  <si>
    <t>Campos</t>
  </si>
  <si>
    <t>Eficiência conjunto moto-bomba</t>
  </si>
  <si>
    <t>Vazão bombeada (m³/s)</t>
  </si>
  <si>
    <t>Volume mensal (m³)</t>
  </si>
  <si>
    <t>Consumo mensal (MWh)</t>
  </si>
  <si>
    <t>Consumo anual (MWh)</t>
  </si>
  <si>
    <t>Serviços auxiliares</t>
  </si>
  <si>
    <t>Cenário de Referência</t>
  </si>
  <si>
    <t>Cenário de Referência e Rendimentos</t>
  </si>
  <si>
    <t>Perdas</t>
  </si>
  <si>
    <t>_</t>
  </si>
  <si>
    <t>Custo Fixo</t>
  </si>
  <si>
    <t>Calculo 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</si>
</sst>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_ ;\-0\ "/>
    <numFmt numFmtId="167" formatCode="0.000"/>
    <numFmt numFmtId="168" formatCode="0_)"/>
    <numFmt numFmtId="169" formatCode="#,##0.00_ ;[Red]\-#,##0.00\ "/>
    <numFmt numFmtId="170" formatCode="#,##0.00;\(#,##0.00\)"/>
    <numFmt numFmtId="171" formatCode="&quot;R$&quot;\ #,##0.00"/>
    <numFmt numFmtId="172" formatCode="_-* #,##0.000_-;\-* #,##0.000_-;_-* &quot;-&quot;??_-;_-@_-"/>
    <numFmt numFmtId="173" formatCode="_-* #,##0.00000_-;\-* #,##0.00000_-;_-* &quot;-&quot;??_-;_-@_-"/>
    <numFmt numFmtId="174" formatCode="_-* #,##0.000000_-;\-* #,##0.000000_-;_-* &quot;-&quot;??_-;_-@_-"/>
    <numFmt numFmtId="175" formatCode="0.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8"/>
      <color rgb="FF000000"/>
      <name val="Verdana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8"/>
      <color rgb="FF000000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7" fillId="0" borderId="0"/>
    <xf numFmtId="0" fontId="27" fillId="0" borderId="0"/>
    <xf numFmtId="0" fontId="55" fillId="0" borderId="0" applyNumberFormat="0" applyFill="0" applyBorder="0" applyAlignment="0" applyProtection="0"/>
  </cellStyleXfs>
  <cellXfs count="884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 applyBorder="1"/>
    <xf numFmtId="0" fontId="0" fillId="0" borderId="1" xfId="0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Fill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Border="1" applyAlignment="1">
      <alignment horizontal="center"/>
    </xf>
    <xf numFmtId="43" fontId="0" fillId="11" borderId="1" xfId="1" applyFont="1" applyFill="1" applyBorder="1"/>
    <xf numFmtId="43" fontId="2" fillId="10" borderId="1" xfId="0" applyNumberFormat="1" applyFont="1" applyFill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44" fontId="0" fillId="0" borderId="23" xfId="0" applyNumberFormat="1" applyBorder="1"/>
    <xf numFmtId="0" fontId="0" fillId="0" borderId="24" xfId="0" applyBorder="1"/>
    <xf numFmtId="4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0" fontId="0" fillId="0" borderId="0" xfId="0" applyFill="1" applyBorder="1"/>
    <xf numFmtId="44" fontId="0" fillId="0" borderId="0" xfId="0" applyNumberFormat="1"/>
    <xf numFmtId="10" fontId="0" fillId="0" borderId="0" xfId="0" applyNumberFormat="1"/>
    <xf numFmtId="4" fontId="10" fillId="0" borderId="28" xfId="0" applyNumberFormat="1" applyFont="1" applyBorder="1" applyAlignment="1">
      <alignment horizontal="right" vertical="center" wrapText="1"/>
    </xf>
    <xf numFmtId="4" fontId="11" fillId="0" borderId="28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0" fontId="14" fillId="0" borderId="0" xfId="0" applyFont="1"/>
    <xf numFmtId="10" fontId="0" fillId="0" borderId="0" xfId="0" applyNumberFormat="1" applyBorder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0" fillId="0" borderId="30" xfId="0" applyFill="1" applyBorder="1"/>
    <xf numFmtId="4" fontId="16" fillId="0" borderId="31" xfId="0" applyNumberFormat="1" applyFont="1" applyFill="1" applyBorder="1" applyAlignment="1">
      <alignment horizontal="right" vertical="center" wrapText="1"/>
    </xf>
    <xf numFmtId="4" fontId="19" fillId="13" borderId="30" xfId="0" applyNumberFormat="1" applyFont="1" applyFill="1" applyBorder="1"/>
    <xf numFmtId="4" fontId="20" fillId="12" borderId="31" xfId="0" applyNumberFormat="1" applyFont="1" applyFill="1" applyBorder="1" applyAlignment="1">
      <alignment horizontal="right" vertical="center" wrapText="1"/>
    </xf>
    <xf numFmtId="2" fontId="15" fillId="0" borderId="30" xfId="0" applyNumberFormat="1" applyFont="1" applyFill="1" applyBorder="1"/>
    <xf numFmtId="0" fontId="15" fillId="0" borderId="30" xfId="0" applyFont="1" applyFill="1" applyBorder="1"/>
    <xf numFmtId="4" fontId="20" fillId="0" borderId="31" xfId="0" applyNumberFormat="1" applyFont="1" applyFill="1" applyBorder="1" applyAlignment="1">
      <alignment horizontal="right" vertical="center" wrapText="1"/>
    </xf>
    <xf numFmtId="4" fontId="22" fillId="0" borderId="31" xfId="0" applyNumberFormat="1" applyFont="1" applyFill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/>
    </xf>
    <xf numFmtId="0" fontId="3" fillId="0" borderId="30" xfId="0" applyFont="1" applyFill="1" applyBorder="1"/>
    <xf numFmtId="4" fontId="20" fillId="13" borderId="31" xfId="0" applyNumberFormat="1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horizontal="center" vertical="center" wrapText="1"/>
    </xf>
    <xf numFmtId="4" fontId="16" fillId="0" borderId="4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" fontId="21" fillId="12" borderId="41" xfId="0" applyNumberFormat="1" applyFont="1" applyFill="1" applyBorder="1" applyAlignment="1">
      <alignment horizontal="right" vertical="center" wrapText="1"/>
    </xf>
    <xf numFmtId="4" fontId="22" fillId="0" borderId="41" xfId="0" applyNumberFormat="1" applyFont="1" applyFill="1" applyBorder="1" applyAlignment="1">
      <alignment horizontal="right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center" vertical="center" wrapText="1"/>
    </xf>
    <xf numFmtId="4" fontId="24" fillId="0" borderId="41" xfId="0" applyNumberFormat="1" applyFont="1" applyFill="1" applyBorder="1" applyAlignment="1">
      <alignment horizontal="right" vertical="center" wrapText="1"/>
    </xf>
    <xf numFmtId="0" fontId="19" fillId="0" borderId="30" xfId="0" applyFont="1" applyFill="1" applyBorder="1"/>
    <xf numFmtId="0" fontId="19" fillId="0" borderId="30" xfId="0" applyFont="1" applyFill="1" applyBorder="1" applyAlignment="1">
      <alignment horizontal="center"/>
    </xf>
    <xf numFmtId="4" fontId="21" fillId="13" borderId="41" xfId="0" applyNumberFormat="1" applyFont="1" applyFill="1" applyBorder="1" applyAlignment="1">
      <alignment horizontal="right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4" fontId="21" fillId="13" borderId="31" xfId="0" applyNumberFormat="1" applyFont="1" applyFill="1" applyBorder="1" applyAlignment="1">
      <alignment horizontal="right" vertical="center" wrapText="1"/>
    </xf>
    <xf numFmtId="2" fontId="21" fillId="0" borderId="3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22" fillId="0" borderId="31" xfId="0" applyNumberFormat="1" applyFont="1" applyFill="1" applyBorder="1" applyAlignment="1">
      <alignment horizontal="right" vertical="center" wrapText="1"/>
    </xf>
    <xf numFmtId="0" fontId="21" fillId="13" borderId="32" xfId="0" applyFont="1" applyFill="1" applyBorder="1" applyAlignment="1">
      <alignment horizontal="center" vertical="center" wrapText="1"/>
    </xf>
    <xf numFmtId="43" fontId="0" fillId="0" borderId="0" xfId="0" applyNumberFormat="1" applyFill="1"/>
    <xf numFmtId="4" fontId="0" fillId="0" borderId="0" xfId="0" applyNumberFormat="1" applyFill="1"/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6" fillId="0" borderId="0" xfId="3" applyFont="1" applyFill="1"/>
    <xf numFmtId="4" fontId="0" fillId="13" borderId="9" xfId="0" applyNumberFormat="1" applyFill="1" applyBorder="1"/>
    <xf numFmtId="0" fontId="4" fillId="0" borderId="8" xfId="0" applyFont="1" applyFill="1" applyBorder="1"/>
    <xf numFmtId="0" fontId="0" fillId="0" borderId="0" xfId="0" applyFill="1" applyAlignment="1">
      <alignment horizont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2" fontId="20" fillId="0" borderId="30" xfId="0" applyNumberFormat="1" applyFont="1" applyFill="1" applyBorder="1"/>
    <xf numFmtId="165" fontId="22" fillId="0" borderId="31" xfId="1" applyNumberFormat="1" applyFont="1" applyFill="1" applyBorder="1" applyAlignment="1">
      <alignment horizontal="center" vertical="center" wrapText="1"/>
    </xf>
    <xf numFmtId="166" fontId="22" fillId="0" borderId="31" xfId="1" applyNumberFormat="1" applyFont="1" applyFill="1" applyBorder="1" applyAlignment="1">
      <alignment horizontal="center" vertical="center" wrapText="1"/>
    </xf>
    <xf numFmtId="4" fontId="16" fillId="3" borderId="31" xfId="0" applyNumberFormat="1" applyFont="1" applyFill="1" applyBorder="1" applyAlignment="1">
      <alignment horizontal="right" vertical="center" wrapText="1"/>
    </xf>
    <xf numFmtId="4" fontId="23" fillId="13" borderId="30" xfId="0" applyNumberFormat="1" applyFont="1" applyFill="1" applyBorder="1"/>
    <xf numFmtId="43" fontId="23" fillId="12" borderId="31" xfId="1" applyFont="1" applyFill="1" applyBorder="1" applyAlignment="1">
      <alignment horizontal="right" vertical="center" wrapText="1"/>
    </xf>
    <xf numFmtId="4" fontId="20" fillId="0" borderId="30" xfId="0" applyNumberFormat="1" applyFont="1" applyFill="1" applyBorder="1"/>
    <xf numFmtId="43" fontId="22" fillId="0" borderId="31" xfId="1" applyFont="1" applyFill="1" applyBorder="1" applyAlignment="1">
      <alignment horizontal="right" vertical="center" wrapText="1"/>
    </xf>
    <xf numFmtId="43" fontId="20" fillId="0" borderId="31" xfId="1" applyFont="1" applyFill="1" applyBorder="1" applyAlignment="1">
      <alignment horizontal="right" vertical="center" wrapText="1"/>
    </xf>
    <xf numFmtId="0" fontId="20" fillId="0" borderId="31" xfId="4" applyFont="1" applyFill="1" applyBorder="1" applyAlignment="1">
      <alignment horizontal="center" vertical="center" wrapText="1"/>
    </xf>
    <xf numFmtId="0" fontId="20" fillId="0" borderId="31" xfId="4" applyFont="1" applyFill="1" applyBorder="1" applyAlignment="1">
      <alignment horizontal="left" vertical="center" wrapText="1"/>
    </xf>
    <xf numFmtId="0" fontId="23" fillId="0" borderId="37" xfId="4" applyFont="1" applyFill="1" applyBorder="1" applyAlignment="1">
      <alignment horizontal="center" vertical="center" wrapText="1"/>
    </xf>
    <xf numFmtId="10" fontId="0" fillId="3" borderId="0" xfId="0" applyNumberFormat="1" applyFill="1"/>
    <xf numFmtId="0" fontId="22" fillId="0" borderId="31" xfId="4" applyFont="1" applyFill="1" applyBorder="1" applyAlignment="1">
      <alignment horizontal="center" vertical="center" wrapText="1"/>
    </xf>
    <xf numFmtId="0" fontId="22" fillId="0" borderId="31" xfId="4" applyFont="1" applyFill="1" applyBorder="1" applyAlignment="1">
      <alignment horizontal="left" vertical="center" wrapText="1"/>
    </xf>
    <xf numFmtId="43" fontId="23" fillId="13" borderId="31" xfId="1" applyFont="1" applyFill="1" applyBorder="1" applyAlignment="1">
      <alignment horizontal="right" vertical="center" wrapText="1"/>
    </xf>
    <xf numFmtId="4" fontId="20" fillId="3" borderId="31" xfId="0" applyNumberFormat="1" applyFont="1" applyFill="1" applyBorder="1" applyAlignment="1">
      <alignment horizontal="center" vertical="center" wrapText="1"/>
    </xf>
    <xf numFmtId="2" fontId="20" fillId="3" borderId="31" xfId="0" applyNumberFormat="1" applyFont="1" applyFill="1" applyBorder="1" applyAlignment="1">
      <alignment horizontal="center" vertical="center" wrapText="1"/>
    </xf>
    <xf numFmtId="4" fontId="20" fillId="3" borderId="15" xfId="0" applyNumberFormat="1" applyFont="1" applyFill="1" applyBorder="1" applyAlignment="1">
      <alignment horizontal="center" vertical="center" wrapText="1"/>
    </xf>
    <xf numFmtId="2" fontId="20" fillId="3" borderId="15" xfId="0" applyNumberFormat="1" applyFont="1" applyFill="1" applyBorder="1" applyAlignment="1">
      <alignment horizontal="center" vertical="center" wrapText="1"/>
    </xf>
    <xf numFmtId="43" fontId="23" fillId="12" borderId="41" xfId="1" applyFont="1" applyFill="1" applyBorder="1" applyAlignment="1">
      <alignment horizontal="right" vertical="center" wrapText="1"/>
    </xf>
    <xf numFmtId="165" fontId="22" fillId="0" borderId="15" xfId="1" applyNumberFormat="1" applyFont="1" applyFill="1" applyBorder="1" applyAlignment="1">
      <alignment vertical="center" wrapText="1"/>
    </xf>
    <xf numFmtId="166" fontId="22" fillId="0" borderId="15" xfId="1" applyNumberFormat="1" applyFont="1" applyFill="1" applyBorder="1" applyAlignment="1">
      <alignment horizontal="center" vertical="center" wrapText="1"/>
    </xf>
    <xf numFmtId="165" fontId="22" fillId="0" borderId="31" xfId="1" applyNumberFormat="1" applyFont="1" applyFill="1" applyBorder="1" applyAlignment="1">
      <alignment vertical="center" wrapText="1"/>
    </xf>
    <xf numFmtId="43" fontId="20" fillId="0" borderId="41" xfId="1" applyFont="1" applyFill="1" applyBorder="1" applyAlignment="1">
      <alignment horizontal="right" vertical="center" wrapText="1"/>
    </xf>
    <xf numFmtId="4" fontId="20" fillId="3" borderId="41" xfId="0" applyNumberFormat="1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 vertical="center" wrapText="1"/>
    </xf>
    <xf numFmtId="4" fontId="27" fillId="3" borderId="0" xfId="0" applyNumberFormat="1" applyFont="1" applyFill="1" applyAlignment="1">
      <alignment horizontal="center"/>
    </xf>
    <xf numFmtId="0" fontId="3" fillId="3" borderId="0" xfId="0" applyFont="1" applyFill="1"/>
    <xf numFmtId="2" fontId="30" fillId="0" borderId="1" xfId="0" applyNumberFormat="1" applyFont="1" applyBorder="1"/>
    <xf numFmtId="2" fontId="30" fillId="0" borderId="6" xfId="0" applyNumberFormat="1" applyFon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30" fillId="0" borderId="0" xfId="0" applyNumberFormat="1" applyFont="1" applyAlignment="1"/>
    <xf numFmtId="0" fontId="30" fillId="0" borderId="0" xfId="0" applyFont="1"/>
    <xf numFmtId="4" fontId="30" fillId="0" borderId="1" xfId="0" applyNumberFormat="1" applyFont="1" applyBorder="1" applyAlignment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0" fillId="0" borderId="31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4" fillId="0" borderId="31" xfId="0" applyNumberFormat="1" applyFont="1" applyFill="1" applyBorder="1" applyAlignment="1">
      <alignment horizontal="right" vertical="center" wrapText="1"/>
    </xf>
    <xf numFmtId="4" fontId="24" fillId="2" borderId="31" xfId="0" applyNumberFormat="1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32" fillId="0" borderId="0" xfId="0" applyFont="1"/>
    <xf numFmtId="4" fontId="0" fillId="8" borderId="14" xfId="0" applyNumberFormat="1" applyFill="1" applyBorder="1"/>
    <xf numFmtId="0" fontId="0" fillId="8" borderId="13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167" fontId="0" fillId="9" borderId="14" xfId="0" applyNumberFormat="1" applyFill="1" applyBorder="1"/>
    <xf numFmtId="0" fontId="0" fillId="9" borderId="13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4" fillId="12" borderId="0" xfId="0" applyNumberFormat="1" applyFont="1" applyFill="1" applyAlignment="1">
      <alignment horizontal="center"/>
    </xf>
    <xf numFmtId="0" fontId="3" fillId="12" borderId="0" xfId="0" applyNumberFormat="1" applyFont="1" applyFill="1" applyAlignment="1">
      <alignment wrapText="1"/>
    </xf>
    <xf numFmtId="4" fontId="0" fillId="5" borderId="20" xfId="0" applyNumberFormat="1" applyFill="1" applyBorder="1"/>
    <xf numFmtId="4" fontId="0" fillId="5" borderId="21" xfId="0" applyNumberFormat="1" applyFill="1" applyBorder="1"/>
    <xf numFmtId="43" fontId="0" fillId="0" borderId="21" xfId="0" applyNumberFormat="1" applyBorder="1"/>
    <xf numFmtId="0" fontId="0" fillId="0" borderId="23" xfId="0" applyBorder="1" applyAlignment="1">
      <alignment horizontal="center"/>
    </xf>
    <xf numFmtId="165" fontId="0" fillId="0" borderId="0" xfId="0" applyNumberForma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8" borderId="27" xfId="0" applyFill="1" applyBorder="1"/>
    <xf numFmtId="0" fontId="0" fillId="0" borderId="20" xfId="0" applyBorder="1"/>
    <xf numFmtId="9" fontId="0" fillId="0" borderId="0" xfId="0" applyNumberFormat="1" applyBorder="1"/>
    <xf numFmtId="4" fontId="0" fillId="5" borderId="23" xfId="0" applyNumberFormat="1" applyFill="1" applyBorder="1"/>
    <xf numFmtId="4" fontId="0" fillId="5" borderId="0" xfId="0" applyNumberFormat="1" applyFill="1" applyBorder="1"/>
    <xf numFmtId="43" fontId="0" fillId="0" borderId="0" xfId="0" applyNumberFormat="1" applyFill="1" applyBorder="1"/>
    <xf numFmtId="0" fontId="0" fillId="0" borderId="24" xfId="0" applyFill="1" applyBorder="1"/>
    <xf numFmtId="43" fontId="0" fillId="0" borderId="0" xfId="0" applyNumberFormat="1" applyBorder="1"/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5" xfId="0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0" fontId="0" fillId="3" borderId="0" xfId="0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9" fontId="3" fillId="0" borderId="0" xfId="0" applyNumberFormat="1" applyFont="1" applyFill="1" applyBorder="1"/>
    <xf numFmtId="0" fontId="4" fillId="3" borderId="0" xfId="0" applyFont="1" applyFill="1" applyBorder="1"/>
    <xf numFmtId="0" fontId="1" fillId="0" borderId="0" xfId="5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9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1" fontId="0" fillId="0" borderId="0" xfId="0" applyNumberFormat="1" applyFill="1" applyBorder="1"/>
    <xf numFmtId="4" fontId="0" fillId="0" borderId="7" xfId="0" applyNumberFormat="1" applyBorder="1"/>
    <xf numFmtId="0" fontId="0" fillId="9" borderId="14" xfId="0" applyFill="1" applyBorder="1"/>
    <xf numFmtId="4" fontId="0" fillId="5" borderId="0" xfId="0" applyNumberForma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27" fillId="0" borderId="0" xfId="0" applyFont="1"/>
    <xf numFmtId="43" fontId="27" fillId="0" borderId="1" xfId="0" applyNumberFormat="1" applyFont="1" applyBorder="1"/>
    <xf numFmtId="0" fontId="27" fillId="0" borderId="1" xfId="0" applyFont="1" applyBorder="1"/>
    <xf numFmtId="43" fontId="0" fillId="0" borderId="1" xfId="0" applyNumberFormat="1" applyFont="1" applyBorder="1"/>
    <xf numFmtId="14" fontId="0" fillId="0" borderId="1" xfId="0" applyNumberFormat="1" applyFont="1" applyBorder="1"/>
    <xf numFmtId="49" fontId="33" fillId="0" borderId="5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/>
    </xf>
    <xf numFmtId="4" fontId="23" fillId="0" borderId="50" xfId="6" applyNumberFormat="1" applyFont="1" applyBorder="1" applyAlignment="1">
      <alignment horizontal="right" vertical="center"/>
    </xf>
    <xf numFmtId="0" fontId="23" fillId="15" borderId="50" xfId="6" applyFont="1" applyFill="1" applyBorder="1" applyAlignment="1">
      <alignment horizontal="right" vertical="center"/>
    </xf>
    <xf numFmtId="4" fontId="20" fillId="0" borderId="12" xfId="6" applyNumberFormat="1" applyFont="1" applyBorder="1" applyAlignment="1">
      <alignment horizontal="right" vertical="center"/>
    </xf>
    <xf numFmtId="4" fontId="34" fillId="0" borderId="12" xfId="6" applyNumberFormat="1" applyFont="1" applyBorder="1" applyAlignment="1">
      <alignment horizontal="right" vertical="center"/>
    </xf>
    <xf numFmtId="1" fontId="34" fillId="0" borderId="12" xfId="6" applyNumberFormat="1" applyFont="1" applyBorder="1" applyAlignment="1">
      <alignment horizontal="center" vertical="center"/>
    </xf>
    <xf numFmtId="39" fontId="35" fillId="0" borderId="12" xfId="0" applyNumberFormat="1" applyFont="1" applyBorder="1" applyAlignment="1" applyProtection="1">
      <alignment horizontal="center" vertical="center"/>
      <protection locked="0"/>
    </xf>
    <xf numFmtId="49" fontId="34" fillId="0" borderId="12" xfId="6" applyNumberFormat="1" applyFont="1" applyBorder="1" applyAlignment="1">
      <alignment horizontal="left" vertical="center"/>
    </xf>
    <xf numFmtId="49" fontId="34" fillId="0" borderId="54" xfId="6" applyNumberFormat="1" applyFont="1" applyBorder="1" applyAlignment="1">
      <alignment horizontal="left" vertical="center"/>
    </xf>
    <xf numFmtId="4" fontId="20" fillId="0" borderId="55" xfId="6" applyNumberFormat="1" applyFont="1" applyBorder="1" applyAlignment="1">
      <alignment horizontal="right" vertical="center"/>
    </xf>
    <xf numFmtId="1" fontId="20" fillId="0" borderId="55" xfId="6" applyNumberFormat="1" applyFont="1" applyBorder="1" applyAlignment="1">
      <alignment horizontal="center" vertical="center"/>
    </xf>
    <xf numFmtId="39" fontId="20" fillId="0" borderId="55" xfId="0" applyNumberFormat="1" applyFont="1" applyBorder="1" applyAlignment="1" applyProtection="1">
      <alignment horizontal="center" vertical="center"/>
      <protection locked="0"/>
    </xf>
    <xf numFmtId="4" fontId="20" fillId="0" borderId="1" xfId="6" applyNumberFormat="1" applyFont="1" applyBorder="1" applyAlignment="1">
      <alignment horizontal="righ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 wrapText="1"/>
    </xf>
    <xf numFmtId="1" fontId="20" fillId="0" borderId="1" xfId="6" applyNumberFormat="1" applyFont="1" applyBorder="1" applyAlignment="1">
      <alignment horizontal="center" vertical="center"/>
    </xf>
    <xf numFmtId="39" fontId="20" fillId="0" borderId="60" xfId="0" applyNumberFormat="1" applyFont="1" applyBorder="1" applyAlignment="1" applyProtection="1">
      <alignment horizontal="center" vertical="center"/>
      <protection locked="0"/>
    </xf>
    <xf numFmtId="39" fontId="20" fillId="0" borderId="1" xfId="0" applyNumberFormat="1" applyFont="1" applyBorder="1" applyAlignment="1" applyProtection="1">
      <alignment horizontal="center" vertical="center"/>
      <protection locked="0"/>
    </xf>
    <xf numFmtId="4" fontId="20" fillId="16" borderId="66" xfId="6" applyNumberFormat="1" applyFont="1" applyFill="1" applyBorder="1" applyAlignment="1">
      <alignment horizontal="right" vertical="center"/>
    </xf>
    <xf numFmtId="4" fontId="34" fillId="16" borderId="66" xfId="6" applyNumberFormat="1" applyFont="1" applyFill="1" applyBorder="1" applyAlignment="1">
      <alignment horizontal="right" vertical="center"/>
    </xf>
    <xf numFmtId="1" fontId="20" fillId="16" borderId="66" xfId="6" applyNumberFormat="1" applyFont="1" applyFill="1" applyBorder="1" applyAlignment="1">
      <alignment horizontal="center" vertical="center"/>
    </xf>
    <xf numFmtId="39" fontId="20" fillId="16" borderId="66" xfId="0" applyNumberFormat="1" applyFont="1" applyFill="1" applyBorder="1" applyAlignment="1" applyProtection="1">
      <alignment horizontal="center" vertical="center"/>
      <protection locked="0"/>
    </xf>
    <xf numFmtId="49" fontId="20" fillId="16" borderId="66" xfId="6" applyNumberFormat="1" applyFont="1" applyFill="1" applyBorder="1" applyAlignment="1">
      <alignment horizontal="left" vertical="center"/>
    </xf>
    <xf numFmtId="49" fontId="20" fillId="16" borderId="67" xfId="6" applyNumberFormat="1" applyFont="1" applyFill="1" applyBorder="1" applyAlignment="1">
      <alignment horizontal="left" vertical="center"/>
    </xf>
    <xf numFmtId="4" fontId="23" fillId="0" borderId="68" xfId="6" applyNumberFormat="1" applyFont="1" applyBorder="1" applyAlignment="1">
      <alignment horizontal="right" vertical="center"/>
    </xf>
    <xf numFmtId="0" fontId="23" fillId="15" borderId="68" xfId="6" applyFont="1" applyFill="1" applyBorder="1" applyAlignment="1">
      <alignment horizontal="right" vertical="center"/>
    </xf>
    <xf numFmtId="4" fontId="20" fillId="0" borderId="71" xfId="6" applyNumberFormat="1" applyFont="1" applyBorder="1" applyAlignment="1">
      <alignment horizontal="right" vertical="center"/>
    </xf>
    <xf numFmtId="1" fontId="20" fillId="0" borderId="71" xfId="6" applyNumberFormat="1" applyFont="1" applyBorder="1" applyAlignment="1">
      <alignment horizontal="center" vertical="center"/>
    </xf>
    <xf numFmtId="39" fontId="35" fillId="0" borderId="71" xfId="0" applyNumberFormat="1" applyFont="1" applyBorder="1" applyAlignment="1" applyProtection="1">
      <alignment horizontal="center" vertical="center"/>
      <protection locked="0"/>
    </xf>
    <xf numFmtId="4" fontId="20" fillId="0" borderId="75" xfId="6" applyNumberFormat="1" applyFont="1" applyBorder="1" applyAlignment="1">
      <alignment horizontal="right" vertical="center"/>
    </xf>
    <xf numFmtId="1" fontId="20" fillId="0" borderId="75" xfId="6" applyNumberFormat="1" applyFont="1" applyBorder="1" applyAlignment="1">
      <alignment horizontal="center" vertical="center"/>
    </xf>
    <xf numFmtId="39" fontId="20" fillId="0" borderId="75" xfId="0" applyNumberFormat="1" applyFont="1" applyBorder="1" applyAlignment="1" applyProtection="1">
      <alignment horizontal="center" vertical="center"/>
      <protection locked="0"/>
    </xf>
    <xf numFmtId="4" fontId="20" fillId="0" borderId="60" xfId="6" applyNumberFormat="1" applyFont="1" applyBorder="1" applyAlignment="1">
      <alignment horizontal="right" vertical="center"/>
    </xf>
    <xf numFmtId="1" fontId="20" fillId="0" borderId="60" xfId="6" applyNumberFormat="1" applyFont="1" applyBorder="1" applyAlignment="1">
      <alignment horizontal="center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39" fontId="35" fillId="0" borderId="60" xfId="0" applyNumberFormat="1" applyFont="1" applyBorder="1" applyAlignment="1" applyProtection="1">
      <alignment horizontal="center" vertical="center"/>
      <protection locked="0"/>
    </xf>
    <xf numFmtId="4" fontId="20" fillId="0" borderId="60" xfId="6" applyNumberFormat="1" applyFont="1" applyFill="1" applyBorder="1" applyAlignment="1">
      <alignment horizontal="right" vertical="center"/>
    </xf>
    <xf numFmtId="4" fontId="23" fillId="0" borderId="80" xfId="6" applyNumberFormat="1" applyFont="1" applyBorder="1" applyAlignment="1">
      <alignment horizontal="right" vertical="center"/>
    </xf>
    <xf numFmtId="0" fontId="23" fillId="15" borderId="80" xfId="6" applyFont="1" applyFill="1" applyBorder="1" applyAlignment="1">
      <alignment horizontal="right" vertical="center"/>
    </xf>
    <xf numFmtId="39" fontId="35" fillId="0" borderId="75" xfId="0" applyNumberFormat="1" applyFont="1" applyBorder="1" applyAlignment="1" applyProtection="1">
      <alignment horizontal="center" vertical="center"/>
      <protection locked="0"/>
    </xf>
    <xf numFmtId="1" fontId="20" fillId="0" borderId="56" xfId="0" applyNumberFormat="1" applyFont="1" applyBorder="1" applyAlignment="1">
      <alignment horizontal="center" vertical="center"/>
    </xf>
    <xf numFmtId="3" fontId="20" fillId="0" borderId="60" xfId="0" applyNumberFormat="1" applyFont="1" applyBorder="1" applyAlignment="1" applyProtection="1">
      <alignment horizontal="center" vertical="center"/>
      <protection locked="0"/>
    </xf>
    <xf numFmtId="1" fontId="20" fillId="0" borderId="83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 applyProtection="1">
      <alignment horizontal="center" vertical="center"/>
      <protection locked="0"/>
    </xf>
    <xf numFmtId="49" fontId="20" fillId="0" borderId="76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" fontId="20" fillId="17" borderId="60" xfId="6" applyNumberFormat="1" applyFont="1" applyFill="1" applyBorder="1" applyAlignment="1">
      <alignment horizontal="right" vertical="center"/>
    </xf>
    <xf numFmtId="49" fontId="34" fillId="0" borderId="57" xfId="6" applyNumberFormat="1" applyFont="1" applyBorder="1" applyAlignment="1">
      <alignment horizontal="left" vertical="center"/>
    </xf>
    <xf numFmtId="4" fontId="20" fillId="0" borderId="78" xfId="6" applyNumberFormat="1" applyFont="1" applyBorder="1" applyAlignment="1">
      <alignment horizontal="right" vertical="center"/>
    </xf>
    <xf numFmtId="0" fontId="20" fillId="16" borderId="55" xfId="6" applyFont="1" applyFill="1" applyBorder="1" applyAlignment="1">
      <alignment horizontal="center" vertical="center" wrapText="1"/>
    </xf>
    <xf numFmtId="0" fontId="20" fillId="0" borderId="55" xfId="6" applyFont="1" applyBorder="1" applyAlignment="1">
      <alignment horizontal="center" vertical="center" wrapText="1"/>
    </xf>
    <xf numFmtId="0" fontId="20" fillId="0" borderId="56" xfId="6" applyFont="1" applyBorder="1" applyAlignment="1">
      <alignment horizontal="center" vertical="center"/>
    </xf>
    <xf numFmtId="0" fontId="20" fillId="0" borderId="60" xfId="6" applyFont="1" applyBorder="1" applyAlignment="1">
      <alignment horizontal="center" vertical="center"/>
    </xf>
    <xf numFmtId="0" fontId="36" fillId="0" borderId="56" xfId="6" applyFont="1" applyBorder="1" applyAlignment="1">
      <alignment horizontal="center" vertical="center"/>
    </xf>
    <xf numFmtId="0" fontId="36" fillId="0" borderId="60" xfId="6" applyFont="1" applyBorder="1" applyAlignment="1">
      <alignment horizontal="center" vertical="center"/>
    </xf>
    <xf numFmtId="0" fontId="23" fillId="0" borderId="55" xfId="6" applyFont="1" applyBorder="1" applyAlignment="1">
      <alignment horizontal="center" vertical="center" wrapText="1"/>
    </xf>
    <xf numFmtId="4" fontId="23" fillId="17" borderId="60" xfId="6" applyNumberFormat="1" applyFont="1" applyFill="1" applyBorder="1" applyAlignment="1">
      <alignment horizontal="right" vertical="center"/>
    </xf>
    <xf numFmtId="4" fontId="20" fillId="0" borderId="60" xfId="7" applyNumberFormat="1" applyFont="1" applyBorder="1" applyAlignment="1">
      <alignment horizontal="right" vertical="center"/>
    </xf>
    <xf numFmtId="4" fontId="37" fillId="0" borderId="60" xfId="0" applyNumberFormat="1" applyFont="1" applyBorder="1" applyAlignment="1" applyProtection="1">
      <protection locked="0"/>
    </xf>
    <xf numFmtId="0" fontId="37" fillId="0" borderId="60" xfId="0" applyFont="1" applyBorder="1" applyAlignment="1">
      <alignment horizontal="center"/>
    </xf>
    <xf numFmtId="0" fontId="2" fillId="0" borderId="22" xfId="0" applyFont="1" applyBorder="1"/>
    <xf numFmtId="44" fontId="2" fillId="0" borderId="20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20" borderId="12" xfId="0" applyFont="1" applyFill="1" applyBorder="1" applyAlignment="1">
      <alignment horizontal="left" vertical="center"/>
    </xf>
    <xf numFmtId="0" fontId="41" fillId="20" borderId="12" xfId="0" applyFont="1" applyFill="1" applyBorder="1" applyAlignment="1">
      <alignment vertical="center"/>
    </xf>
    <xf numFmtId="43" fontId="41" fillId="20" borderId="6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9" fontId="33" fillId="0" borderId="1" xfId="0" applyNumberFormat="1" applyFont="1" applyFill="1" applyBorder="1" applyAlignment="1">
      <alignment horizontal="left" wrapText="1"/>
    </xf>
    <xf numFmtId="49" fontId="33" fillId="0" borderId="84" xfId="0" applyNumberFormat="1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/>
    </xf>
    <xf numFmtId="0" fontId="33" fillId="0" borderId="85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69" fontId="0" fillId="0" borderId="0" xfId="0" applyNumberFormat="1"/>
    <xf numFmtId="0" fontId="0" fillId="0" borderId="0" xfId="0" applyAlignment="1"/>
    <xf numFmtId="0" fontId="2" fillId="6" borderId="87" xfId="0" applyFont="1" applyFill="1" applyBorder="1"/>
    <xf numFmtId="44" fontId="2" fillId="6" borderId="29" xfId="0" applyNumberFormat="1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0" fillId="6" borderId="26" xfId="0" applyFill="1" applyBorder="1"/>
    <xf numFmtId="0" fontId="13" fillId="6" borderId="25" xfId="0" applyFont="1" applyFill="1" applyBorder="1" applyAlignment="1">
      <alignment horizontal="center"/>
    </xf>
    <xf numFmtId="0" fontId="0" fillId="6" borderId="22" xfId="0" applyFill="1" applyBorder="1"/>
    <xf numFmtId="0" fontId="0" fillId="6" borderId="21" xfId="0" applyFill="1" applyBorder="1"/>
    <xf numFmtId="44" fontId="12" fillId="6" borderId="20" xfId="0" applyNumberFormat="1" applyFont="1" applyFill="1" applyBorder="1"/>
    <xf numFmtId="8" fontId="9" fillId="6" borderId="28" xfId="0" applyNumberFormat="1" applyFont="1" applyFill="1" applyBorder="1" applyAlignment="1">
      <alignment horizontal="right" vertical="center" wrapText="1"/>
    </xf>
    <xf numFmtId="0" fontId="42" fillId="0" borderId="0" xfId="0" applyFont="1"/>
    <xf numFmtId="3" fontId="43" fillId="0" borderId="1" xfId="0" applyNumberFormat="1" applyFont="1" applyBorder="1"/>
    <xf numFmtId="0" fontId="42" fillId="0" borderId="1" xfId="0" applyFont="1" applyBorder="1" applyAlignment="1">
      <alignment horizontal="right"/>
    </xf>
    <xf numFmtId="3" fontId="27" fillId="0" borderId="1" xfId="0" applyNumberFormat="1" applyFont="1" applyBorder="1"/>
    <xf numFmtId="3" fontId="27" fillId="0" borderId="1" xfId="0" applyNumberFormat="1" applyFont="1" applyFill="1" applyBorder="1"/>
    <xf numFmtId="9" fontId="27" fillId="0" borderId="1" xfId="0" applyNumberFormat="1" applyFont="1" applyFill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9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3" fontId="27" fillId="21" borderId="1" xfId="0" applyNumberFormat="1" applyFont="1" applyFill="1" applyBorder="1"/>
    <xf numFmtId="0" fontId="27" fillId="21" borderId="1" xfId="0" applyFont="1" applyFill="1" applyBorder="1"/>
    <xf numFmtId="3" fontId="27" fillId="21" borderId="0" xfId="0" applyNumberFormat="1" applyFont="1" applyFill="1"/>
    <xf numFmtId="9" fontId="27" fillId="5" borderId="1" xfId="0" applyNumberFormat="1" applyFont="1" applyFill="1" applyBorder="1"/>
    <xf numFmtId="0" fontId="27" fillId="5" borderId="1" xfId="0" applyFont="1" applyFill="1" applyBorder="1" applyAlignment="1">
      <alignment horizontal="center"/>
    </xf>
    <xf numFmtId="4" fontId="42" fillId="21" borderId="1" xfId="0" applyNumberFormat="1" applyFont="1" applyFill="1" applyBorder="1" applyAlignment="1">
      <alignment vertical="center"/>
    </xf>
    <xf numFmtId="0" fontId="44" fillId="0" borderId="1" xfId="0" applyFont="1" applyBorder="1" applyAlignment="1">
      <alignment horizontal="center"/>
    </xf>
    <xf numFmtId="10" fontId="45" fillId="21" borderId="1" xfId="2" applyNumberFormat="1" applyFont="1" applyFill="1" applyBorder="1" applyAlignment="1">
      <alignment horizontal="left"/>
    </xf>
    <xf numFmtId="0" fontId="43" fillId="0" borderId="1" xfId="0" applyFont="1" applyBorder="1" applyAlignment="1">
      <alignment horizontal="right"/>
    </xf>
    <xf numFmtId="4" fontId="0" fillId="0" borderId="89" xfId="0" applyNumberFormat="1" applyBorder="1" applyAlignment="1">
      <alignment vertical="center"/>
    </xf>
    <xf numFmtId="0" fontId="0" fillId="0" borderId="90" xfId="0" applyBorder="1" applyAlignment="1">
      <alignment horizontal="center"/>
    </xf>
    <xf numFmtId="0" fontId="0" fillId="0" borderId="90" xfId="0" applyBorder="1"/>
    <xf numFmtId="0" fontId="0" fillId="0" borderId="91" xfId="0" applyBorder="1" applyAlignment="1">
      <alignment vertical="center"/>
    </xf>
    <xf numFmtId="0" fontId="2" fillId="0" borderId="9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6" xfId="0" applyBorder="1"/>
    <xf numFmtId="0" fontId="0" fillId="0" borderId="98" xfId="0" applyBorder="1" applyAlignment="1">
      <alignment horizontal="center"/>
    </xf>
    <xf numFmtId="0" fontId="0" fillId="0" borderId="98" xfId="0" applyBorder="1"/>
    <xf numFmtId="4" fontId="0" fillId="0" borderId="29" xfId="0" applyNumberForma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vertical="center"/>
    </xf>
    <xf numFmtId="4" fontId="0" fillId="0" borderId="89" xfId="0" applyNumberFormat="1" applyBorder="1"/>
    <xf numFmtId="4" fontId="0" fillId="0" borderId="91" xfId="0" applyNumberFormat="1" applyBorder="1" applyAlignment="1">
      <alignment vertical="center"/>
    </xf>
    <xf numFmtId="4" fontId="0" fillId="0" borderId="95" xfId="0" applyNumberFormat="1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100" xfId="0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4" fontId="0" fillId="0" borderId="29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106" xfId="0" applyBorder="1"/>
    <xf numFmtId="3" fontId="0" fillId="0" borderId="106" xfId="0" applyNumberFormat="1" applyBorder="1"/>
    <xf numFmtId="4" fontId="0" fillId="0" borderId="91" xfId="0" applyNumberFormat="1" applyBorder="1" applyAlignment="1">
      <alignment horizontal="center"/>
    </xf>
    <xf numFmtId="0" fontId="2" fillId="0" borderId="29" xfId="0" applyFont="1" applyBorder="1"/>
    <xf numFmtId="4" fontId="0" fillId="0" borderId="108" xfId="0" applyNumberFormat="1" applyBorder="1" applyAlignment="1">
      <alignment horizontal="center"/>
    </xf>
    <xf numFmtId="0" fontId="0" fillId="0" borderId="109" xfId="0" applyBorder="1"/>
    <xf numFmtId="4" fontId="0" fillId="0" borderId="110" xfId="0" applyNumberFormat="1" applyBorder="1" applyAlignment="1">
      <alignment horizontal="center"/>
    </xf>
    <xf numFmtId="0" fontId="0" fillId="0" borderId="111" xfId="0" applyBorder="1"/>
    <xf numFmtId="4" fontId="0" fillId="0" borderId="110" xfId="0" applyNumberFormat="1" applyBorder="1"/>
    <xf numFmtId="0" fontId="0" fillId="0" borderId="110" xfId="0" applyBorder="1" applyAlignment="1">
      <alignment horizontal="center"/>
    </xf>
    <xf numFmtId="0" fontId="2" fillId="0" borderId="112" xfId="0" applyFont="1" applyBorder="1"/>
    <xf numFmtId="0" fontId="2" fillId="0" borderId="113" xfId="0" applyFont="1" applyBorder="1"/>
    <xf numFmtId="0" fontId="2" fillId="0" borderId="112" xfId="0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0" xfId="0" applyFont="1" applyAlignment="1"/>
    <xf numFmtId="0" fontId="0" fillId="0" borderId="105" xfId="0" applyBorder="1"/>
    <xf numFmtId="0" fontId="0" fillId="0" borderId="114" xfId="0" applyBorder="1"/>
    <xf numFmtId="0" fontId="0" fillId="0" borderId="87" xfId="0" applyBorder="1"/>
    <xf numFmtId="170" fontId="46" fillId="22" borderId="0" xfId="0" applyNumberFormat="1" applyFont="1" applyFill="1" applyBorder="1" applyAlignment="1">
      <alignment horizontal="right" vertical="center"/>
    </xf>
    <xf numFmtId="0" fontId="19" fillId="22" borderId="0" xfId="0" applyFont="1" applyFill="1" applyBorder="1" applyAlignment="1">
      <alignment horizontal="left" vertical="center" wrapText="1"/>
    </xf>
    <xf numFmtId="170" fontId="48" fillId="4" borderId="85" xfId="0" applyNumberFormat="1" applyFont="1" applyFill="1" applyBorder="1" applyAlignment="1">
      <alignment horizontal="right" vertical="center"/>
    </xf>
    <xf numFmtId="170" fontId="48" fillId="4" borderId="14" xfId="0" applyNumberFormat="1" applyFont="1" applyFill="1" applyBorder="1" applyAlignment="1">
      <alignment horizontal="right" vertical="center"/>
    </xf>
    <xf numFmtId="170" fontId="48" fillId="4" borderId="88" xfId="0" applyNumberFormat="1" applyFont="1" applyFill="1" applyBorder="1" applyAlignment="1">
      <alignment horizontal="right" vertical="center"/>
    </xf>
    <xf numFmtId="170" fontId="48" fillId="4" borderId="115" xfId="0" applyNumberFormat="1" applyFont="1" applyFill="1" applyBorder="1" applyAlignment="1">
      <alignment horizontal="right" vertical="center"/>
    </xf>
    <xf numFmtId="170" fontId="48" fillId="22" borderId="4" xfId="0" applyNumberFormat="1" applyFont="1" applyFill="1" applyBorder="1" applyAlignment="1">
      <alignment horizontal="right" vertical="center"/>
    </xf>
    <xf numFmtId="0" fontId="49" fillId="22" borderId="116" xfId="0" applyFont="1" applyFill="1" applyBorder="1" applyAlignment="1">
      <alignment horizontal="center" vertical="center" wrapText="1"/>
    </xf>
    <xf numFmtId="0" fontId="49" fillId="22" borderId="117" xfId="0" applyFont="1" applyFill="1" applyBorder="1" applyAlignment="1">
      <alignment horizontal="center" vertical="center" wrapText="1"/>
    </xf>
    <xf numFmtId="170" fontId="48" fillId="22" borderId="118" xfId="0" applyNumberFormat="1" applyFont="1" applyFill="1" applyBorder="1" applyAlignment="1">
      <alignment horizontal="right" vertical="center"/>
    </xf>
    <xf numFmtId="0" fontId="49" fillId="22" borderId="119" xfId="0" applyFont="1" applyFill="1" applyBorder="1" applyAlignment="1">
      <alignment horizontal="center" vertical="center" wrapText="1"/>
    </xf>
    <xf numFmtId="0" fontId="49" fillId="22" borderId="120" xfId="0" applyFont="1" applyFill="1" applyBorder="1" applyAlignment="1">
      <alignment horizontal="center" vertical="center" wrapText="1"/>
    </xf>
    <xf numFmtId="0" fontId="50" fillId="4" borderId="121" xfId="0" applyFont="1" applyFill="1" applyBorder="1" applyAlignment="1">
      <alignment horizontal="center" wrapText="1"/>
    </xf>
    <xf numFmtId="17" fontId="50" fillId="4" borderId="121" xfId="0" applyNumberFormat="1" applyFont="1" applyFill="1" applyBorder="1" applyAlignment="1">
      <alignment horizontal="center" wrapText="1"/>
    </xf>
    <xf numFmtId="0" fontId="50" fillId="4" borderId="122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0" xfId="0" applyFont="1" applyAlignment="1">
      <alignment vertical="top"/>
    </xf>
    <xf numFmtId="0" fontId="51" fillId="0" borderId="0" xfId="0" applyFont="1"/>
    <xf numFmtId="0" fontId="22" fillId="0" borderId="0" xfId="0" applyFont="1"/>
    <xf numFmtId="170" fontId="48" fillId="22" borderId="1" xfId="0" applyNumberFormat="1" applyFont="1" applyFill="1" applyBorder="1" applyAlignment="1">
      <alignment horizontal="right" vertical="center"/>
    </xf>
    <xf numFmtId="0" fontId="49" fillId="22" borderId="1" xfId="0" applyFont="1" applyFill="1" applyBorder="1" applyAlignment="1">
      <alignment horizontal="left" vertical="center" wrapText="1"/>
    </xf>
    <xf numFmtId="17" fontId="50" fillId="4" borderId="123" xfId="0" applyNumberFormat="1" applyFont="1" applyFill="1" applyBorder="1" applyAlignment="1">
      <alignment horizontal="center" vertical="center" wrapText="1"/>
    </xf>
    <xf numFmtId="17" fontId="50" fillId="4" borderId="123" xfId="0" applyNumberFormat="1" applyFont="1" applyFill="1" applyBorder="1" applyAlignment="1">
      <alignment horizontal="center" wrapText="1"/>
    </xf>
    <xf numFmtId="17" fontId="50" fillId="4" borderId="124" xfId="0" applyNumberFormat="1" applyFont="1" applyFill="1" applyBorder="1" applyAlignment="1">
      <alignment horizontal="center" vertical="center" wrapText="1"/>
    </xf>
    <xf numFmtId="0" fontId="50" fillId="4" borderId="124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0" borderId="0" xfId="0" applyFont="1" applyFill="1" applyBorder="1"/>
    <xf numFmtId="0" fontId="31" fillId="0" borderId="0" xfId="0" applyFont="1" applyFill="1" applyBorder="1"/>
    <xf numFmtId="0" fontId="6" fillId="0" borderId="0" xfId="0" applyFont="1"/>
    <xf numFmtId="170" fontId="48" fillId="22" borderId="125" xfId="0" applyNumberFormat="1" applyFont="1" applyFill="1" applyBorder="1" applyAlignment="1">
      <alignment horizontal="right" vertical="center"/>
    </xf>
    <xf numFmtId="0" fontId="49" fillId="22" borderId="1" xfId="0" applyFont="1" applyFill="1" applyBorder="1" applyAlignment="1">
      <alignment horizontal="center" vertical="center" wrapText="1"/>
    </xf>
    <xf numFmtId="17" fontId="50" fillId="11" borderId="126" xfId="0" applyNumberFormat="1" applyFont="1" applyFill="1" applyBorder="1" applyAlignment="1">
      <alignment horizontal="center" vertical="center" wrapText="1"/>
    </xf>
    <xf numFmtId="17" fontId="50" fillId="11" borderId="123" xfId="0" applyNumberFormat="1" applyFont="1" applyFill="1" applyBorder="1" applyAlignment="1">
      <alignment horizontal="center" vertical="center" wrapText="1"/>
    </xf>
    <xf numFmtId="17" fontId="50" fillId="11" borderId="123" xfId="0" applyNumberFormat="1" applyFont="1" applyFill="1" applyBorder="1" applyAlignment="1">
      <alignment horizontal="center" wrapText="1"/>
    </xf>
    <xf numFmtId="17" fontId="50" fillId="11" borderId="124" xfId="0" applyNumberFormat="1" applyFont="1" applyFill="1" applyBorder="1" applyAlignment="1">
      <alignment horizontal="center" vertical="center" wrapText="1"/>
    </xf>
    <xf numFmtId="0" fontId="50" fillId="11" borderId="124" xfId="0" applyFont="1" applyFill="1" applyBorder="1" applyAlignment="1">
      <alignment horizontal="center" vertical="center" wrapText="1"/>
    </xf>
    <xf numFmtId="164" fontId="0" fillId="0" borderId="0" xfId="2" applyNumberFormat="1" applyFont="1"/>
    <xf numFmtId="0" fontId="50" fillId="4" borderId="88" xfId="0" applyFont="1" applyFill="1" applyBorder="1" applyAlignment="1">
      <alignment horizontal="center" vertical="center" wrapText="1"/>
    </xf>
    <xf numFmtId="0" fontId="50" fillId="4" borderId="124" xfId="0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3" fontId="0" fillId="0" borderId="1" xfId="0" applyNumberFormat="1" applyBorder="1"/>
    <xf numFmtId="4" fontId="52" fillId="0" borderId="0" xfId="0" applyNumberFormat="1" applyFont="1"/>
    <xf numFmtId="0" fontId="0" fillId="6" borderId="1" xfId="0" applyFill="1" applyBorder="1"/>
    <xf numFmtId="3" fontId="0" fillId="6" borderId="1" xfId="0" applyNumberFormat="1" applyFill="1" applyBorder="1"/>
    <xf numFmtId="4" fontId="2" fillId="6" borderId="1" xfId="0" applyNumberFormat="1" applyFont="1" applyFill="1" applyBorder="1"/>
    <xf numFmtId="3" fontId="2" fillId="6" borderId="1" xfId="0" applyNumberFormat="1" applyFont="1" applyFill="1" applyBorder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3" fillId="0" borderId="6" xfId="0" applyFont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6" xfId="0" applyFont="1" applyFill="1" applyBorder="1" applyAlignment="1">
      <alignment horizontal="left"/>
    </xf>
    <xf numFmtId="0" fontId="33" fillId="0" borderId="128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0" fillId="3" borderId="0" xfId="0" applyNumberFormat="1" applyFill="1" applyBorder="1"/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0" fontId="0" fillId="3" borderId="1" xfId="0" applyFont="1" applyFill="1" applyBorder="1"/>
    <xf numFmtId="9" fontId="3" fillId="6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ill="1" applyBorder="1"/>
    <xf numFmtId="10" fontId="27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0" fontId="0" fillId="0" borderId="0" xfId="2" applyNumberFormat="1" applyFont="1" applyBorder="1"/>
    <xf numFmtId="165" fontId="0" fillId="0" borderId="1" xfId="1" applyNumberFormat="1" applyFont="1" applyBorder="1"/>
    <xf numFmtId="43" fontId="0" fillId="0" borderId="1" xfId="1" applyNumberFormat="1" applyFont="1" applyBorder="1"/>
    <xf numFmtId="0" fontId="53" fillId="0" borderId="29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4" fontId="53" fillId="0" borderId="20" xfId="0" applyNumberFormat="1" applyFont="1" applyBorder="1" applyAlignment="1">
      <alignment horizontal="center" vertical="center"/>
    </xf>
    <xf numFmtId="0" fontId="53" fillId="24" borderId="28" xfId="0" applyFont="1" applyFill="1" applyBorder="1" applyAlignment="1">
      <alignment horizontal="center" vertical="center"/>
    </xf>
    <xf numFmtId="4" fontId="53" fillId="24" borderId="20" xfId="0" applyNumberFormat="1" applyFont="1" applyFill="1" applyBorder="1" applyAlignment="1">
      <alignment horizontal="center" vertical="center"/>
    </xf>
    <xf numFmtId="10" fontId="54" fillId="0" borderId="2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3" borderId="129" xfId="0" applyFont="1" applyFill="1" applyBorder="1" applyAlignment="1">
      <alignment horizontal="center" vertical="center" wrapText="1"/>
    </xf>
    <xf numFmtId="0" fontId="2" fillId="23" borderId="12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3" fontId="0" fillId="0" borderId="0" xfId="1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10" fontId="0" fillId="0" borderId="1" xfId="2" applyNumberFormat="1" applyFont="1" applyBorder="1"/>
    <xf numFmtId="43" fontId="0" fillId="0" borderId="0" xfId="1" applyFont="1" applyBorder="1"/>
    <xf numFmtId="10" fontId="0" fillId="0" borderId="110" xfId="2" applyNumberFormat="1" applyFont="1" applyBorder="1"/>
    <xf numFmtId="9" fontId="0" fillId="0" borderId="1" xfId="2" applyFont="1" applyBorder="1"/>
    <xf numFmtId="0" fontId="0" fillId="0" borderId="91" xfId="0" applyBorder="1"/>
    <xf numFmtId="0" fontId="55" fillId="0" borderId="28" xfId="8" applyBorder="1" applyAlignment="1">
      <alignment horizontal="center" vertical="center"/>
    </xf>
    <xf numFmtId="9" fontId="0" fillId="0" borderId="89" xfId="2" applyFont="1" applyBorder="1" applyAlignment="1">
      <alignment horizontal="center"/>
    </xf>
    <xf numFmtId="10" fontId="54" fillId="0" borderId="21" xfId="2" applyNumberFormat="1" applyFont="1" applyBorder="1" applyAlignment="1">
      <alignment horizontal="center" vertical="center"/>
    </xf>
    <xf numFmtId="0" fontId="53" fillId="0" borderId="114" xfId="0" applyFont="1" applyBorder="1" applyAlignment="1">
      <alignment horizontal="center" vertical="center"/>
    </xf>
    <xf numFmtId="10" fontId="53" fillId="25" borderId="2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0" fillId="0" borderId="1" xfId="1" applyFont="1" applyFill="1" applyBorder="1"/>
    <xf numFmtId="9" fontId="0" fillId="0" borderId="1" xfId="2" applyFont="1" applyFill="1" applyBorder="1"/>
    <xf numFmtId="0" fontId="2" fillId="0" borderId="0" xfId="0" applyFont="1" applyFill="1" applyBorder="1" applyAlignment="1">
      <alignment horizontal="center" vertical="justify"/>
    </xf>
    <xf numFmtId="0" fontId="2" fillId="0" borderId="0" xfId="0" applyFont="1" applyFill="1" applyBorder="1"/>
    <xf numFmtId="43" fontId="2" fillId="0" borderId="0" xfId="0" applyNumberFormat="1" applyFont="1" applyFill="1" applyBorder="1"/>
    <xf numFmtId="43" fontId="0" fillId="0" borderId="0" xfId="1" applyFont="1" applyFill="1" applyBorder="1"/>
    <xf numFmtId="171" fontId="0" fillId="0" borderId="0" xfId="0" applyNumberFormat="1" applyFill="1" applyBorder="1"/>
    <xf numFmtId="2" fontId="2" fillId="0" borderId="0" xfId="0" applyNumberFormat="1" applyFont="1" applyFill="1" applyBorder="1"/>
    <xf numFmtId="0" fontId="53" fillId="0" borderId="29" xfId="0" applyFont="1" applyBorder="1" applyAlignment="1">
      <alignment horizontal="left" vertical="center"/>
    </xf>
    <xf numFmtId="4" fontId="53" fillId="0" borderId="105" xfId="0" applyNumberFormat="1" applyFont="1" applyBorder="1" applyAlignment="1">
      <alignment horizontal="center" vertical="center"/>
    </xf>
    <xf numFmtId="164" fontId="53" fillId="0" borderId="105" xfId="2" applyNumberFormat="1" applyFont="1" applyBorder="1" applyAlignment="1">
      <alignment horizontal="center" vertical="center"/>
    </xf>
    <xf numFmtId="164" fontId="53" fillId="0" borderId="105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4" fontId="53" fillId="0" borderId="1" xfId="0" applyNumberFormat="1" applyFon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3" borderId="0" xfId="1" applyFont="1" applyFill="1"/>
    <xf numFmtId="43" fontId="2" fillId="0" borderId="0" xfId="1" applyFont="1"/>
    <xf numFmtId="0" fontId="54" fillId="0" borderId="29" xfId="0" applyFont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43" fontId="57" fillId="0" borderId="1" xfId="1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72" fontId="0" fillId="0" borderId="1" xfId="0" applyNumberFormat="1" applyBorder="1"/>
    <xf numFmtId="43" fontId="0" fillId="27" borderId="1" xfId="1" applyFont="1" applyFill="1" applyBorder="1"/>
    <xf numFmtId="164" fontId="0" fillId="0" borderId="1" xfId="2" applyNumberFormat="1" applyFont="1" applyBorder="1"/>
    <xf numFmtId="43" fontId="0" fillId="27" borderId="1" xfId="0" applyNumberFormat="1" applyFill="1" applyBorder="1"/>
    <xf numFmtId="10" fontId="0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0" fillId="0" borderId="0" xfId="0" applyNumberFormat="1" applyFill="1" applyBorder="1" applyAlignment="1">
      <alignment vertical="center"/>
    </xf>
    <xf numFmtId="43" fontId="56" fillId="0" borderId="0" xfId="1" applyFont="1" applyFill="1" applyBorder="1"/>
    <xf numFmtId="43" fontId="58" fillId="0" borderId="1" xfId="1" applyFont="1" applyFill="1" applyBorder="1" applyAlignment="1">
      <alignment horizontal="center"/>
    </xf>
    <xf numFmtId="43" fontId="2" fillId="0" borderId="0" xfId="0" applyNumberFormat="1" applyFont="1" applyBorder="1" applyAlignment="1">
      <alignment horizontal="center" vertical="center"/>
    </xf>
    <xf numFmtId="0" fontId="0" fillId="27" borderId="27" xfId="0" applyFill="1" applyBorder="1"/>
    <xf numFmtId="0" fontId="0" fillId="27" borderId="26" xfId="0" applyFill="1" applyBorder="1"/>
    <xf numFmtId="2" fontId="2" fillId="0" borderId="0" xfId="2" applyNumberFormat="1" applyFont="1" applyBorder="1" applyAlignment="1">
      <alignment horizontal="center" vertical="center"/>
    </xf>
    <xf numFmtId="173" fontId="0" fillId="0" borderId="0" xfId="0" applyNumberFormat="1" applyFill="1" applyBorder="1" applyAlignment="1">
      <alignment vertical="center"/>
    </xf>
    <xf numFmtId="43" fontId="56" fillId="0" borderId="0" xfId="0" applyNumberFormat="1" applyFont="1" applyFill="1" applyBorder="1"/>
    <xf numFmtId="0" fontId="58" fillId="0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43" fontId="58" fillId="0" borderId="0" xfId="0" applyNumberFormat="1" applyFont="1" applyFill="1" applyBorder="1"/>
    <xf numFmtId="0" fontId="0" fillId="27" borderId="24" xfId="0" applyFill="1" applyBorder="1"/>
    <xf numFmtId="0" fontId="0" fillId="27" borderId="0" xfId="0" applyFill="1" applyBorder="1"/>
    <xf numFmtId="167" fontId="0" fillId="0" borderId="0" xfId="2" applyNumberFormat="1" applyFont="1" applyBorder="1" applyAlignment="1">
      <alignment horizontal="center" vertical="center"/>
    </xf>
    <xf numFmtId="0" fontId="0" fillId="27" borderId="22" xfId="0" applyFill="1" applyBorder="1"/>
    <xf numFmtId="0" fontId="0" fillId="27" borderId="21" xfId="0" applyFill="1" applyBorder="1"/>
    <xf numFmtId="167" fontId="0" fillId="0" borderId="0" xfId="1" applyNumberFormat="1" applyFont="1" applyBorder="1" applyAlignment="1">
      <alignment horizontal="center" vertical="center"/>
    </xf>
    <xf numFmtId="43" fontId="58" fillId="0" borderId="0" xfId="0" applyNumberFormat="1" applyFont="1" applyFill="1" applyBorder="1" applyAlignment="1">
      <alignment horizontal="center"/>
    </xf>
    <xf numFmtId="43" fontId="2" fillId="0" borderId="0" xfId="0" applyNumberFormat="1" applyFont="1" applyBorder="1"/>
    <xf numFmtId="2" fontId="0" fillId="0" borderId="0" xfId="2" applyNumberFormat="1" applyFont="1" applyBorder="1" applyAlignment="1">
      <alignment horizontal="center" vertical="center"/>
    </xf>
    <xf numFmtId="174" fontId="0" fillId="0" borderId="0" xfId="0" applyNumberFormat="1" applyFill="1" applyBorder="1" applyAlignment="1">
      <alignment vertical="center"/>
    </xf>
    <xf numFmtId="43" fontId="1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74" fontId="0" fillId="0" borderId="0" xfId="0" applyNumberFormat="1"/>
    <xf numFmtId="0" fontId="2" fillId="0" borderId="91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43" fontId="2" fillId="0" borderId="90" xfId="0" applyNumberFormat="1" applyFont="1" applyBorder="1" applyAlignment="1">
      <alignment horizontal="center" vertical="center" wrapText="1"/>
    </xf>
    <xf numFmtId="164" fontId="2" fillId="0" borderId="90" xfId="2" applyNumberFormat="1" applyFont="1" applyBorder="1" applyAlignment="1">
      <alignment horizontal="center" vertical="center" wrapText="1"/>
    </xf>
    <xf numFmtId="10" fontId="2" fillId="0" borderId="90" xfId="2" applyNumberFormat="1" applyFont="1" applyBorder="1" applyAlignment="1">
      <alignment horizontal="center" vertical="center" wrapText="1"/>
    </xf>
    <xf numFmtId="10" fontId="2" fillId="0" borderId="89" xfId="2" applyNumberFormat="1" applyFont="1" applyBorder="1" applyAlignment="1">
      <alignment horizontal="center" vertical="center" wrapText="1"/>
    </xf>
    <xf numFmtId="173" fontId="0" fillId="0" borderId="0" xfId="0" applyNumberFormat="1"/>
    <xf numFmtId="0" fontId="0" fillId="0" borderId="102" xfId="0" applyBorder="1"/>
    <xf numFmtId="0" fontId="0" fillId="0" borderId="85" xfId="0" applyBorder="1" applyAlignment="1">
      <alignment horizontal="center" vertical="center"/>
    </xf>
    <xf numFmtId="43" fontId="0" fillId="0" borderId="85" xfId="0" applyNumberFormat="1" applyBorder="1"/>
    <xf numFmtId="175" fontId="0" fillId="0" borderId="85" xfId="2" applyNumberFormat="1" applyFont="1" applyBorder="1"/>
    <xf numFmtId="10" fontId="0" fillId="0" borderId="85" xfId="2" applyNumberFormat="1" applyFont="1" applyBorder="1"/>
    <xf numFmtId="2" fontId="0" fillId="0" borderId="85" xfId="2" applyNumberFormat="1" applyFont="1" applyBorder="1"/>
    <xf numFmtId="0" fontId="0" fillId="0" borderId="85" xfId="0" applyBorder="1"/>
    <xf numFmtId="0" fontId="0" fillId="0" borderId="101" xfId="0" applyBorder="1"/>
    <xf numFmtId="175" fontId="0" fillId="0" borderId="1" xfId="2" applyNumberFormat="1" applyFont="1" applyBorder="1"/>
    <xf numFmtId="2" fontId="0" fillId="0" borderId="1" xfId="2" applyNumberFormat="1" applyFont="1" applyBorder="1"/>
    <xf numFmtId="0" fontId="0" fillId="0" borderId="110" xfId="0" applyBorder="1"/>
    <xf numFmtId="167" fontId="0" fillId="0" borderId="1" xfId="0" applyNumberFormat="1" applyBorder="1"/>
    <xf numFmtId="175" fontId="0" fillId="0" borderId="1" xfId="0" applyNumberFormat="1" applyBorder="1"/>
    <xf numFmtId="0" fontId="0" fillId="0" borderId="130" xfId="0" applyBorder="1"/>
    <xf numFmtId="0" fontId="0" fillId="0" borderId="88" xfId="0" applyBorder="1"/>
    <xf numFmtId="0" fontId="0" fillId="0" borderId="131" xfId="0" applyBorder="1"/>
    <xf numFmtId="0" fontId="2" fillId="0" borderId="87" xfId="0" applyFont="1" applyBorder="1"/>
    <xf numFmtId="0" fontId="2" fillId="0" borderId="114" xfId="0" applyFont="1" applyBorder="1"/>
    <xf numFmtId="43" fontId="2" fillId="0" borderId="114" xfId="0" applyNumberFormat="1" applyFont="1" applyBorder="1"/>
    <xf numFmtId="10" fontId="2" fillId="0" borderId="105" xfId="2" applyNumberFormat="1" applyFont="1" applyBorder="1"/>
    <xf numFmtId="43" fontId="0" fillId="27" borderId="25" xfId="1" applyFont="1" applyFill="1" applyBorder="1"/>
    <xf numFmtId="43" fontId="0" fillId="27" borderId="23" xfId="1" applyFont="1" applyFill="1" applyBorder="1"/>
    <xf numFmtId="43" fontId="0" fillId="27" borderId="20" xfId="1" applyFont="1" applyFill="1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2" fillId="0" borderId="1" xfId="0" applyNumberFormat="1" applyFont="1" applyBorder="1"/>
    <xf numFmtId="43" fontId="58" fillId="0" borderId="1" xfId="0" applyNumberFormat="1" applyFont="1" applyFill="1" applyBorder="1" applyAlignment="1">
      <alignment horizontal="center"/>
    </xf>
    <xf numFmtId="43" fontId="58" fillId="0" borderId="1" xfId="0" applyNumberFormat="1" applyFont="1" applyFill="1" applyBorder="1"/>
    <xf numFmtId="10" fontId="0" fillId="0" borderId="1" xfId="2" applyNumberFormat="1" applyFont="1" applyFill="1" applyBorder="1"/>
    <xf numFmtId="164" fontId="0" fillId="0" borderId="1" xfId="2" applyNumberFormat="1" applyFont="1" applyFill="1" applyBorder="1"/>
    <xf numFmtId="10" fontId="2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29" xfId="1" applyFont="1" applyBorder="1" applyAlignment="1">
      <alignment horizontal="center"/>
    </xf>
    <xf numFmtId="43" fontId="0" fillId="0" borderId="133" xfId="1" applyFont="1" applyBorder="1"/>
    <xf numFmtId="43" fontId="0" fillId="0" borderId="134" xfId="1" applyFont="1" applyBorder="1"/>
    <xf numFmtId="43" fontId="0" fillId="0" borderId="106" xfId="1" applyFont="1" applyBorder="1"/>
    <xf numFmtId="43" fontId="2" fillId="25" borderId="135" xfId="1" applyFont="1" applyFill="1" applyBorder="1"/>
    <xf numFmtId="8" fontId="2" fillId="25" borderId="29" xfId="1" applyNumberFormat="1" applyFont="1" applyFill="1" applyBorder="1"/>
    <xf numFmtId="2" fontId="0" fillId="2" borderId="1" xfId="0" applyNumberForma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0" fillId="0" borderId="5" xfId="0" applyNumberFormat="1" applyBorder="1" applyAlignment="1"/>
    <xf numFmtId="43" fontId="0" fillId="0" borderId="12" xfId="0" applyNumberFormat="1" applyBorder="1" applyAlignment="1"/>
    <xf numFmtId="43" fontId="0" fillId="0" borderId="6" xfId="0" applyNumberFormat="1" applyBorder="1" applyAlignment="1"/>
    <xf numFmtId="0" fontId="53" fillId="0" borderId="28" xfId="0" applyFont="1" applyBorder="1" applyAlignment="1">
      <alignment horizontal="left" vertical="center"/>
    </xf>
    <xf numFmtId="0" fontId="53" fillId="0" borderId="107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106" xfId="0" applyFont="1" applyBorder="1" applyAlignment="1">
      <alignment horizontal="center" vertical="center"/>
    </xf>
    <xf numFmtId="8" fontId="0" fillId="0" borderId="132" xfId="1" applyNumberFormat="1" applyFont="1" applyBorder="1"/>
    <xf numFmtId="0" fontId="54" fillId="0" borderId="28" xfId="0" applyFont="1" applyBorder="1" applyAlignment="1">
      <alignment horizontal="right" vertical="center"/>
    </xf>
    <xf numFmtId="43" fontId="0" fillId="0" borderId="29" xfId="1" applyFont="1" applyBorder="1"/>
    <xf numFmtId="4" fontId="53" fillId="0" borderId="29" xfId="0" applyNumberFormat="1" applyFont="1" applyBorder="1" applyAlignment="1">
      <alignment horizontal="center" vertical="center"/>
    </xf>
    <xf numFmtId="4" fontId="2" fillId="0" borderId="90" xfId="0" applyNumberFormat="1" applyFont="1" applyBorder="1" applyAlignment="1">
      <alignment horizontal="center"/>
    </xf>
    <xf numFmtId="44" fontId="14" fillId="0" borderId="0" xfId="0" applyNumberFormat="1" applyFont="1"/>
    <xf numFmtId="8" fontId="0" fillId="0" borderId="0" xfId="0" applyNumberFormat="1"/>
    <xf numFmtId="167" fontId="2" fillId="0" borderId="1" xfId="0" applyNumberFormat="1" applyFont="1" applyFill="1" applyBorder="1" applyAlignment="1">
      <alignment horizontal="center" vertical="justify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justify"/>
    </xf>
    <xf numFmtId="0" fontId="0" fillId="0" borderId="4" xfId="0" applyFill="1" applyBorder="1"/>
    <xf numFmtId="0" fontId="2" fillId="23" borderId="5" xfId="0" applyFont="1" applyFill="1" applyBorder="1" applyAlignment="1">
      <alignment horizontal="center" vertical="justify" wrapText="1"/>
    </xf>
    <xf numFmtId="0" fontId="2" fillId="23" borderId="6" xfId="0" applyFont="1" applyFill="1" applyBorder="1" applyAlignment="1">
      <alignment horizontal="center" vertical="justify" wrapText="1"/>
    </xf>
    <xf numFmtId="0" fontId="2" fillId="23" borderId="88" xfId="0" applyFont="1" applyFill="1" applyBorder="1" applyAlignment="1">
      <alignment horizontal="center" vertical="center" wrapText="1"/>
    </xf>
    <xf numFmtId="0" fontId="2" fillId="23" borderId="8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0" fillId="0" borderId="0" xfId="0" applyFont="1" applyAlignment="1">
      <alignment horizontal="center"/>
    </xf>
    <xf numFmtId="49" fontId="20" fillId="0" borderId="59" xfId="6" applyNumberFormat="1" applyFont="1" applyBorder="1" applyAlignment="1">
      <alignment horizontal="left" vertical="center"/>
    </xf>
    <xf numFmtId="49" fontId="20" fillId="0" borderId="58" xfId="6" applyNumberFormat="1" applyFont="1" applyBorder="1" applyAlignment="1">
      <alignment horizontal="left" vertical="center"/>
    </xf>
    <xf numFmtId="49" fontId="20" fillId="0" borderId="5" xfId="6" applyNumberFormat="1" applyFont="1" applyBorder="1" applyAlignment="1">
      <alignment horizontal="left" vertical="center"/>
    </xf>
    <xf numFmtId="49" fontId="20" fillId="0" borderId="12" xfId="6" applyNumberFormat="1" applyFont="1" applyBorder="1" applyAlignment="1">
      <alignment horizontal="left" vertical="center"/>
    </xf>
    <xf numFmtId="49" fontId="20" fillId="0" borderId="6" xfId="6" applyNumberFormat="1" applyFont="1" applyBorder="1" applyAlignment="1">
      <alignment horizontal="left" vertical="center"/>
    </xf>
    <xf numFmtId="49" fontId="20" fillId="0" borderId="64" xfId="6" applyNumberFormat="1" applyFont="1" applyBorder="1" applyAlignment="1">
      <alignment horizontal="left" vertical="center"/>
    </xf>
    <xf numFmtId="49" fontId="20" fillId="0" borderId="63" xfId="6" applyNumberFormat="1" applyFont="1" applyBorder="1" applyAlignment="1">
      <alignment horizontal="left" vertical="center"/>
    </xf>
    <xf numFmtId="49" fontId="20" fillId="0" borderId="65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23" fillId="0" borderId="78" xfId="6" applyFont="1" applyBorder="1" applyAlignment="1">
      <alignment horizontal="left" vertical="center"/>
    </xf>
    <xf numFmtId="0" fontId="23" fillId="0" borderId="57" xfId="6" applyFont="1" applyBorder="1" applyAlignment="1">
      <alignment horizontal="left" vertical="center"/>
    </xf>
    <xf numFmtId="0" fontId="23" fillId="0" borderId="56" xfId="6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0" fontId="23" fillId="0" borderId="53" xfId="6" applyFont="1" applyBorder="1" applyAlignment="1">
      <alignment horizontal="right" vertical="center"/>
    </xf>
    <xf numFmtId="0" fontId="23" fillId="0" borderId="52" xfId="6" applyFont="1" applyBorder="1" applyAlignment="1">
      <alignment horizontal="right" vertical="center"/>
    </xf>
    <xf numFmtId="0" fontId="23" fillId="0" borderId="51" xfId="6" applyFont="1" applyBorder="1" applyAlignment="1">
      <alignment horizontal="right" vertical="center"/>
    </xf>
    <xf numFmtId="49" fontId="23" fillId="0" borderId="78" xfId="6" applyNumberFormat="1" applyFont="1" applyBorder="1" applyAlignment="1">
      <alignment horizontal="right" vertical="center"/>
    </xf>
    <xf numFmtId="49" fontId="23" fillId="0" borderId="57" xfId="6" applyNumberFormat="1" applyFont="1" applyBorder="1" applyAlignment="1">
      <alignment horizontal="right" vertical="center"/>
    </xf>
    <xf numFmtId="49" fontId="23" fillId="0" borderId="56" xfId="6" applyNumberFormat="1" applyFont="1" applyBorder="1" applyAlignment="1">
      <alignment horizontal="right" vertical="center"/>
    </xf>
    <xf numFmtId="0" fontId="23" fillId="0" borderId="69" xfId="6" applyFont="1" applyBorder="1" applyAlignment="1">
      <alignment horizontal="right" vertical="center"/>
    </xf>
    <xf numFmtId="49" fontId="20" fillId="0" borderId="57" xfId="6" applyNumberFormat="1" applyFont="1" applyBorder="1" applyAlignment="1">
      <alignment horizontal="left" vertical="center" wrapText="1"/>
    </xf>
    <xf numFmtId="49" fontId="20" fillId="0" borderId="56" xfId="6" applyNumberFormat="1" applyFont="1" applyBorder="1" applyAlignment="1">
      <alignment horizontal="left" vertical="center" wrapText="1"/>
    </xf>
    <xf numFmtId="49" fontId="20" fillId="0" borderId="79" xfId="6" applyNumberFormat="1" applyFont="1" applyBorder="1" applyAlignment="1">
      <alignment horizontal="left" vertical="center"/>
    </xf>
    <xf numFmtId="0" fontId="23" fillId="0" borderId="82" xfId="6" applyFont="1" applyBorder="1" applyAlignment="1">
      <alignment horizontal="right" vertical="center"/>
    </xf>
    <xf numFmtId="0" fontId="23" fillId="0" borderId="81" xfId="6" applyFont="1" applyBorder="1" applyAlignment="1">
      <alignment horizontal="right" vertical="center"/>
    </xf>
    <xf numFmtId="49" fontId="20" fillId="0" borderId="62" xfId="6" applyNumberFormat="1" applyFont="1" applyBorder="1" applyAlignment="1">
      <alignment horizontal="left" vertical="center"/>
    </xf>
    <xf numFmtId="49" fontId="20" fillId="0" borderId="61" xfId="6" applyNumberFormat="1" applyFont="1" applyBorder="1" applyAlignment="1">
      <alignment horizontal="left" vertical="center"/>
    </xf>
    <xf numFmtId="49" fontId="23" fillId="0" borderId="78" xfId="6" applyNumberFormat="1" applyFont="1" applyBorder="1" applyAlignment="1">
      <alignment horizontal="left" vertical="center"/>
    </xf>
    <xf numFmtId="49" fontId="23" fillId="0" borderId="57" xfId="6" applyNumberFormat="1" applyFont="1" applyBorder="1" applyAlignment="1">
      <alignment horizontal="left" vertical="center"/>
    </xf>
    <xf numFmtId="49" fontId="23" fillId="0" borderId="56" xfId="6" applyNumberFormat="1" applyFont="1" applyBorder="1" applyAlignment="1">
      <alignment horizontal="left" vertical="center"/>
    </xf>
    <xf numFmtId="0" fontId="23" fillId="0" borderId="78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0" fillId="0" borderId="60" xfId="6" applyFont="1" applyBorder="1" applyAlignment="1">
      <alignment horizontal="left" vertical="center"/>
    </xf>
    <xf numFmtId="168" fontId="34" fillId="0" borderId="79" xfId="0" applyNumberFormat="1" applyFont="1" applyBorder="1" applyAlignment="1" applyProtection="1">
      <alignment horizontal="left" vertical="center"/>
      <protection locked="0"/>
    </xf>
    <xf numFmtId="0" fontId="39" fillId="18" borderId="68" xfId="7" applyFont="1" applyFill="1" applyBorder="1" applyAlignment="1">
      <alignment horizontal="center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76" xfId="6" applyNumberFormat="1" applyFont="1" applyBorder="1" applyAlignment="1">
      <alignment horizontal="left" vertical="center"/>
    </xf>
    <xf numFmtId="49" fontId="20" fillId="0" borderId="74" xfId="6" applyNumberFormat="1" applyFont="1" applyBorder="1" applyAlignment="1">
      <alignment horizontal="left" vertical="center" wrapText="1"/>
    </xf>
    <xf numFmtId="49" fontId="20" fillId="0" borderId="73" xfId="6" applyNumberFormat="1" applyFont="1" applyBorder="1" applyAlignment="1">
      <alignment horizontal="left" vertical="center" wrapText="1"/>
    </xf>
    <xf numFmtId="49" fontId="20" fillId="0" borderId="72" xfId="6" applyNumberFormat="1" applyFont="1" applyBorder="1" applyAlignment="1">
      <alignment horizontal="left" vertical="center" wrapText="1"/>
    </xf>
    <xf numFmtId="0" fontId="23" fillId="0" borderId="70" xfId="6" applyFont="1" applyBorder="1" applyAlignment="1">
      <alignment horizontal="right" vertical="center"/>
    </xf>
    <xf numFmtId="49" fontId="20" fillId="0" borderId="78" xfId="6" applyNumberFormat="1" applyFont="1" applyBorder="1" applyAlignment="1">
      <alignment horizontal="left" vertical="center" wrapText="1"/>
    </xf>
    <xf numFmtId="0" fontId="36" fillId="0" borderId="79" xfId="6" applyFont="1" applyBorder="1" applyAlignment="1">
      <alignment horizontal="center" vertical="center" wrapText="1"/>
    </xf>
    <xf numFmtId="0" fontId="23" fillId="0" borderId="55" xfId="6" applyFont="1" applyBorder="1" applyAlignment="1">
      <alignment horizontal="center" vertical="center" wrapText="1"/>
    </xf>
    <xf numFmtId="0" fontId="23" fillId="0" borderId="55" xfId="6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41" fillId="20" borderId="12" xfId="0" applyFont="1" applyFill="1" applyBorder="1" applyAlignment="1">
      <alignment horizontal="left" vertical="center"/>
    </xf>
    <xf numFmtId="0" fontId="33" fillId="0" borderId="115" xfId="0" applyFont="1" applyBorder="1" applyAlignment="1">
      <alignment horizontal="left" vertical="center"/>
    </xf>
    <xf numFmtId="0" fontId="33" fillId="0" borderId="128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1" fillId="0" borderId="34" xfId="0" applyFont="1" applyFill="1" applyBorder="1" applyAlignment="1">
      <alignment horizontal="right" vertical="center" wrapText="1"/>
    </xf>
    <xf numFmtId="0" fontId="21" fillId="0" borderId="33" xfId="0" applyFont="1" applyFill="1" applyBorder="1" applyAlignment="1">
      <alignment horizontal="right" vertical="center" wrapText="1"/>
    </xf>
    <xf numFmtId="0" fontId="21" fillId="0" borderId="32" xfId="0" applyFont="1" applyFill="1" applyBorder="1" applyAlignment="1">
      <alignment horizontal="righ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  <xf numFmtId="0" fontId="21" fillId="13" borderId="34" xfId="0" applyFont="1" applyFill="1" applyBorder="1" applyAlignment="1">
      <alignment horizontal="center" vertical="center" wrapText="1"/>
    </xf>
    <xf numFmtId="0" fontId="21" fillId="13" borderId="33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37" xfId="0" applyFont="1" applyFill="1" applyBorder="1" applyAlignment="1">
      <alignment horizontal="left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38" xfId="0" applyNumberFormat="1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23" fillId="12" borderId="34" xfId="0" applyFont="1" applyFill="1" applyBorder="1" applyAlignment="1">
      <alignment horizontal="center" vertical="center" wrapText="1"/>
    </xf>
    <xf numFmtId="0" fontId="23" fillId="12" borderId="33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21" fillId="12" borderId="34" xfId="0" applyFont="1" applyFill="1" applyBorder="1" applyAlignment="1">
      <alignment horizontal="right" vertical="center" wrapText="1"/>
    </xf>
    <xf numFmtId="0" fontId="21" fillId="12" borderId="33" xfId="0" applyFont="1" applyFill="1" applyBorder="1" applyAlignment="1">
      <alignment horizontal="right" vertical="center" wrapText="1"/>
    </xf>
    <xf numFmtId="0" fontId="21" fillId="12" borderId="32" xfId="0" applyFont="1" applyFill="1" applyBorder="1" applyAlignment="1">
      <alignment horizontal="right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0" borderId="30" xfId="4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3" fillId="0" borderId="34" xfId="4" applyFont="1" applyFill="1" applyBorder="1" applyAlignment="1">
      <alignment horizontal="right" vertical="center" wrapText="1"/>
    </xf>
    <xf numFmtId="0" fontId="23" fillId="0" borderId="33" xfId="4" applyFont="1" applyFill="1" applyBorder="1" applyAlignment="1">
      <alignment horizontal="right" vertical="center" wrapText="1"/>
    </xf>
    <xf numFmtId="0" fontId="23" fillId="0" borderId="32" xfId="4" applyFont="1" applyFill="1" applyBorder="1" applyAlignment="1">
      <alignment horizontal="right" vertical="center" wrapText="1"/>
    </xf>
    <xf numFmtId="0" fontId="23" fillId="3" borderId="34" xfId="0" applyFont="1" applyFill="1" applyBorder="1" applyAlignment="1">
      <alignment horizontal="right" vertical="center" wrapText="1"/>
    </xf>
    <xf numFmtId="0" fontId="23" fillId="3" borderId="33" xfId="0" applyFont="1" applyFill="1" applyBorder="1" applyAlignment="1">
      <alignment horizontal="right" vertical="center" wrapText="1"/>
    </xf>
    <xf numFmtId="0" fontId="23" fillId="3" borderId="32" xfId="0" applyFont="1" applyFill="1" applyBorder="1" applyAlignment="1">
      <alignment horizontal="right" vertical="center" wrapText="1"/>
    </xf>
    <xf numFmtId="4" fontId="21" fillId="0" borderId="49" xfId="0" applyNumberFormat="1" applyFont="1" applyFill="1" applyBorder="1" applyAlignment="1">
      <alignment horizontal="center" vertical="center" wrapText="1"/>
    </xf>
    <xf numFmtId="4" fontId="21" fillId="0" borderId="48" xfId="0" applyNumberFormat="1" applyFont="1" applyFill="1" applyBorder="1" applyAlignment="1">
      <alignment horizontal="center" vertical="center" wrapText="1"/>
    </xf>
    <xf numFmtId="4" fontId="21" fillId="0" borderId="47" xfId="0" applyNumberFormat="1" applyFont="1" applyFill="1" applyBorder="1" applyAlignment="1">
      <alignment horizontal="center" vertical="center" wrapText="1"/>
    </xf>
    <xf numFmtId="4" fontId="21" fillId="0" borderId="46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21" fillId="0" borderId="45" xfId="0" applyNumberFormat="1" applyFont="1" applyFill="1" applyBorder="1" applyAlignment="1">
      <alignment horizontal="center" vertical="center" wrapText="1"/>
    </xf>
    <xf numFmtId="4" fontId="21" fillId="0" borderId="44" xfId="0" applyNumberFormat="1" applyFont="1" applyFill="1" applyBorder="1" applyAlignment="1">
      <alignment horizontal="center" vertical="center" wrapText="1"/>
    </xf>
    <xf numFmtId="4" fontId="21" fillId="0" borderId="43" xfId="0" applyNumberFormat="1" applyFont="1" applyFill="1" applyBorder="1" applyAlignment="1">
      <alignment horizontal="center" vertical="center" wrapText="1"/>
    </xf>
    <xf numFmtId="4" fontId="21" fillId="0" borderId="42" xfId="0" applyNumberFormat="1" applyFont="1" applyFill="1" applyBorder="1" applyAlignment="1">
      <alignment horizontal="center" vertical="center" wrapText="1"/>
    </xf>
    <xf numFmtId="0" fontId="23" fillId="12" borderId="34" xfId="4" applyFont="1" applyFill="1" applyBorder="1" applyAlignment="1">
      <alignment horizontal="right" vertical="center" wrapText="1"/>
    </xf>
    <xf numFmtId="0" fontId="23" fillId="12" borderId="33" xfId="4" applyFont="1" applyFill="1" applyBorder="1" applyAlignment="1">
      <alignment horizontal="right" vertical="center" wrapText="1"/>
    </xf>
    <xf numFmtId="0" fontId="23" fillId="12" borderId="32" xfId="4" applyFont="1" applyFill="1" applyBorder="1" applyAlignment="1">
      <alignment horizontal="right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3" fillId="5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3" fillId="12" borderId="46" xfId="0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center" vertical="center" wrapText="1"/>
    </xf>
    <xf numFmtId="0" fontId="23" fillId="12" borderId="4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left" vertical="center"/>
    </xf>
    <xf numFmtId="0" fontId="44" fillId="0" borderId="88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4" fontId="0" fillId="0" borderId="92" xfId="0" applyNumberFormat="1" applyBorder="1" applyAlignment="1">
      <alignment horizontal="center" vertical="center"/>
    </xf>
    <xf numFmtId="4" fontId="0" fillId="0" borderId="99" xfId="0" applyNumberFormat="1" applyBorder="1" applyAlignment="1">
      <alignment horizontal="center" vertical="center"/>
    </xf>
    <xf numFmtId="4" fontId="0" fillId="0" borderId="95" xfId="0" applyNumberFormat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4" fontId="0" fillId="0" borderId="101" xfId="0" applyNumberForma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50" fillId="4" borderId="122" xfId="0" applyFont="1" applyFill="1" applyBorder="1" applyAlignment="1">
      <alignment horizontal="center" vertical="center" wrapText="1"/>
    </xf>
    <xf numFmtId="0" fontId="49" fillId="4" borderId="27" xfId="0" applyFont="1" applyFill="1" applyBorder="1" applyAlignment="1">
      <alignment horizontal="center" vertical="center" wrapText="1"/>
    </xf>
    <xf numFmtId="0" fontId="49" fillId="4" borderId="26" xfId="0" applyFont="1" applyFill="1" applyBorder="1" applyAlignment="1">
      <alignment horizontal="center" vertical="center" wrapText="1"/>
    </xf>
    <xf numFmtId="0" fontId="49" fillId="4" borderId="25" xfId="0" applyFont="1" applyFill="1" applyBorder="1" applyAlignment="1">
      <alignment horizontal="center" vertical="center" wrapText="1"/>
    </xf>
    <xf numFmtId="0" fontId="49" fillId="4" borderId="22" xfId="0" applyFont="1" applyFill="1" applyBorder="1" applyAlignment="1">
      <alignment horizontal="center" vertical="center" wrapText="1"/>
    </xf>
    <xf numFmtId="0" fontId="49" fillId="4" borderId="21" xfId="0" applyFont="1" applyFill="1" applyBorder="1" applyAlignment="1">
      <alignment horizontal="center" vertical="center" wrapText="1"/>
    </xf>
    <xf numFmtId="0" fontId="49" fillId="4" borderId="20" xfId="0" applyFont="1" applyFill="1" applyBorder="1" applyAlignment="1">
      <alignment horizontal="center" vertical="center" wrapText="1"/>
    </xf>
    <xf numFmtId="0" fontId="47" fillId="22" borderId="0" xfId="0" applyFont="1" applyFill="1" applyBorder="1" applyAlignment="1">
      <alignment horizontal="left" vertical="center" wrapText="1"/>
    </xf>
    <xf numFmtId="0" fontId="50" fillId="4" borderId="124" xfId="0" applyFont="1" applyFill="1" applyBorder="1" applyAlignment="1">
      <alignment horizontal="left" vertical="center" wrapText="1"/>
    </xf>
    <xf numFmtId="0" fontId="50" fillId="4" borderId="124" xfId="0" applyFont="1" applyFill="1" applyBorder="1" applyAlignment="1">
      <alignment horizontal="center" vertical="center" wrapText="1"/>
    </xf>
    <xf numFmtId="0" fontId="50" fillId="11" borderId="124" xfId="0" applyFont="1" applyFill="1" applyBorder="1" applyAlignment="1">
      <alignment horizontal="center" vertical="center" wrapText="1"/>
    </xf>
    <xf numFmtId="0" fontId="0" fillId="0" borderId="87" xfId="0" applyBorder="1" applyAlignment="1">
      <alignment horizontal="center"/>
    </xf>
    <xf numFmtId="0" fontId="0" fillId="0" borderId="114" xfId="0" applyBorder="1" applyAlignment="1">
      <alignment horizontal="center"/>
    </xf>
    <xf numFmtId="0" fontId="53" fillId="0" borderId="87" xfId="0" applyFont="1" applyBorder="1" applyAlignment="1">
      <alignment horizontal="left" vertical="center"/>
    </xf>
    <xf numFmtId="0" fontId="53" fillId="0" borderId="114" xfId="0" applyFont="1" applyBorder="1" applyAlignment="1">
      <alignment horizontal="left" vertical="center"/>
    </xf>
    <xf numFmtId="0" fontId="53" fillId="0" borderId="105" xfId="0" applyFont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/>
    <cellStyle name="Normal 5" xfId="4"/>
    <cellStyle name="Normal_PP-V" xfId="6"/>
    <cellStyle name="Normal_PP-VI" xfId="7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39</xdr:row>
      <xdr:rowOff>2475</xdr:rowOff>
    </xdr:from>
    <xdr:to>
      <xdr:col>19</xdr:col>
      <xdr:colOff>255944</xdr:colOff>
      <xdr:row>46</xdr:row>
      <xdr:rowOff>123825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192975"/>
          <a:ext cx="8152169" cy="145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288925</xdr:colOff>
      <xdr:row>0</xdr:row>
      <xdr:rowOff>0</xdr:rowOff>
    </xdr:from>
    <xdr:ext cx="10502265" cy="219773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775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/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/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9"/>
  <sheetViews>
    <sheetView showGridLines="0" tabSelected="1" topLeftCell="A7" zoomScale="120" zoomScaleNormal="120" workbookViewId="0">
      <selection activeCell="D30" sqref="D30"/>
    </sheetView>
  </sheetViews>
  <sheetFormatPr defaultColWidth="23.85546875" defaultRowHeight="15" x14ac:dyDescent="0.25"/>
  <cols>
    <col min="1" max="1" width="22.28515625" customWidth="1"/>
    <col min="2" max="2" width="19" customWidth="1"/>
    <col min="3" max="3" width="19.42578125" customWidth="1"/>
    <col min="4" max="4" width="20.42578125" customWidth="1"/>
    <col min="5" max="5" width="20.5703125" customWidth="1"/>
    <col min="6" max="6" width="54" customWidth="1"/>
  </cols>
  <sheetData>
    <row r="1" spans="1:9" ht="43.5" customHeight="1" thickBot="1" x14ac:dyDescent="0.3">
      <c r="A1" s="528" t="s">
        <v>1323</v>
      </c>
      <c r="B1" s="528"/>
      <c r="C1" s="526"/>
      <c r="F1" t="s">
        <v>1220</v>
      </c>
    </row>
    <row r="2" spans="1:9" ht="20.25" customHeight="1" thickBot="1" x14ac:dyDescent="0.3">
      <c r="A2" s="530" t="s">
        <v>16</v>
      </c>
      <c r="B2" s="696" t="s">
        <v>1218</v>
      </c>
      <c r="C2" s="697"/>
      <c r="D2" s="698" t="s">
        <v>1219</v>
      </c>
      <c r="F2" s="517" t="s">
        <v>1196</v>
      </c>
      <c r="G2" s="518" t="s">
        <v>1197</v>
      </c>
      <c r="H2" s="518" t="s">
        <v>1201</v>
      </c>
    </row>
    <row r="3" spans="1:9" s="14" customFormat="1" ht="15.75" thickBot="1" x14ac:dyDescent="0.3">
      <c r="A3" s="531"/>
      <c r="B3" s="304" t="s">
        <v>11</v>
      </c>
      <c r="C3" s="304" t="s">
        <v>10</v>
      </c>
      <c r="D3" s="699"/>
      <c r="E3"/>
      <c r="F3" s="541" t="s">
        <v>1198</v>
      </c>
      <c r="G3" s="520">
        <f>'Anexo 3_CF_O&amp;M'!C5</f>
        <v>59582675.238323562</v>
      </c>
      <c r="H3" s="523">
        <f t="shared" ref="H3:H11" si="0">G3/$G$11</f>
        <v>0.46333219995145514</v>
      </c>
      <c r="I3" s="535"/>
    </row>
    <row r="4" spans="1:9" s="14" customFormat="1" ht="15.75" thickBot="1" x14ac:dyDescent="0.3">
      <c r="A4" s="529" t="s">
        <v>17</v>
      </c>
      <c r="B4" s="525">
        <v>7.57</v>
      </c>
      <c r="C4" s="525">
        <v>0</v>
      </c>
      <c r="D4" s="459">
        <f>SUM(B4:C4)</f>
        <v>7.57</v>
      </c>
      <c r="E4"/>
      <c r="F4" s="541" t="s">
        <v>0</v>
      </c>
      <c r="G4" s="520">
        <f>'Anexo 4_Custos Ambiental'!C17</f>
        <v>19439789.75018796</v>
      </c>
      <c r="H4" s="523">
        <f t="shared" si="0"/>
        <v>0.15116945513978841</v>
      </c>
      <c r="I4" s="569"/>
    </row>
    <row r="5" spans="1:9" s="14" customFormat="1" ht="15.75" thickBot="1" x14ac:dyDescent="0.3">
      <c r="A5" s="529" t="s">
        <v>18</v>
      </c>
      <c r="B5" s="525">
        <v>0.85</v>
      </c>
      <c r="C5" s="525">
        <v>4.2</v>
      </c>
      <c r="D5" s="459">
        <f>SUM(B5:C5)</f>
        <v>5.05</v>
      </c>
      <c r="E5"/>
      <c r="F5" s="541" t="s">
        <v>1200</v>
      </c>
      <c r="G5" s="520">
        <f>'Anexo 5_CF_FRA_valores MI'!G6</f>
        <v>18784827.122308619</v>
      </c>
      <c r="H5" s="523">
        <f t="shared" si="0"/>
        <v>0.14607627538497719</v>
      </c>
      <c r="I5" s="569"/>
    </row>
    <row r="6" spans="1:9" s="2" customFormat="1" ht="15.75" thickBot="1" x14ac:dyDescent="0.3">
      <c r="A6" s="529" t="s">
        <v>19</v>
      </c>
      <c r="B6" s="525">
        <v>0.59</v>
      </c>
      <c r="C6" s="525">
        <v>4.8</v>
      </c>
      <c r="D6" s="459">
        <f>SUM(B6:C6)</f>
        <v>5.39</v>
      </c>
      <c r="F6" s="541" t="s">
        <v>1</v>
      </c>
      <c r="G6" s="520">
        <f>'Anexo 6_Desp Adm'!F4</f>
        <v>14467413.33132932</v>
      </c>
      <c r="H6" s="523">
        <f t="shared" si="0"/>
        <v>0.11250281091944518</v>
      </c>
      <c r="I6" s="569"/>
    </row>
    <row r="7" spans="1:9" ht="15.75" thickBot="1" x14ac:dyDescent="0.3">
      <c r="A7" s="529" t="s">
        <v>20</v>
      </c>
      <c r="B7" s="525">
        <v>1.97</v>
      </c>
      <c r="C7" s="525">
        <v>0</v>
      </c>
      <c r="D7" s="459">
        <f t="shared" ref="D7" si="1">SUM(B7:C7)</f>
        <v>1.97</v>
      </c>
      <c r="F7" s="571" t="s">
        <v>1199</v>
      </c>
      <c r="G7" s="520">
        <v>11959429.439999999</v>
      </c>
      <c r="H7" s="523">
        <f t="shared" si="0"/>
        <v>9.2999999252052851E-2</v>
      </c>
      <c r="I7" s="570"/>
    </row>
    <row r="8" spans="1:9" ht="15.75" thickBot="1" x14ac:dyDescent="0.3">
      <c r="A8" s="524" t="s">
        <v>9</v>
      </c>
      <c r="B8" s="459">
        <f>SUM(B4:B7)</f>
        <v>10.98</v>
      </c>
      <c r="C8" s="459">
        <f>SUM(C4:C7)</f>
        <v>9</v>
      </c>
      <c r="D8" s="459">
        <f>SUM(B8:C8)</f>
        <v>19.98</v>
      </c>
      <c r="F8" s="541" t="s">
        <v>1203</v>
      </c>
      <c r="G8" s="520">
        <f>'Anexo 2_CF_CV Energia Elétrica'!N12</f>
        <v>2108614.785343864</v>
      </c>
      <c r="H8" s="523">
        <f t="shared" si="0"/>
        <v>1.6397201425342157E-2</v>
      </c>
      <c r="I8" s="535"/>
    </row>
    <row r="9" spans="1:9" ht="15.75" thickBot="1" x14ac:dyDescent="0.3">
      <c r="F9" s="541" t="s">
        <v>1204</v>
      </c>
      <c r="G9" s="520">
        <f>'Anexo 8_Tx Adm'!C4</f>
        <v>1911969.8621036941</v>
      </c>
      <c r="H9" s="523">
        <f t="shared" si="0"/>
        <v>1.4868033348720618E-2</v>
      </c>
      <c r="I9" s="535"/>
    </row>
    <row r="10" spans="1:9" ht="14.25" customHeight="1" thickBot="1" x14ac:dyDescent="0.3">
      <c r="A10" s="566" t="s">
        <v>1222</v>
      </c>
      <c r="B10" s="567">
        <f>D8*86400*365</f>
        <v>630089280</v>
      </c>
      <c r="C10" s="566" t="s">
        <v>1325</v>
      </c>
      <c r="D10" s="657">
        <f>1-(D8/26.4)</f>
        <v>0.24318181818181817</v>
      </c>
      <c r="F10" s="377" t="s">
        <v>82</v>
      </c>
      <c r="G10" s="688">
        <f>'Anexo 3_CF_O&amp;M'!C39</f>
        <v>341296.98849999998</v>
      </c>
      <c r="H10" s="523">
        <f t="shared" si="0"/>
        <v>2.6540245782183309E-3</v>
      </c>
      <c r="I10" s="535"/>
    </row>
    <row r="11" spans="1:9" ht="24.75" customHeight="1" thickBot="1" x14ac:dyDescent="0.3">
      <c r="F11" s="521" t="s">
        <v>9</v>
      </c>
      <c r="G11" s="522">
        <f>SUM(G3:G10)</f>
        <v>128596016.51809703</v>
      </c>
      <c r="H11" s="523">
        <f t="shared" si="0"/>
        <v>1</v>
      </c>
      <c r="I11" s="535"/>
    </row>
    <row r="12" spans="1:9" ht="16.5" customHeight="1" x14ac:dyDescent="0.25">
      <c r="A12" s="564" t="s">
        <v>1242</v>
      </c>
      <c r="B12" s="564" t="s">
        <v>1244</v>
      </c>
      <c r="C12" s="564" t="s">
        <v>1245</v>
      </c>
      <c r="D12" s="658"/>
    </row>
    <row r="13" spans="1:9" x14ac:dyDescent="0.25">
      <c r="A13" s="565" t="s">
        <v>1243</v>
      </c>
      <c r="B13" s="563">
        <f>G11/B10</f>
        <v>0.20409173842490547</v>
      </c>
      <c r="C13" s="563">
        <f>H22/B10</f>
        <v>0.23810702816238974</v>
      </c>
    </row>
    <row r="14" spans="1:9" ht="15.75" thickBot="1" x14ac:dyDescent="0.3">
      <c r="A14" s="565" t="s">
        <v>285</v>
      </c>
      <c r="B14" s="563">
        <f>G18/B10</f>
        <v>0.3026200783141717</v>
      </c>
      <c r="C14" s="563">
        <f>H23/B10</f>
        <v>0.3530567580332003</v>
      </c>
      <c r="F14" t="s">
        <v>1221</v>
      </c>
    </row>
    <row r="15" spans="1:9" ht="15.75" thickBot="1" x14ac:dyDescent="0.3">
      <c r="A15" s="560"/>
      <c r="B15" s="563"/>
      <c r="F15" s="517" t="s">
        <v>1196</v>
      </c>
      <c r="G15" s="518" t="s">
        <v>1197</v>
      </c>
      <c r="H15" s="518" t="s">
        <v>1201</v>
      </c>
    </row>
    <row r="16" spans="1:9" ht="15.75" thickBot="1" x14ac:dyDescent="0.3">
      <c r="B16" s="563"/>
      <c r="F16" s="541" t="s">
        <v>1202</v>
      </c>
      <c r="G16" s="520">
        <f>'Anexo 2_CF_CV Energia Elétrica'!R3</f>
        <v>189357122.14083573</v>
      </c>
      <c r="H16" s="523">
        <f>G16/G18</f>
        <v>0.99307446363976148</v>
      </c>
    </row>
    <row r="17" spans="1:11" ht="15.75" thickBot="1" x14ac:dyDescent="0.3">
      <c r="C17" s="535"/>
      <c r="F17" s="541" t="s">
        <v>1205</v>
      </c>
      <c r="G17" s="520">
        <f>'Anexo 8_Tx Adm'!C8</f>
        <v>1320545.117684338</v>
      </c>
      <c r="H17" s="523">
        <f>G17/G18</f>
        <v>6.9255363602384956E-3</v>
      </c>
    </row>
    <row r="18" spans="1:11" ht="15.75" thickBot="1" x14ac:dyDescent="0.3">
      <c r="F18" s="521" t="s">
        <v>9</v>
      </c>
      <c r="G18" s="522">
        <f>SUM(G16:G17)</f>
        <v>190677667.25852007</v>
      </c>
      <c r="H18" s="523">
        <f>SUM(H16:H17)</f>
        <v>1</v>
      </c>
    </row>
    <row r="19" spans="1:11" ht="15.75" thickBot="1" x14ac:dyDescent="0.3">
      <c r="A19" s="693" t="str">
        <f>A12</f>
        <v xml:space="preserve">Tarifa de Referência </v>
      </c>
      <c r="B19" s="694" t="str">
        <f>C12</f>
        <v>Com PDD  (R$/m³)</v>
      </c>
      <c r="C19" s="550"/>
      <c r="D19" s="550"/>
      <c r="F19" s="540" t="s">
        <v>1225</v>
      </c>
      <c r="G19" s="689">
        <f>G11+G18</f>
        <v>319273683.77661711</v>
      </c>
      <c r="H19" s="542">
        <f>G19/G19</f>
        <v>1</v>
      </c>
    </row>
    <row r="20" spans="1:11" ht="15.75" thickBot="1" x14ac:dyDescent="0.3">
      <c r="A20" s="1" t="str">
        <f t="shared" ref="A20:A21" si="2">A13</f>
        <v>Disponibilidade</v>
      </c>
      <c r="B20" s="692">
        <f t="shared" ref="B20:B21" si="3">C13</f>
        <v>0.23810702816238974</v>
      </c>
      <c r="C20" s="553"/>
      <c r="D20" s="554"/>
      <c r="E20" s="14"/>
    </row>
    <row r="21" spans="1:11" ht="15.75" thickBot="1" x14ac:dyDescent="0.3">
      <c r="A21" s="1" t="str">
        <f t="shared" si="2"/>
        <v>Consumo</v>
      </c>
      <c r="B21" s="692">
        <f t="shared" si="3"/>
        <v>0.3530567580332003</v>
      </c>
      <c r="C21" s="553"/>
      <c r="D21" s="554"/>
      <c r="E21" s="14"/>
      <c r="F21" s="517" t="s">
        <v>41</v>
      </c>
      <c r="G21" s="518" t="s">
        <v>1237</v>
      </c>
      <c r="H21" s="518" t="s">
        <v>1238</v>
      </c>
      <c r="I21" s="518" t="s">
        <v>1239</v>
      </c>
    </row>
    <row r="22" spans="1:11" ht="15.75" thickBot="1" x14ac:dyDescent="0.3">
      <c r="A22" s="551"/>
      <c r="B22" s="552"/>
      <c r="C22" s="553"/>
      <c r="D22" s="554"/>
      <c r="F22" s="556" t="s">
        <v>1235</v>
      </c>
      <c r="G22" s="557">
        <f>G11</f>
        <v>128596016.51809703</v>
      </c>
      <c r="H22" s="557">
        <f>G22+H27</f>
        <v>150028685.93777987</v>
      </c>
      <c r="I22" s="558">
        <f>G22/G24</f>
        <v>0.40277674939244434</v>
      </c>
      <c r="K22" s="14"/>
    </row>
    <row r="23" spans="1:11" ht="15.75" thickBot="1" x14ac:dyDescent="0.3">
      <c r="A23" s="551"/>
      <c r="B23" s="552"/>
      <c r="C23" s="553"/>
      <c r="D23" s="554"/>
      <c r="F23" s="556" t="s">
        <v>1236</v>
      </c>
      <c r="G23" s="557">
        <f>G18</f>
        <v>190677667.25852007</v>
      </c>
      <c r="H23" s="557">
        <f>G23+H28</f>
        <v>222457278.4682734</v>
      </c>
      <c r="I23" s="558">
        <f>G23/G24</f>
        <v>0.59722325060755566</v>
      </c>
      <c r="K23" s="2"/>
    </row>
    <row r="24" spans="1:11" ht="15.75" thickBot="1" x14ac:dyDescent="0.3">
      <c r="A24" s="551"/>
      <c r="B24" s="555"/>
      <c r="C24" s="553"/>
      <c r="D24" s="554"/>
      <c r="F24" s="556" t="s">
        <v>1241</v>
      </c>
      <c r="G24" s="557">
        <f>SUM(G22:G23)</f>
        <v>319273683.77661711</v>
      </c>
      <c r="H24" s="557">
        <f>SUM(H22:H23)</f>
        <v>372485964.4060533</v>
      </c>
      <c r="I24" s="559">
        <f>SUM(I22:I23)</f>
        <v>1</v>
      </c>
    </row>
    <row r="25" spans="1:11" x14ac:dyDescent="0.25">
      <c r="A25" s="49"/>
      <c r="B25" s="49"/>
      <c r="C25" s="49"/>
      <c r="D25" s="49"/>
      <c r="F25" s="18"/>
    </row>
    <row r="26" spans="1:11" x14ac:dyDescent="0.25">
      <c r="G26" s="4"/>
      <c r="H26" s="561" t="s">
        <v>1240</v>
      </c>
    </row>
    <row r="27" spans="1:11" x14ac:dyDescent="0.25">
      <c r="G27" s="535"/>
      <c r="H27" s="562">
        <f>G11*(6/36)</f>
        <v>21432669.419682838</v>
      </c>
      <c r="I27" s="535"/>
      <c r="J27" s="3"/>
    </row>
    <row r="28" spans="1:11" x14ac:dyDescent="0.25">
      <c r="H28" s="562">
        <f>G18*(6/36)</f>
        <v>31779611.209753342</v>
      </c>
      <c r="I28" s="535"/>
      <c r="J28" s="3"/>
    </row>
    <row r="29" spans="1:11" x14ac:dyDescent="0.25">
      <c r="B29" s="3"/>
      <c r="H29" s="562">
        <f>SUM(H27:H28)</f>
        <v>53212280.62943618</v>
      </c>
      <c r="J29" s="3"/>
    </row>
  </sheetData>
  <mergeCells count="2">
    <mergeCell ref="B2:C2"/>
    <mergeCell ref="D2:D3"/>
  </mergeCells>
  <hyperlinks>
    <hyperlink ref="F3" location="'Anexo 2_CF_O&amp;M'!A1" display="Operação e Manutenção"/>
    <hyperlink ref="F4" location="'Anexo 3_Custos Ambiental'!A1" display="Custos Ambientais"/>
    <hyperlink ref="F5" location="'Anexo 4_CF_FRA_valores MI'!A1" display="Fundo de Reposição de Ativos"/>
    <hyperlink ref="F6" location="'Anexo 5_Resumo_Desp Adm'!A1" display="Despesas Administrativas"/>
    <hyperlink ref="F9" location="'Anexos 7 e 8_Tx Adm e Seguros'!A1" display="Taxa de Administração - Parcela Fixa"/>
    <hyperlink ref="F8" location="'Anexo 1_CF_CV Energia Elétrica'!A1" display="Energia Elétrica - Parcela Fixa"/>
    <hyperlink ref="F16" location="'Anexo 1_CF_CV Energia Elétrica'!A1" display="Energia Elétrica - Parcela Variável"/>
    <hyperlink ref="F17" location="'Anexos 7 e 8_Tx Adm e Seguros'!A1" display="Taxa de Administração - Parcela Variável"/>
  </hyperlinks>
  <pageMargins left="0.511811024" right="0.511811024" top="0.78740157499999996" bottom="0.78740157499999996" header="0.31496062000000002" footer="0.31496062000000002"/>
  <pageSetup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workbookViewId="0">
      <selection activeCell="H58" sqref="H58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422</v>
      </c>
    </row>
    <row r="4" spans="2:11" ht="15.75" customHeight="1" x14ac:dyDescent="0.25">
      <c r="B4" s="768"/>
      <c r="C4" s="768"/>
      <c r="D4" s="768"/>
      <c r="E4" s="768"/>
      <c r="F4" s="768"/>
      <c r="G4" s="768"/>
      <c r="H4" s="7"/>
      <c r="I4" s="7"/>
    </row>
    <row r="5" spans="2:11" ht="22.5" x14ac:dyDescent="0.25">
      <c r="B5" s="471" t="s">
        <v>421</v>
      </c>
      <c r="C5" s="472" t="s">
        <v>139</v>
      </c>
      <c r="D5" s="472" t="s">
        <v>216</v>
      </c>
      <c r="E5" s="472" t="s">
        <v>420</v>
      </c>
      <c r="F5" s="472" t="s">
        <v>419</v>
      </c>
      <c r="G5" s="472" t="s">
        <v>418</v>
      </c>
      <c r="H5" s="472" t="s">
        <v>12</v>
      </c>
      <c r="I5" s="472" t="s">
        <v>417</v>
      </c>
      <c r="K5" s="154" t="s">
        <v>416</v>
      </c>
    </row>
    <row r="6" spans="2:11" ht="22.5" x14ac:dyDescent="0.25">
      <c r="B6" s="473" t="s">
        <v>415</v>
      </c>
      <c r="C6" s="472">
        <v>100</v>
      </c>
      <c r="D6" s="472" t="s">
        <v>363</v>
      </c>
      <c r="E6" s="474">
        <v>2880</v>
      </c>
      <c r="F6" s="474"/>
      <c r="G6" s="475">
        <f t="shared" ref="G6:G34" si="0">C6*E6</f>
        <v>288000</v>
      </c>
      <c r="H6" s="292">
        <f t="shared" ref="H6:H37" si="1">G6/$G$57</f>
        <v>7.9579994473611498E-2</v>
      </c>
      <c r="I6" s="292">
        <f>H6</f>
        <v>7.9579994473611498E-2</v>
      </c>
      <c r="K6">
        <f>168.99*8</f>
        <v>1351.92</v>
      </c>
    </row>
    <row r="7" spans="2:11" ht="22.5" x14ac:dyDescent="0.25">
      <c r="B7" s="473" t="s">
        <v>414</v>
      </c>
      <c r="C7" s="472">
        <v>100</v>
      </c>
      <c r="D7" s="472" t="s">
        <v>363</v>
      </c>
      <c r="E7" s="474">
        <v>2880</v>
      </c>
      <c r="F7" s="474"/>
      <c r="G7" s="475">
        <f t="shared" si="0"/>
        <v>288000</v>
      </c>
      <c r="H7" s="292">
        <f t="shared" si="1"/>
        <v>7.9579994473611498E-2</v>
      </c>
      <c r="I7" s="292">
        <f t="shared" ref="I7:I38" si="2">H7+I6</f>
        <v>0.159159988947223</v>
      </c>
    </row>
    <row r="8" spans="2:11" x14ac:dyDescent="0.25">
      <c r="B8" s="473" t="s">
        <v>413</v>
      </c>
      <c r="C8" s="472">
        <v>300</v>
      </c>
      <c r="D8" s="472" t="s">
        <v>363</v>
      </c>
      <c r="E8" s="474">
        <v>750</v>
      </c>
      <c r="F8" s="474"/>
      <c r="G8" s="475">
        <f t="shared" si="0"/>
        <v>225000</v>
      </c>
      <c r="H8" s="292">
        <f t="shared" si="1"/>
        <v>6.2171870682508977E-2</v>
      </c>
      <c r="I8" s="292">
        <f t="shared" si="2"/>
        <v>0.22133185962973198</v>
      </c>
      <c r="K8">
        <f>43.19*8</f>
        <v>345.52</v>
      </c>
    </row>
    <row r="9" spans="2:11" x14ac:dyDescent="0.25">
      <c r="B9" s="473" t="s">
        <v>412</v>
      </c>
      <c r="C9" s="472">
        <v>100</v>
      </c>
      <c r="D9" s="472" t="s">
        <v>363</v>
      </c>
      <c r="E9" s="474">
        <v>2100</v>
      </c>
      <c r="F9" s="474"/>
      <c r="G9" s="475">
        <f t="shared" si="0"/>
        <v>210000</v>
      </c>
      <c r="H9" s="292">
        <f t="shared" si="1"/>
        <v>5.8027079303675046E-2</v>
      </c>
      <c r="I9" s="292">
        <f t="shared" si="2"/>
        <v>0.27935893893340702</v>
      </c>
      <c r="K9">
        <f>128.7*8</f>
        <v>1029.5999999999999</v>
      </c>
    </row>
    <row r="10" spans="2:11" ht="22.5" x14ac:dyDescent="0.25">
      <c r="B10" s="473" t="s">
        <v>411</v>
      </c>
      <c r="C10" s="472">
        <v>200</v>
      </c>
      <c r="D10" s="472" t="s">
        <v>363</v>
      </c>
      <c r="E10" s="474">
        <v>980</v>
      </c>
      <c r="F10" s="474"/>
      <c r="G10" s="475">
        <f t="shared" si="0"/>
        <v>196000</v>
      </c>
      <c r="H10" s="292">
        <f t="shared" si="1"/>
        <v>5.4158607350096713E-2</v>
      </c>
      <c r="I10" s="292">
        <f t="shared" si="2"/>
        <v>0.33351754628350372</v>
      </c>
    </row>
    <row r="11" spans="2:11" x14ac:dyDescent="0.25">
      <c r="B11" s="473" t="s">
        <v>410</v>
      </c>
      <c r="C11" s="472">
        <v>200</v>
      </c>
      <c r="D11" s="472" t="s">
        <v>363</v>
      </c>
      <c r="E11" s="474">
        <v>980</v>
      </c>
      <c r="F11" s="474"/>
      <c r="G11" s="475">
        <f t="shared" si="0"/>
        <v>196000</v>
      </c>
      <c r="H11" s="292">
        <f t="shared" si="1"/>
        <v>5.4158607350096713E-2</v>
      </c>
      <c r="I11" s="292">
        <f t="shared" si="2"/>
        <v>0.38767615363360042</v>
      </c>
    </row>
    <row r="12" spans="2:11" ht="22.5" x14ac:dyDescent="0.25">
      <c r="B12" s="473" t="s">
        <v>409</v>
      </c>
      <c r="C12" s="472">
        <v>150</v>
      </c>
      <c r="D12" s="472" t="s">
        <v>363</v>
      </c>
      <c r="E12" s="474">
        <v>1280</v>
      </c>
      <c r="F12" s="474"/>
      <c r="G12" s="475">
        <f t="shared" si="0"/>
        <v>192000</v>
      </c>
      <c r="H12" s="292">
        <f t="shared" si="1"/>
        <v>5.3053329649074332E-2</v>
      </c>
      <c r="I12" s="292">
        <f t="shared" si="2"/>
        <v>0.44072948328267475</v>
      </c>
    </row>
    <row r="13" spans="2:11" ht="22.5" x14ac:dyDescent="0.25">
      <c r="B13" s="473" t="s">
        <v>408</v>
      </c>
      <c r="C13" s="472">
        <v>150</v>
      </c>
      <c r="D13" s="472" t="s">
        <v>363</v>
      </c>
      <c r="E13" s="474">
        <v>1200</v>
      </c>
      <c r="F13" s="474"/>
      <c r="G13" s="475">
        <f t="shared" si="0"/>
        <v>180000</v>
      </c>
      <c r="H13" s="292">
        <f t="shared" si="1"/>
        <v>4.9737496546007183E-2</v>
      </c>
      <c r="I13" s="292">
        <f t="shared" si="2"/>
        <v>0.49046697982868193</v>
      </c>
    </row>
    <row r="14" spans="2:11" x14ac:dyDescent="0.25">
      <c r="B14" s="473" t="s">
        <v>407</v>
      </c>
      <c r="C14" s="472">
        <v>300</v>
      </c>
      <c r="D14" s="472" t="s">
        <v>363</v>
      </c>
      <c r="E14" s="474">
        <v>500</v>
      </c>
      <c r="F14" s="474"/>
      <c r="G14" s="475">
        <f t="shared" si="0"/>
        <v>150000</v>
      </c>
      <c r="H14" s="292">
        <f t="shared" si="1"/>
        <v>4.144791378833932E-2</v>
      </c>
      <c r="I14" s="292">
        <f t="shared" si="2"/>
        <v>0.53191489361702127</v>
      </c>
    </row>
    <row r="15" spans="2:11" x14ac:dyDescent="0.25">
      <c r="B15" s="473" t="s">
        <v>406</v>
      </c>
      <c r="C15" s="472">
        <v>100</v>
      </c>
      <c r="D15" s="472" t="s">
        <v>363</v>
      </c>
      <c r="E15" s="474">
        <v>1440</v>
      </c>
      <c r="F15" s="474"/>
      <c r="G15" s="475">
        <f t="shared" si="0"/>
        <v>144000</v>
      </c>
      <c r="H15" s="292">
        <f t="shared" si="1"/>
        <v>3.9789997236805749E-2</v>
      </c>
      <c r="I15" s="292">
        <f t="shared" si="2"/>
        <v>0.57170489085382703</v>
      </c>
      <c r="K15">
        <f>152.55*8</f>
        <v>1220.4000000000001</v>
      </c>
    </row>
    <row r="16" spans="2:11" ht="22.5" x14ac:dyDescent="0.25">
      <c r="B16" s="473" t="s">
        <v>405</v>
      </c>
      <c r="C16" s="472">
        <v>200</v>
      </c>
      <c r="D16" s="472" t="s">
        <v>363</v>
      </c>
      <c r="E16" s="474">
        <v>720</v>
      </c>
      <c r="F16" s="474"/>
      <c r="G16" s="475">
        <f t="shared" si="0"/>
        <v>144000</v>
      </c>
      <c r="H16" s="292">
        <f t="shared" si="1"/>
        <v>3.9789997236805749E-2</v>
      </c>
      <c r="I16" s="292">
        <f t="shared" si="2"/>
        <v>0.61149488809063279</v>
      </c>
    </row>
    <row r="17" spans="2:11" x14ac:dyDescent="0.25">
      <c r="B17" s="473" t="s">
        <v>404</v>
      </c>
      <c r="C17" s="472">
        <v>200</v>
      </c>
      <c r="D17" s="472" t="s">
        <v>363</v>
      </c>
      <c r="E17" s="474">
        <v>720</v>
      </c>
      <c r="F17" s="474"/>
      <c r="G17" s="475">
        <f t="shared" si="0"/>
        <v>144000</v>
      </c>
      <c r="H17" s="292">
        <f t="shared" si="1"/>
        <v>3.9789997236805749E-2</v>
      </c>
      <c r="I17" s="292">
        <f t="shared" si="2"/>
        <v>0.65128488532743856</v>
      </c>
      <c r="K17">
        <f>77.4*8</f>
        <v>619.20000000000005</v>
      </c>
    </row>
    <row r="18" spans="2:11" x14ac:dyDescent="0.25">
      <c r="B18" s="473" t="s">
        <v>403</v>
      </c>
      <c r="C18" s="472">
        <v>300</v>
      </c>
      <c r="D18" s="472" t="s">
        <v>363</v>
      </c>
      <c r="E18" s="474">
        <v>350</v>
      </c>
      <c r="F18" s="474"/>
      <c r="G18" s="475">
        <f t="shared" si="0"/>
        <v>105000</v>
      </c>
      <c r="H18" s="292">
        <f t="shared" si="1"/>
        <v>2.9013539651837523E-2</v>
      </c>
      <c r="I18" s="292">
        <f t="shared" si="2"/>
        <v>0.68029842497927606</v>
      </c>
    </row>
    <row r="19" spans="2:11" ht="22.5" x14ac:dyDescent="0.25">
      <c r="B19" s="473" t="s">
        <v>402</v>
      </c>
      <c r="C19" s="472">
        <v>50</v>
      </c>
      <c r="D19" s="472" t="s">
        <v>363</v>
      </c>
      <c r="E19" s="474">
        <v>1800</v>
      </c>
      <c r="F19" s="474"/>
      <c r="G19" s="475">
        <f t="shared" si="0"/>
        <v>90000</v>
      </c>
      <c r="H19" s="292">
        <f t="shared" si="1"/>
        <v>2.4868748273003592E-2</v>
      </c>
      <c r="I19" s="292">
        <f t="shared" si="2"/>
        <v>0.70516717325227962</v>
      </c>
    </row>
    <row r="20" spans="2:11" x14ac:dyDescent="0.25">
      <c r="B20" s="473" t="s">
        <v>401</v>
      </c>
      <c r="C20" s="472">
        <v>300</v>
      </c>
      <c r="D20" s="472" t="s">
        <v>363</v>
      </c>
      <c r="E20" s="474">
        <v>300</v>
      </c>
      <c r="F20" s="474"/>
      <c r="G20" s="475">
        <f t="shared" si="0"/>
        <v>90000</v>
      </c>
      <c r="H20" s="292">
        <f t="shared" si="1"/>
        <v>2.4868748273003592E-2</v>
      </c>
      <c r="I20" s="292">
        <f t="shared" si="2"/>
        <v>0.73003592152528318</v>
      </c>
    </row>
    <row r="21" spans="2:11" x14ac:dyDescent="0.25">
      <c r="B21" s="473" t="s">
        <v>400</v>
      </c>
      <c r="C21" s="472">
        <v>100</v>
      </c>
      <c r="D21" s="472" t="s">
        <v>363</v>
      </c>
      <c r="E21" s="474">
        <v>880</v>
      </c>
      <c r="F21" s="474"/>
      <c r="G21" s="475">
        <f t="shared" si="0"/>
        <v>88000</v>
      </c>
      <c r="H21" s="292">
        <f t="shared" si="1"/>
        <v>2.4316109422492401E-2</v>
      </c>
      <c r="I21" s="292">
        <f t="shared" si="2"/>
        <v>0.75435203094777559</v>
      </c>
    </row>
    <row r="22" spans="2:11" x14ac:dyDescent="0.25">
      <c r="B22" s="473" t="s">
        <v>399</v>
      </c>
      <c r="C22" s="472">
        <v>300</v>
      </c>
      <c r="D22" s="472" t="s">
        <v>363</v>
      </c>
      <c r="E22" s="474">
        <v>260</v>
      </c>
      <c r="F22" s="474"/>
      <c r="G22" s="475">
        <f t="shared" si="0"/>
        <v>78000</v>
      </c>
      <c r="H22" s="292">
        <f t="shared" si="1"/>
        <v>2.1552915169936446E-2</v>
      </c>
      <c r="I22" s="292">
        <f t="shared" si="2"/>
        <v>0.77590494611771199</v>
      </c>
    </row>
    <row r="23" spans="2:11" x14ac:dyDescent="0.25">
      <c r="B23" s="473" t="s">
        <v>398</v>
      </c>
      <c r="C23" s="472">
        <v>300</v>
      </c>
      <c r="D23" s="472" t="s">
        <v>363</v>
      </c>
      <c r="E23" s="474">
        <v>250</v>
      </c>
      <c r="F23" s="474"/>
      <c r="G23" s="475">
        <f t="shared" si="0"/>
        <v>75000</v>
      </c>
      <c r="H23" s="292">
        <f t="shared" si="1"/>
        <v>2.072395689416966E-2</v>
      </c>
      <c r="I23" s="292">
        <f t="shared" si="2"/>
        <v>0.79662890301188161</v>
      </c>
    </row>
    <row r="24" spans="2:11" x14ac:dyDescent="0.25">
      <c r="B24" s="473" t="s">
        <v>397</v>
      </c>
      <c r="C24" s="472">
        <v>300</v>
      </c>
      <c r="D24" s="472" t="s">
        <v>363</v>
      </c>
      <c r="E24" s="474">
        <v>200</v>
      </c>
      <c r="F24" s="474"/>
      <c r="G24" s="475">
        <f t="shared" si="0"/>
        <v>60000</v>
      </c>
      <c r="H24" s="292">
        <f t="shared" si="1"/>
        <v>1.6579165515335729E-2</v>
      </c>
      <c r="I24" s="292">
        <f t="shared" si="2"/>
        <v>0.81320806852721739</v>
      </c>
    </row>
    <row r="25" spans="2:11" x14ac:dyDescent="0.25">
      <c r="B25" s="473" t="s">
        <v>396</v>
      </c>
      <c r="C25" s="472">
        <v>300</v>
      </c>
      <c r="D25" s="472" t="s">
        <v>363</v>
      </c>
      <c r="E25" s="474">
        <v>200</v>
      </c>
      <c r="F25" s="474"/>
      <c r="G25" s="475">
        <f t="shared" si="0"/>
        <v>60000</v>
      </c>
      <c r="H25" s="292">
        <f t="shared" si="1"/>
        <v>1.6579165515335729E-2</v>
      </c>
      <c r="I25" s="292">
        <f t="shared" si="2"/>
        <v>0.82978723404255317</v>
      </c>
    </row>
    <row r="26" spans="2:11" x14ac:dyDescent="0.25">
      <c r="B26" s="473" t="s">
        <v>395</v>
      </c>
      <c r="C26" s="472">
        <v>300</v>
      </c>
      <c r="D26" s="472" t="s">
        <v>363</v>
      </c>
      <c r="E26" s="474">
        <v>200</v>
      </c>
      <c r="F26" s="474"/>
      <c r="G26" s="475">
        <f t="shared" si="0"/>
        <v>60000</v>
      </c>
      <c r="H26" s="292">
        <f t="shared" si="1"/>
        <v>1.6579165515335729E-2</v>
      </c>
      <c r="I26" s="292">
        <f t="shared" si="2"/>
        <v>0.84636639955788895</v>
      </c>
    </row>
    <row r="27" spans="2:11" ht="22.5" x14ac:dyDescent="0.25">
      <c r="B27" s="473" t="s">
        <v>394</v>
      </c>
      <c r="C27" s="472">
        <v>50</v>
      </c>
      <c r="D27" s="472" t="s">
        <v>363</v>
      </c>
      <c r="E27" s="474">
        <v>1080</v>
      </c>
      <c r="F27" s="474"/>
      <c r="G27" s="475">
        <f t="shared" si="0"/>
        <v>54000</v>
      </c>
      <c r="H27" s="292">
        <f t="shared" si="1"/>
        <v>1.4921248963802156E-2</v>
      </c>
      <c r="I27" s="292">
        <f t="shared" si="2"/>
        <v>0.86128764852169115</v>
      </c>
    </row>
    <row r="28" spans="2:11" x14ac:dyDescent="0.25">
      <c r="B28" s="473" t="s">
        <v>393</v>
      </c>
      <c r="C28" s="472">
        <v>50</v>
      </c>
      <c r="D28" s="472" t="s">
        <v>363</v>
      </c>
      <c r="E28" s="474">
        <v>960</v>
      </c>
      <c r="F28" s="474"/>
      <c r="G28" s="475">
        <f t="shared" si="0"/>
        <v>48000</v>
      </c>
      <c r="H28" s="292">
        <f t="shared" si="1"/>
        <v>1.3263332412268583E-2</v>
      </c>
      <c r="I28" s="292">
        <f t="shared" si="2"/>
        <v>0.87455098093395978</v>
      </c>
    </row>
    <row r="29" spans="2:11" x14ac:dyDescent="0.25">
      <c r="B29" s="473" t="s">
        <v>392</v>
      </c>
      <c r="C29" s="472">
        <v>300</v>
      </c>
      <c r="D29" s="472" t="s">
        <v>363</v>
      </c>
      <c r="E29" s="474">
        <v>150</v>
      </c>
      <c r="F29" s="474"/>
      <c r="G29" s="475">
        <f t="shared" si="0"/>
        <v>45000</v>
      </c>
      <c r="H29" s="292">
        <f t="shared" si="1"/>
        <v>1.2434374136501796E-2</v>
      </c>
      <c r="I29" s="292">
        <f t="shared" si="2"/>
        <v>0.88698535507046161</v>
      </c>
    </row>
    <row r="30" spans="2:11" x14ac:dyDescent="0.25">
      <c r="B30" s="473" t="s">
        <v>391</v>
      </c>
      <c r="C30" s="472">
        <v>300</v>
      </c>
      <c r="D30" s="472" t="s">
        <v>363</v>
      </c>
      <c r="E30" s="474">
        <v>150</v>
      </c>
      <c r="F30" s="474"/>
      <c r="G30" s="475">
        <f t="shared" si="0"/>
        <v>45000</v>
      </c>
      <c r="H30" s="292">
        <f t="shared" si="1"/>
        <v>1.2434374136501796E-2</v>
      </c>
      <c r="I30" s="292">
        <f t="shared" si="2"/>
        <v>0.89941972920696345</v>
      </c>
    </row>
    <row r="31" spans="2:11" x14ac:dyDescent="0.25">
      <c r="B31" s="473" t="s">
        <v>390</v>
      </c>
      <c r="C31" s="472">
        <v>300</v>
      </c>
      <c r="D31" s="472" t="s">
        <v>363</v>
      </c>
      <c r="E31" s="474">
        <v>150</v>
      </c>
      <c r="F31" s="474"/>
      <c r="G31" s="475">
        <f t="shared" si="0"/>
        <v>45000</v>
      </c>
      <c r="H31" s="292">
        <f t="shared" si="1"/>
        <v>1.2434374136501796E-2</v>
      </c>
      <c r="I31" s="292">
        <f t="shared" si="2"/>
        <v>0.91185410334346528</v>
      </c>
    </row>
    <row r="32" spans="2:11" x14ac:dyDescent="0.25">
      <c r="B32" s="473" t="s">
        <v>389</v>
      </c>
      <c r="C32" s="472">
        <v>300</v>
      </c>
      <c r="D32" s="472" t="s">
        <v>363</v>
      </c>
      <c r="E32" s="474">
        <v>100</v>
      </c>
      <c r="F32" s="474"/>
      <c r="G32" s="475">
        <f t="shared" si="0"/>
        <v>30000</v>
      </c>
      <c r="H32" s="292">
        <f t="shared" si="1"/>
        <v>8.2895827576678644E-3</v>
      </c>
      <c r="I32" s="292">
        <f t="shared" si="2"/>
        <v>0.92014368610113317</v>
      </c>
    </row>
    <row r="33" spans="2:9" ht="22.5" x14ac:dyDescent="0.25">
      <c r="B33" s="473" t="s">
        <v>388</v>
      </c>
      <c r="C33" s="472">
        <v>100</v>
      </c>
      <c r="D33" s="472" t="s">
        <v>363</v>
      </c>
      <c r="E33" s="474">
        <v>250</v>
      </c>
      <c r="F33" s="474"/>
      <c r="G33" s="475">
        <f t="shared" si="0"/>
        <v>25000</v>
      </c>
      <c r="H33" s="292">
        <f t="shared" si="1"/>
        <v>6.9079856313898867E-3</v>
      </c>
      <c r="I33" s="292">
        <f t="shared" si="2"/>
        <v>0.92705167173252301</v>
      </c>
    </row>
    <row r="34" spans="2:9" x14ac:dyDescent="0.25">
      <c r="B34" s="473" t="s">
        <v>387</v>
      </c>
      <c r="C34" s="472">
        <v>100</v>
      </c>
      <c r="D34" s="472" t="s">
        <v>363</v>
      </c>
      <c r="E34" s="474">
        <v>250</v>
      </c>
      <c r="F34" s="474"/>
      <c r="G34" s="475">
        <f t="shared" si="0"/>
        <v>25000</v>
      </c>
      <c r="H34" s="292">
        <f t="shared" si="1"/>
        <v>6.9079856313898867E-3</v>
      </c>
      <c r="I34" s="292">
        <f t="shared" si="2"/>
        <v>0.93395965736391284</v>
      </c>
    </row>
    <row r="35" spans="2:9" ht="22.5" x14ac:dyDescent="0.25">
      <c r="B35" s="473" t="s">
        <v>386</v>
      </c>
      <c r="C35" s="472">
        <v>5000</v>
      </c>
      <c r="D35" s="472" t="s">
        <v>55</v>
      </c>
      <c r="E35" s="474"/>
      <c r="F35" s="474">
        <v>4.5</v>
      </c>
      <c r="G35" s="475">
        <f>C35*F35</f>
        <v>22500</v>
      </c>
      <c r="H35" s="292">
        <f t="shared" si="1"/>
        <v>6.2171870682508979E-3</v>
      </c>
      <c r="I35" s="292">
        <f t="shared" si="2"/>
        <v>0.94017684443216376</v>
      </c>
    </row>
    <row r="36" spans="2:9" ht="22.5" x14ac:dyDescent="0.25">
      <c r="B36" s="473" t="s">
        <v>385</v>
      </c>
      <c r="C36" s="472">
        <v>5000</v>
      </c>
      <c r="D36" s="472" t="s">
        <v>384</v>
      </c>
      <c r="E36" s="474"/>
      <c r="F36" s="474">
        <v>4.5</v>
      </c>
      <c r="G36" s="475">
        <f>C36*F36</f>
        <v>22500</v>
      </c>
      <c r="H36" s="292">
        <f t="shared" si="1"/>
        <v>6.2171870682508979E-3</v>
      </c>
      <c r="I36" s="292">
        <f t="shared" si="2"/>
        <v>0.94639403150041468</v>
      </c>
    </row>
    <row r="37" spans="2:9" x14ac:dyDescent="0.25">
      <c r="B37" s="473" t="s">
        <v>383</v>
      </c>
      <c r="C37" s="472">
        <v>100</v>
      </c>
      <c r="D37" s="472" t="s">
        <v>363</v>
      </c>
      <c r="E37" s="474">
        <v>220</v>
      </c>
      <c r="F37" s="474"/>
      <c r="G37" s="475">
        <f t="shared" ref="G37:G56" si="3">C37*E37</f>
        <v>22000</v>
      </c>
      <c r="H37" s="292">
        <f t="shared" si="1"/>
        <v>6.0790273556231003E-3</v>
      </c>
      <c r="I37" s="292">
        <f t="shared" si="2"/>
        <v>0.95247305885603772</v>
      </c>
    </row>
    <row r="38" spans="2:9" ht="22.5" x14ac:dyDescent="0.25">
      <c r="B38" s="473" t="s">
        <v>382</v>
      </c>
      <c r="C38" s="472">
        <v>100</v>
      </c>
      <c r="D38" s="472" t="s">
        <v>363</v>
      </c>
      <c r="E38" s="474">
        <v>185</v>
      </c>
      <c r="F38" s="474"/>
      <c r="G38" s="475">
        <f t="shared" si="3"/>
        <v>18500</v>
      </c>
      <c r="H38" s="292">
        <f t="shared" ref="H38:H56" si="4">G38/$G$57</f>
        <v>5.1119093672285162E-3</v>
      </c>
      <c r="I38" s="292">
        <f t="shared" si="2"/>
        <v>0.95758496822326622</v>
      </c>
    </row>
    <row r="39" spans="2:9" x14ac:dyDescent="0.25">
      <c r="B39" s="473" t="s">
        <v>381</v>
      </c>
      <c r="C39" s="472">
        <v>100</v>
      </c>
      <c r="D39" s="472" t="s">
        <v>363</v>
      </c>
      <c r="E39" s="474">
        <v>150</v>
      </c>
      <c r="F39" s="474"/>
      <c r="G39" s="475">
        <f t="shared" si="3"/>
        <v>15000</v>
      </c>
      <c r="H39" s="292">
        <f t="shared" si="4"/>
        <v>4.1447913788339322E-3</v>
      </c>
      <c r="I39" s="292">
        <f t="shared" ref="I39:I56" si="5">H39+I38</f>
        <v>0.96172975960210016</v>
      </c>
    </row>
    <row r="40" spans="2:9" x14ac:dyDescent="0.25">
      <c r="B40" s="473" t="s">
        <v>380</v>
      </c>
      <c r="C40" s="472">
        <v>100</v>
      </c>
      <c r="D40" s="472" t="s">
        <v>363</v>
      </c>
      <c r="E40" s="474">
        <v>145</v>
      </c>
      <c r="F40" s="474"/>
      <c r="G40" s="475">
        <f t="shared" si="3"/>
        <v>14500</v>
      </c>
      <c r="H40" s="292">
        <f t="shared" si="4"/>
        <v>4.0066316662061346E-3</v>
      </c>
      <c r="I40" s="292">
        <f t="shared" si="5"/>
        <v>0.96573639126830635</v>
      </c>
    </row>
    <row r="41" spans="2:9" ht="22.5" x14ac:dyDescent="0.25">
      <c r="B41" s="473" t="s">
        <v>379</v>
      </c>
      <c r="C41" s="472">
        <v>50</v>
      </c>
      <c r="D41" s="472" t="s">
        <v>363</v>
      </c>
      <c r="E41" s="474">
        <v>250</v>
      </c>
      <c r="F41" s="474"/>
      <c r="G41" s="475">
        <f t="shared" si="3"/>
        <v>12500</v>
      </c>
      <c r="H41" s="292">
        <f t="shared" si="4"/>
        <v>3.4539928156949434E-3</v>
      </c>
      <c r="I41" s="292">
        <f t="shared" si="5"/>
        <v>0.96919038408400127</v>
      </c>
    </row>
    <row r="42" spans="2:9" x14ac:dyDescent="0.25">
      <c r="B42" s="473" t="s">
        <v>378</v>
      </c>
      <c r="C42" s="472">
        <v>100</v>
      </c>
      <c r="D42" s="472" t="s">
        <v>363</v>
      </c>
      <c r="E42" s="474">
        <v>120</v>
      </c>
      <c r="F42" s="474"/>
      <c r="G42" s="475">
        <f t="shared" si="3"/>
        <v>12000</v>
      </c>
      <c r="H42" s="292">
        <f t="shared" si="4"/>
        <v>3.3158331030671458E-3</v>
      </c>
      <c r="I42" s="292">
        <f t="shared" si="5"/>
        <v>0.97250621718706842</v>
      </c>
    </row>
    <row r="43" spans="2:9" x14ac:dyDescent="0.25">
      <c r="B43" s="473" t="s">
        <v>377</v>
      </c>
      <c r="C43" s="472">
        <v>100</v>
      </c>
      <c r="D43" s="472" t="s">
        <v>363</v>
      </c>
      <c r="E43" s="474">
        <v>120</v>
      </c>
      <c r="F43" s="474"/>
      <c r="G43" s="475">
        <f t="shared" si="3"/>
        <v>12000</v>
      </c>
      <c r="H43" s="292">
        <f t="shared" si="4"/>
        <v>3.3158331030671458E-3</v>
      </c>
      <c r="I43" s="292">
        <f t="shared" si="5"/>
        <v>0.97582205029013558</v>
      </c>
    </row>
    <row r="44" spans="2:9" x14ac:dyDescent="0.25">
      <c r="B44" s="473" t="s">
        <v>376</v>
      </c>
      <c r="C44" s="472">
        <v>100</v>
      </c>
      <c r="D44" s="472" t="s">
        <v>363</v>
      </c>
      <c r="E44" s="474">
        <v>105</v>
      </c>
      <c r="F44" s="474"/>
      <c r="G44" s="475">
        <f t="shared" si="3"/>
        <v>10500</v>
      </c>
      <c r="H44" s="292">
        <f t="shared" si="4"/>
        <v>2.9013539651837525E-3</v>
      </c>
      <c r="I44" s="292">
        <f t="shared" si="5"/>
        <v>0.97872340425531934</v>
      </c>
    </row>
    <row r="45" spans="2:9" x14ac:dyDescent="0.25">
      <c r="B45" s="473" t="s">
        <v>375</v>
      </c>
      <c r="C45" s="472">
        <v>100</v>
      </c>
      <c r="D45" s="472" t="s">
        <v>363</v>
      </c>
      <c r="E45" s="474">
        <v>100</v>
      </c>
      <c r="F45" s="474"/>
      <c r="G45" s="475">
        <f t="shared" si="3"/>
        <v>10000</v>
      </c>
      <c r="H45" s="292">
        <f t="shared" si="4"/>
        <v>2.7631942525559545E-3</v>
      </c>
      <c r="I45" s="292">
        <f t="shared" si="5"/>
        <v>0.98148659850787534</v>
      </c>
    </row>
    <row r="46" spans="2:9" x14ac:dyDescent="0.25">
      <c r="B46" s="473" t="s">
        <v>374</v>
      </c>
      <c r="C46" s="472">
        <v>50</v>
      </c>
      <c r="D46" s="472" t="s">
        <v>363</v>
      </c>
      <c r="E46" s="474">
        <v>180</v>
      </c>
      <c r="F46" s="474"/>
      <c r="G46" s="475">
        <f t="shared" si="3"/>
        <v>9000</v>
      </c>
      <c r="H46" s="292">
        <f t="shared" si="4"/>
        <v>2.4868748273003593E-3</v>
      </c>
      <c r="I46" s="292">
        <f t="shared" si="5"/>
        <v>0.98397347333517571</v>
      </c>
    </row>
    <row r="47" spans="2:9" x14ac:dyDescent="0.25">
      <c r="B47" s="473" t="s">
        <v>373</v>
      </c>
      <c r="C47" s="472">
        <v>50</v>
      </c>
      <c r="D47" s="472" t="s">
        <v>363</v>
      </c>
      <c r="E47" s="474">
        <v>180</v>
      </c>
      <c r="F47" s="474"/>
      <c r="G47" s="475">
        <f t="shared" si="3"/>
        <v>9000</v>
      </c>
      <c r="H47" s="292">
        <f t="shared" si="4"/>
        <v>2.4868748273003593E-3</v>
      </c>
      <c r="I47" s="292">
        <f t="shared" si="5"/>
        <v>0.98646034816247608</v>
      </c>
    </row>
    <row r="48" spans="2:9" x14ac:dyDescent="0.25">
      <c r="B48" s="473" t="s">
        <v>372</v>
      </c>
      <c r="C48" s="472">
        <v>50</v>
      </c>
      <c r="D48" s="472" t="s">
        <v>363</v>
      </c>
      <c r="E48" s="474">
        <v>180</v>
      </c>
      <c r="F48" s="474"/>
      <c r="G48" s="475">
        <f t="shared" si="3"/>
        <v>9000</v>
      </c>
      <c r="H48" s="292">
        <f t="shared" si="4"/>
        <v>2.4868748273003593E-3</v>
      </c>
      <c r="I48" s="292">
        <f t="shared" si="5"/>
        <v>0.98894722298977644</v>
      </c>
    </row>
    <row r="49" spans="2:9" ht="22.5" x14ac:dyDescent="0.25">
      <c r="B49" s="473" t="s">
        <v>371</v>
      </c>
      <c r="C49" s="472">
        <v>50</v>
      </c>
      <c r="D49" s="472" t="s">
        <v>363</v>
      </c>
      <c r="E49" s="474">
        <v>160</v>
      </c>
      <c r="F49" s="474"/>
      <c r="G49" s="475">
        <f t="shared" si="3"/>
        <v>8000</v>
      </c>
      <c r="H49" s="292">
        <f t="shared" si="4"/>
        <v>2.2105554020447637E-3</v>
      </c>
      <c r="I49" s="292">
        <f t="shared" si="5"/>
        <v>0.99115777839182118</v>
      </c>
    </row>
    <row r="50" spans="2:9" x14ac:dyDescent="0.25">
      <c r="B50" s="473" t="s">
        <v>370</v>
      </c>
      <c r="C50" s="472">
        <v>50</v>
      </c>
      <c r="D50" s="472" t="s">
        <v>363</v>
      </c>
      <c r="E50" s="474">
        <v>130</v>
      </c>
      <c r="F50" s="474"/>
      <c r="G50" s="475">
        <f t="shared" si="3"/>
        <v>6500</v>
      </c>
      <c r="H50" s="292">
        <f t="shared" si="4"/>
        <v>1.7960762641613705E-3</v>
      </c>
      <c r="I50" s="292">
        <f t="shared" si="5"/>
        <v>0.99295385465598252</v>
      </c>
    </row>
    <row r="51" spans="2:9" ht="22.5" x14ac:dyDescent="0.25">
      <c r="B51" s="473" t="s">
        <v>369</v>
      </c>
      <c r="C51" s="472">
        <v>50</v>
      </c>
      <c r="D51" s="472" t="s">
        <v>363</v>
      </c>
      <c r="E51" s="474">
        <v>130</v>
      </c>
      <c r="F51" s="474"/>
      <c r="G51" s="475">
        <f t="shared" si="3"/>
        <v>6500</v>
      </c>
      <c r="H51" s="292">
        <f t="shared" si="4"/>
        <v>1.7960762641613705E-3</v>
      </c>
      <c r="I51" s="292">
        <f t="shared" si="5"/>
        <v>0.99474993092014385</v>
      </c>
    </row>
    <row r="52" spans="2:9" ht="22.5" x14ac:dyDescent="0.25">
      <c r="B52" s="473" t="s">
        <v>368</v>
      </c>
      <c r="C52" s="472">
        <v>50</v>
      </c>
      <c r="D52" s="472" t="s">
        <v>363</v>
      </c>
      <c r="E52" s="474">
        <v>120</v>
      </c>
      <c r="F52" s="474"/>
      <c r="G52" s="475">
        <f t="shared" si="3"/>
        <v>6000</v>
      </c>
      <c r="H52" s="292">
        <f t="shared" si="4"/>
        <v>1.6579165515335729E-3</v>
      </c>
      <c r="I52" s="292">
        <f t="shared" si="5"/>
        <v>0.99640784747167743</v>
      </c>
    </row>
    <row r="53" spans="2:9" ht="22.5" x14ac:dyDescent="0.25">
      <c r="B53" s="473" t="s">
        <v>367</v>
      </c>
      <c r="C53" s="472">
        <v>50</v>
      </c>
      <c r="D53" s="472" t="s">
        <v>363</v>
      </c>
      <c r="E53" s="474">
        <v>100</v>
      </c>
      <c r="F53" s="474"/>
      <c r="G53" s="475">
        <f t="shared" si="3"/>
        <v>5000</v>
      </c>
      <c r="H53" s="292">
        <f t="shared" si="4"/>
        <v>1.3815971262779773E-3</v>
      </c>
      <c r="I53" s="292">
        <f t="shared" si="5"/>
        <v>0.99778944459795538</v>
      </c>
    </row>
    <row r="54" spans="2:9" x14ac:dyDescent="0.25">
      <c r="B54" s="473" t="s">
        <v>366</v>
      </c>
      <c r="C54" s="472">
        <v>50</v>
      </c>
      <c r="D54" s="472" t="s">
        <v>363</v>
      </c>
      <c r="E54" s="474">
        <v>80</v>
      </c>
      <c r="F54" s="474"/>
      <c r="G54" s="475">
        <f t="shared" si="3"/>
        <v>4000</v>
      </c>
      <c r="H54" s="292">
        <f t="shared" si="4"/>
        <v>1.1052777010223818E-3</v>
      </c>
      <c r="I54" s="292">
        <f t="shared" si="5"/>
        <v>0.9988947222989778</v>
      </c>
    </row>
    <row r="55" spans="2:9" x14ac:dyDescent="0.25">
      <c r="B55" s="473" t="s">
        <v>365</v>
      </c>
      <c r="C55" s="472">
        <v>100</v>
      </c>
      <c r="D55" s="472" t="s">
        <v>363</v>
      </c>
      <c r="E55" s="474">
        <v>20</v>
      </c>
      <c r="F55" s="474"/>
      <c r="G55" s="475">
        <f t="shared" si="3"/>
        <v>2000</v>
      </c>
      <c r="H55" s="292">
        <f t="shared" si="4"/>
        <v>5.5263885051119092E-4</v>
      </c>
      <c r="I55" s="292">
        <f t="shared" si="5"/>
        <v>0.99944736114948896</v>
      </c>
    </row>
    <row r="56" spans="2:9" x14ac:dyDescent="0.25">
      <c r="B56" s="473" t="s">
        <v>364</v>
      </c>
      <c r="C56" s="472">
        <v>100</v>
      </c>
      <c r="D56" s="472" t="s">
        <v>363</v>
      </c>
      <c r="E56" s="474">
        <v>20</v>
      </c>
      <c r="F56" s="474"/>
      <c r="G56" s="475">
        <f t="shared" si="3"/>
        <v>2000</v>
      </c>
      <c r="H56" s="292">
        <f t="shared" si="4"/>
        <v>5.5263885051119092E-4</v>
      </c>
      <c r="I56" s="292">
        <f t="shared" si="5"/>
        <v>1.0000000000000002</v>
      </c>
    </row>
    <row r="57" spans="2:9" ht="15.75" customHeight="1" x14ac:dyDescent="0.25">
      <c r="B57" s="701" t="s">
        <v>146</v>
      </c>
      <c r="C57" s="769"/>
      <c r="D57" s="769"/>
      <c r="E57" s="769"/>
      <c r="F57" s="702"/>
      <c r="G57" s="146">
        <f>SUM(G6:G56)</f>
        <v>3619000</v>
      </c>
      <c r="H57" s="292">
        <f>SUM(H6:H56)</f>
        <v>1.0000000000000002</v>
      </c>
      <c r="I57" s="7"/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3"/>
  <sheetViews>
    <sheetView showGridLines="0" workbookViewId="0">
      <selection activeCell="D8" sqref="D8"/>
    </sheetView>
  </sheetViews>
  <sheetFormatPr defaultColWidth="12.5703125" defaultRowHeight="15" x14ac:dyDescent="0.25"/>
  <cols>
    <col min="1" max="1" width="12.5703125" style="22"/>
    <col min="2" max="2" width="6.140625" style="22" customWidth="1"/>
    <col min="3" max="3" width="40.28515625" style="58" customWidth="1"/>
    <col min="4" max="4" width="15.140625" style="22" customWidth="1"/>
    <col min="5" max="5" width="13.85546875" style="22" customWidth="1"/>
    <col min="6" max="6" width="11.85546875" style="22" customWidth="1"/>
    <col min="7" max="7" width="13.5703125" style="22" customWidth="1"/>
    <col min="8" max="8" width="17.140625" style="22" customWidth="1"/>
    <col min="9" max="9" width="12.7109375" style="22" customWidth="1"/>
    <col min="10" max="16384" width="12.5703125" style="22"/>
  </cols>
  <sheetData>
    <row r="1" spans="2:7" x14ac:dyDescent="0.25">
      <c r="B1" s="77" t="s">
        <v>224</v>
      </c>
      <c r="D1" s="106" t="s">
        <v>2</v>
      </c>
    </row>
    <row r="2" spans="2:7" x14ac:dyDescent="0.25">
      <c r="C2" s="105" t="s">
        <v>223</v>
      </c>
      <c r="D2" s="104">
        <f>G58+G109</f>
        <v>688890</v>
      </c>
    </row>
    <row r="3" spans="2:7" x14ac:dyDescent="0.25">
      <c r="C3" s="105" t="s">
        <v>222</v>
      </c>
      <c r="D3" s="104">
        <f>F116+F142</f>
        <v>4360</v>
      </c>
      <c r="G3" s="103"/>
    </row>
    <row r="4" spans="2:7" x14ac:dyDescent="0.25">
      <c r="C4" s="102" t="s">
        <v>221</v>
      </c>
      <c r="D4" s="101">
        <f>D2+D3</f>
        <v>693250</v>
      </c>
    </row>
    <row r="5" spans="2:7" x14ac:dyDescent="0.25">
      <c r="E5" s="92"/>
    </row>
    <row r="6" spans="2:7" x14ac:dyDescent="0.25">
      <c r="E6" s="92"/>
    </row>
    <row r="7" spans="2:7" x14ac:dyDescent="0.25">
      <c r="C7" s="100" t="s">
        <v>220</v>
      </c>
      <c r="D7" s="99">
        <f>F133+F160</f>
        <v>156908</v>
      </c>
      <c r="E7" s="92"/>
    </row>
    <row r="8" spans="2:7" x14ac:dyDescent="0.25">
      <c r="C8" s="98" t="s">
        <v>219</v>
      </c>
      <c r="D8" s="97">
        <f>I133+I160</f>
        <v>24551.599999999999</v>
      </c>
    </row>
    <row r="9" spans="2:7" ht="15.75" thickBot="1" x14ac:dyDescent="0.3"/>
    <row r="10" spans="2:7" ht="13.5" customHeight="1" thickBot="1" x14ac:dyDescent="0.3">
      <c r="B10" s="777" t="s">
        <v>218</v>
      </c>
      <c r="C10" s="778"/>
      <c r="D10" s="778"/>
      <c r="E10" s="778"/>
      <c r="F10" s="778"/>
      <c r="G10" s="779"/>
    </row>
    <row r="11" spans="2:7" x14ac:dyDescent="0.25">
      <c r="B11" s="780" t="s">
        <v>141</v>
      </c>
      <c r="C11" s="782" t="s">
        <v>140</v>
      </c>
      <c r="D11" s="773" t="s">
        <v>216</v>
      </c>
      <c r="E11" s="773" t="s">
        <v>139</v>
      </c>
      <c r="F11" s="89" t="s">
        <v>39</v>
      </c>
      <c r="G11" s="89" t="s">
        <v>39</v>
      </c>
    </row>
    <row r="12" spans="2:7" ht="15.75" thickBot="1" x14ac:dyDescent="0.3">
      <c r="B12" s="781"/>
      <c r="C12" s="783"/>
      <c r="D12" s="774"/>
      <c r="E12" s="774"/>
      <c r="F12" s="80" t="s">
        <v>38</v>
      </c>
      <c r="G12" s="80" t="s">
        <v>138</v>
      </c>
    </row>
    <row r="13" spans="2:7" ht="15.75" thickBot="1" x14ac:dyDescent="0.3">
      <c r="B13" s="82">
        <v>1</v>
      </c>
      <c r="C13" s="81" t="s">
        <v>215</v>
      </c>
      <c r="D13" s="80" t="s">
        <v>214</v>
      </c>
      <c r="E13" s="80">
        <v>300</v>
      </c>
      <c r="F13" s="93">
        <v>2.8</v>
      </c>
      <c r="G13" s="68">
        <f t="shared" ref="G13:G57" si="0">E13*F13</f>
        <v>840</v>
      </c>
    </row>
    <row r="14" spans="2:7" ht="15.75" thickBot="1" x14ac:dyDescent="0.3">
      <c r="B14" s="82">
        <v>2</v>
      </c>
      <c r="C14" s="81" t="s">
        <v>213</v>
      </c>
      <c r="D14" s="80" t="s">
        <v>212</v>
      </c>
      <c r="E14" s="80">
        <v>90</v>
      </c>
      <c r="F14" s="93">
        <v>10</v>
      </c>
      <c r="G14" s="68">
        <f t="shared" si="0"/>
        <v>900</v>
      </c>
    </row>
    <row r="15" spans="2:7" ht="15.75" thickBot="1" x14ac:dyDescent="0.3">
      <c r="B15" s="82">
        <v>3</v>
      </c>
      <c r="C15" s="81" t="s">
        <v>211</v>
      </c>
      <c r="D15" s="80" t="s">
        <v>210</v>
      </c>
      <c r="E15" s="80">
        <v>200</v>
      </c>
      <c r="F15" s="93">
        <v>4.25</v>
      </c>
      <c r="G15" s="68">
        <f t="shared" si="0"/>
        <v>850</v>
      </c>
    </row>
    <row r="16" spans="2:7" ht="15.75" thickBot="1" x14ac:dyDescent="0.3">
      <c r="B16" s="82">
        <v>4</v>
      </c>
      <c r="C16" s="81" t="s">
        <v>209</v>
      </c>
      <c r="D16" s="80" t="s">
        <v>155</v>
      </c>
      <c r="E16" s="80">
        <v>200</v>
      </c>
      <c r="F16" s="93">
        <v>1.8</v>
      </c>
      <c r="G16" s="68">
        <f t="shared" si="0"/>
        <v>360</v>
      </c>
    </row>
    <row r="17" spans="2:8" ht="15.75" thickBot="1" x14ac:dyDescent="0.3">
      <c r="B17" s="82">
        <v>5</v>
      </c>
      <c r="C17" s="81" t="s">
        <v>208</v>
      </c>
      <c r="D17" s="80" t="s">
        <v>155</v>
      </c>
      <c r="E17" s="80">
        <v>110</v>
      </c>
      <c r="F17" s="93">
        <v>98</v>
      </c>
      <c r="G17" s="68">
        <f t="shared" si="0"/>
        <v>10780</v>
      </c>
    </row>
    <row r="18" spans="2:8" ht="15.75" thickBot="1" x14ac:dyDescent="0.3">
      <c r="B18" s="82">
        <v>6</v>
      </c>
      <c r="C18" s="81" t="s">
        <v>207</v>
      </c>
      <c r="D18" s="80" t="s">
        <v>155</v>
      </c>
      <c r="E18" s="80">
        <v>110</v>
      </c>
      <c r="F18" s="93">
        <v>120</v>
      </c>
      <c r="G18" s="68">
        <f t="shared" si="0"/>
        <v>13200</v>
      </c>
    </row>
    <row r="19" spans="2:8" ht="15.75" thickBot="1" x14ac:dyDescent="0.3">
      <c r="B19" s="82">
        <v>7</v>
      </c>
      <c r="C19" s="81" t="s">
        <v>206</v>
      </c>
      <c r="D19" s="80" t="s">
        <v>155</v>
      </c>
      <c r="E19" s="80">
        <v>200</v>
      </c>
      <c r="F19" s="93">
        <v>1.9</v>
      </c>
      <c r="G19" s="68">
        <f t="shared" si="0"/>
        <v>380</v>
      </c>
    </row>
    <row r="20" spans="2:8" ht="15.75" thickBot="1" x14ac:dyDescent="0.3">
      <c r="B20" s="82">
        <v>8</v>
      </c>
      <c r="C20" s="81" t="s">
        <v>205</v>
      </c>
      <c r="D20" s="80" t="s">
        <v>178</v>
      </c>
      <c r="E20" s="80">
        <v>50</v>
      </c>
      <c r="F20" s="93">
        <v>4</v>
      </c>
      <c r="G20" s="68">
        <f t="shared" si="0"/>
        <v>200</v>
      </c>
    </row>
    <row r="21" spans="2:8" ht="15.75" thickBot="1" x14ac:dyDescent="0.3">
      <c r="B21" s="82">
        <v>9</v>
      </c>
      <c r="C21" s="81" t="s">
        <v>204</v>
      </c>
      <c r="D21" s="80" t="s">
        <v>178</v>
      </c>
      <c r="E21" s="80">
        <v>50</v>
      </c>
      <c r="F21" s="93">
        <v>9</v>
      </c>
      <c r="G21" s="68">
        <f t="shared" si="0"/>
        <v>450</v>
      </c>
    </row>
    <row r="22" spans="2:8" ht="15.75" thickBot="1" x14ac:dyDescent="0.3">
      <c r="B22" s="82">
        <v>10</v>
      </c>
      <c r="C22" s="81" t="s">
        <v>203</v>
      </c>
      <c r="D22" s="80" t="s">
        <v>155</v>
      </c>
      <c r="E22" s="80">
        <v>50</v>
      </c>
      <c r="F22" s="93">
        <v>1.9</v>
      </c>
      <c r="G22" s="68">
        <f t="shared" si="0"/>
        <v>95</v>
      </c>
    </row>
    <row r="23" spans="2:8" ht="15.75" thickBot="1" x14ac:dyDescent="0.3">
      <c r="B23" s="82">
        <v>11</v>
      </c>
      <c r="C23" s="81" t="s">
        <v>202</v>
      </c>
      <c r="D23" s="80" t="s">
        <v>200</v>
      </c>
      <c r="E23" s="80">
        <v>540</v>
      </c>
      <c r="F23" s="93">
        <v>12</v>
      </c>
      <c r="G23" s="68">
        <f t="shared" si="0"/>
        <v>6480</v>
      </c>
    </row>
    <row r="24" spans="2:8" ht="15.75" thickBot="1" x14ac:dyDescent="0.3">
      <c r="B24" s="82">
        <v>12</v>
      </c>
      <c r="C24" s="81" t="s">
        <v>201</v>
      </c>
      <c r="D24" s="80" t="s">
        <v>200</v>
      </c>
      <c r="E24" s="80">
        <v>540</v>
      </c>
      <c r="F24" s="93">
        <v>8</v>
      </c>
      <c r="G24" s="68">
        <f t="shared" si="0"/>
        <v>4320</v>
      </c>
    </row>
    <row r="25" spans="2:8" ht="15.75" thickBot="1" x14ac:dyDescent="0.3">
      <c r="B25" s="82">
        <v>13</v>
      </c>
      <c r="C25" s="81" t="s">
        <v>199</v>
      </c>
      <c r="D25" s="80" t="s">
        <v>198</v>
      </c>
      <c r="E25" s="80">
        <v>50</v>
      </c>
      <c r="F25" s="93">
        <v>7</v>
      </c>
      <c r="G25" s="68">
        <f t="shared" si="0"/>
        <v>350</v>
      </c>
    </row>
    <row r="26" spans="2:8" ht="15.75" thickBot="1" x14ac:dyDescent="0.3">
      <c r="B26" s="82">
        <v>14</v>
      </c>
      <c r="C26" s="81" t="s">
        <v>197</v>
      </c>
      <c r="D26" s="80" t="s">
        <v>195</v>
      </c>
      <c r="E26" s="80">
        <v>400</v>
      </c>
      <c r="F26" s="93">
        <v>5</v>
      </c>
      <c r="G26" s="68">
        <f t="shared" si="0"/>
        <v>2000</v>
      </c>
    </row>
    <row r="27" spans="2:8" ht="15.75" thickBot="1" x14ac:dyDescent="0.3">
      <c r="B27" s="82">
        <v>15</v>
      </c>
      <c r="C27" s="81" t="s">
        <v>196</v>
      </c>
      <c r="D27" s="80" t="s">
        <v>195</v>
      </c>
      <c r="E27" s="80">
        <v>200</v>
      </c>
      <c r="F27" s="93">
        <v>7</v>
      </c>
      <c r="G27" s="68">
        <f t="shared" si="0"/>
        <v>1400</v>
      </c>
    </row>
    <row r="28" spans="2:8" ht="15.75" thickBot="1" x14ac:dyDescent="0.3">
      <c r="B28" s="82">
        <v>16</v>
      </c>
      <c r="C28" s="81" t="s">
        <v>194</v>
      </c>
      <c r="D28" s="80" t="s">
        <v>155</v>
      </c>
      <c r="E28" s="80">
        <v>400</v>
      </c>
      <c r="F28" s="93">
        <v>2.5</v>
      </c>
      <c r="G28" s="68">
        <f t="shared" si="0"/>
        <v>1000</v>
      </c>
    </row>
    <row r="29" spans="2:8" ht="15.75" thickBot="1" x14ac:dyDescent="0.3">
      <c r="B29" s="82">
        <v>17</v>
      </c>
      <c r="C29" s="81" t="s">
        <v>193</v>
      </c>
      <c r="D29" s="80" t="s">
        <v>190</v>
      </c>
      <c r="E29" s="80">
        <v>500</v>
      </c>
      <c r="F29" s="93">
        <v>60</v>
      </c>
      <c r="G29" s="68">
        <f t="shared" si="0"/>
        <v>30000</v>
      </c>
    </row>
    <row r="30" spans="2:8" ht="15.75" thickBot="1" x14ac:dyDescent="0.3">
      <c r="B30" s="82">
        <v>18</v>
      </c>
      <c r="C30" s="81" t="s">
        <v>192</v>
      </c>
      <c r="D30" s="80" t="s">
        <v>190</v>
      </c>
      <c r="E30" s="80">
        <v>500</v>
      </c>
      <c r="F30" s="93">
        <v>40</v>
      </c>
      <c r="G30" s="68">
        <f t="shared" si="0"/>
        <v>20000</v>
      </c>
    </row>
    <row r="31" spans="2:8" ht="15.75" thickBot="1" x14ac:dyDescent="0.3">
      <c r="B31" s="82">
        <v>19</v>
      </c>
      <c r="C31" s="81" t="s">
        <v>191</v>
      </c>
      <c r="D31" s="80" t="s">
        <v>190</v>
      </c>
      <c r="E31" s="80">
        <v>500</v>
      </c>
      <c r="F31" s="93">
        <v>30</v>
      </c>
      <c r="G31" s="68">
        <f t="shared" si="0"/>
        <v>15000</v>
      </c>
    </row>
    <row r="32" spans="2:8" ht="15.75" thickBot="1" x14ac:dyDescent="0.3">
      <c r="B32" s="82">
        <v>20</v>
      </c>
      <c r="C32" s="81" t="s">
        <v>189</v>
      </c>
      <c r="D32" s="80" t="s">
        <v>155</v>
      </c>
      <c r="E32" s="80">
        <v>40</v>
      </c>
      <c r="F32" s="93">
        <v>40</v>
      </c>
      <c r="G32" s="68">
        <f t="shared" si="0"/>
        <v>1600</v>
      </c>
      <c r="H32" s="92"/>
    </row>
    <row r="33" spans="2:8" ht="15.75" thickBot="1" x14ac:dyDescent="0.3">
      <c r="B33" s="82">
        <v>21</v>
      </c>
      <c r="C33" s="81" t="s">
        <v>188</v>
      </c>
      <c r="D33" s="80" t="s">
        <v>155</v>
      </c>
      <c r="E33" s="80">
        <v>40</v>
      </c>
      <c r="F33" s="93">
        <v>25</v>
      </c>
      <c r="G33" s="68">
        <f t="shared" si="0"/>
        <v>1000</v>
      </c>
      <c r="H33" s="92"/>
    </row>
    <row r="34" spans="2:8" ht="15.75" thickBot="1" x14ac:dyDescent="0.3">
      <c r="B34" s="82">
        <v>22</v>
      </c>
      <c r="C34" s="81" t="s">
        <v>187</v>
      </c>
      <c r="D34" s="80" t="s">
        <v>155</v>
      </c>
      <c r="E34" s="80">
        <v>180</v>
      </c>
      <c r="F34" s="93">
        <v>2.5</v>
      </c>
      <c r="G34" s="68">
        <f t="shared" si="0"/>
        <v>450</v>
      </c>
    </row>
    <row r="35" spans="2:8" ht="15.75" thickBot="1" x14ac:dyDescent="0.3">
      <c r="B35" s="82">
        <v>23</v>
      </c>
      <c r="C35" s="81" t="s">
        <v>186</v>
      </c>
      <c r="D35" s="80" t="s">
        <v>155</v>
      </c>
      <c r="E35" s="80">
        <v>50</v>
      </c>
      <c r="F35" s="93">
        <v>1.8</v>
      </c>
      <c r="G35" s="68">
        <f t="shared" si="0"/>
        <v>90</v>
      </c>
      <c r="H35" s="92"/>
    </row>
    <row r="36" spans="2:8" ht="15.75" thickBot="1" x14ac:dyDescent="0.3">
      <c r="B36" s="82">
        <v>24</v>
      </c>
      <c r="C36" s="81" t="s">
        <v>185</v>
      </c>
      <c r="D36" s="80" t="s">
        <v>155</v>
      </c>
      <c r="E36" s="80">
        <v>50</v>
      </c>
      <c r="F36" s="93">
        <v>6.5</v>
      </c>
      <c r="G36" s="68">
        <f t="shared" si="0"/>
        <v>325</v>
      </c>
    </row>
    <row r="37" spans="2:8" ht="15.75" thickBot="1" x14ac:dyDescent="0.3">
      <c r="B37" s="82">
        <v>25</v>
      </c>
      <c r="C37" s="81" t="s">
        <v>184</v>
      </c>
      <c r="D37" s="80" t="s">
        <v>172</v>
      </c>
      <c r="E37" s="80">
        <v>50</v>
      </c>
      <c r="F37" s="93">
        <v>22</v>
      </c>
      <c r="G37" s="68">
        <f t="shared" si="0"/>
        <v>1100</v>
      </c>
    </row>
    <row r="38" spans="2:8" ht="15.75" thickBot="1" x14ac:dyDescent="0.3">
      <c r="B38" s="82">
        <v>26</v>
      </c>
      <c r="C38" s="81" t="s">
        <v>183</v>
      </c>
      <c r="D38" s="80" t="s">
        <v>155</v>
      </c>
      <c r="E38" s="80">
        <v>50</v>
      </c>
      <c r="F38" s="93">
        <v>12</v>
      </c>
      <c r="G38" s="68">
        <f t="shared" si="0"/>
        <v>600</v>
      </c>
    </row>
    <row r="39" spans="2:8" ht="15.75" thickBot="1" x14ac:dyDescent="0.3">
      <c r="B39" s="82">
        <v>27</v>
      </c>
      <c r="C39" s="81" t="s">
        <v>182</v>
      </c>
      <c r="D39" s="80" t="s">
        <v>155</v>
      </c>
      <c r="E39" s="80">
        <v>50</v>
      </c>
      <c r="F39" s="93">
        <v>3</v>
      </c>
      <c r="G39" s="68">
        <f t="shared" si="0"/>
        <v>150</v>
      </c>
    </row>
    <row r="40" spans="2:8" ht="15.75" thickBot="1" x14ac:dyDescent="0.3">
      <c r="B40" s="82">
        <v>28</v>
      </c>
      <c r="C40" s="81" t="s">
        <v>181</v>
      </c>
      <c r="D40" s="80" t="s">
        <v>180</v>
      </c>
      <c r="E40" s="80">
        <v>50</v>
      </c>
      <c r="F40" s="93">
        <v>8</v>
      </c>
      <c r="G40" s="68">
        <f t="shared" si="0"/>
        <v>400</v>
      </c>
    </row>
    <row r="41" spans="2:8" ht="15.75" thickBot="1" x14ac:dyDescent="0.3">
      <c r="B41" s="82">
        <v>29</v>
      </c>
      <c r="C41" s="81" t="s">
        <v>179</v>
      </c>
      <c r="D41" s="80" t="s">
        <v>178</v>
      </c>
      <c r="E41" s="80">
        <v>100</v>
      </c>
      <c r="F41" s="93">
        <v>60</v>
      </c>
      <c r="G41" s="68">
        <f t="shared" si="0"/>
        <v>6000</v>
      </c>
    </row>
    <row r="42" spans="2:8" ht="15.75" thickBot="1" x14ac:dyDescent="0.3">
      <c r="B42" s="82">
        <v>30</v>
      </c>
      <c r="C42" s="81" t="s">
        <v>177</v>
      </c>
      <c r="D42" s="80" t="s">
        <v>155</v>
      </c>
      <c r="E42" s="80">
        <v>10</v>
      </c>
      <c r="F42" s="93">
        <v>13</v>
      </c>
      <c r="G42" s="68">
        <f t="shared" si="0"/>
        <v>130</v>
      </c>
    </row>
    <row r="43" spans="2:8" ht="15.75" thickBot="1" x14ac:dyDescent="0.3">
      <c r="B43" s="82">
        <v>31</v>
      </c>
      <c r="C43" s="81" t="s">
        <v>176</v>
      </c>
      <c r="D43" s="80" t="s">
        <v>175</v>
      </c>
      <c r="E43" s="80">
        <v>100</v>
      </c>
      <c r="F43" s="93">
        <v>14</v>
      </c>
      <c r="G43" s="68">
        <f t="shared" si="0"/>
        <v>1400</v>
      </c>
    </row>
    <row r="44" spans="2:8" ht="15.75" thickBot="1" x14ac:dyDescent="0.3">
      <c r="B44" s="82">
        <v>32</v>
      </c>
      <c r="C44" s="81" t="s">
        <v>174</v>
      </c>
      <c r="D44" s="80" t="s">
        <v>155</v>
      </c>
      <c r="E44" s="80">
        <v>100</v>
      </c>
      <c r="F44" s="93">
        <v>4</v>
      </c>
      <c r="G44" s="68">
        <f t="shared" si="0"/>
        <v>400</v>
      </c>
    </row>
    <row r="45" spans="2:8" ht="15.75" thickBot="1" x14ac:dyDescent="0.3">
      <c r="B45" s="82">
        <v>33</v>
      </c>
      <c r="C45" s="81" t="s">
        <v>173</v>
      </c>
      <c r="D45" s="80" t="s">
        <v>172</v>
      </c>
      <c r="E45" s="80">
        <v>100</v>
      </c>
      <c r="F45" s="93">
        <v>5</v>
      </c>
      <c r="G45" s="68">
        <f t="shared" si="0"/>
        <v>500</v>
      </c>
    </row>
    <row r="46" spans="2:8" ht="15.75" thickBot="1" x14ac:dyDescent="0.3">
      <c r="B46" s="82">
        <v>34</v>
      </c>
      <c r="C46" s="81" t="s">
        <v>171</v>
      </c>
      <c r="D46" s="80" t="s">
        <v>155</v>
      </c>
      <c r="E46" s="80">
        <v>50</v>
      </c>
      <c r="F46" s="93">
        <v>6</v>
      </c>
      <c r="G46" s="68">
        <f t="shared" si="0"/>
        <v>300</v>
      </c>
    </row>
    <row r="47" spans="2:8" ht="15.75" thickBot="1" x14ac:dyDescent="0.3">
      <c r="B47" s="82">
        <v>35</v>
      </c>
      <c r="C47" s="81" t="s">
        <v>170</v>
      </c>
      <c r="D47" s="80" t="s">
        <v>155</v>
      </c>
      <c r="E47" s="80">
        <v>200</v>
      </c>
      <c r="F47" s="93">
        <v>8</v>
      </c>
      <c r="G47" s="68">
        <f t="shared" si="0"/>
        <v>1600</v>
      </c>
    </row>
    <row r="48" spans="2:8" ht="15.75" thickBot="1" x14ac:dyDescent="0.3">
      <c r="B48" s="82">
        <v>36</v>
      </c>
      <c r="C48" s="81" t="s">
        <v>169</v>
      </c>
      <c r="D48" s="80" t="s">
        <v>155</v>
      </c>
      <c r="E48" s="80">
        <v>200</v>
      </c>
      <c r="F48" s="93">
        <v>3</v>
      </c>
      <c r="G48" s="68">
        <f t="shared" si="0"/>
        <v>600</v>
      </c>
    </row>
    <row r="49" spans="2:10" ht="15.75" thickBot="1" x14ac:dyDescent="0.3">
      <c r="B49" s="82">
        <v>37</v>
      </c>
      <c r="C49" s="81" t="s">
        <v>168</v>
      </c>
      <c r="D49" s="80" t="s">
        <v>155</v>
      </c>
      <c r="E49" s="80">
        <v>100</v>
      </c>
      <c r="F49" s="93">
        <v>2.8</v>
      </c>
      <c r="G49" s="68">
        <f t="shared" si="0"/>
        <v>280</v>
      </c>
      <c r="H49" s="92"/>
    </row>
    <row r="50" spans="2:10" ht="15.75" thickBot="1" x14ac:dyDescent="0.3">
      <c r="B50" s="82">
        <v>38</v>
      </c>
      <c r="C50" s="81" t="s">
        <v>167</v>
      </c>
      <c r="D50" s="80" t="s">
        <v>166</v>
      </c>
      <c r="E50" s="80">
        <v>100</v>
      </c>
      <c r="F50" s="93">
        <v>16</v>
      </c>
      <c r="G50" s="68">
        <f t="shared" si="0"/>
        <v>1600</v>
      </c>
    </row>
    <row r="51" spans="2:10" ht="15.75" thickBot="1" x14ac:dyDescent="0.3">
      <c r="B51" s="82">
        <v>39</v>
      </c>
      <c r="C51" s="81" t="s">
        <v>165</v>
      </c>
      <c r="D51" s="80" t="s">
        <v>164</v>
      </c>
      <c r="E51" s="80">
        <v>500</v>
      </c>
      <c r="F51" s="93">
        <v>1.4</v>
      </c>
      <c r="G51" s="68">
        <f t="shared" si="0"/>
        <v>700</v>
      </c>
    </row>
    <row r="52" spans="2:10" ht="15.75" thickBot="1" x14ac:dyDescent="0.3">
      <c r="B52" s="82">
        <v>40</v>
      </c>
      <c r="C52" s="81" t="s">
        <v>163</v>
      </c>
      <c r="D52" s="80" t="s">
        <v>162</v>
      </c>
      <c r="E52" s="80">
        <v>400</v>
      </c>
      <c r="F52" s="93">
        <v>6.7</v>
      </c>
      <c r="G52" s="68">
        <f t="shared" si="0"/>
        <v>2680</v>
      </c>
    </row>
    <row r="53" spans="2:10" ht="15.75" thickBot="1" x14ac:dyDescent="0.3">
      <c r="B53" s="82">
        <v>41</v>
      </c>
      <c r="C53" s="81" t="s">
        <v>161</v>
      </c>
      <c r="D53" s="80" t="s">
        <v>155</v>
      </c>
      <c r="E53" s="80">
        <v>40</v>
      </c>
      <c r="F53" s="93">
        <v>20</v>
      </c>
      <c r="G53" s="68">
        <f t="shared" si="0"/>
        <v>800</v>
      </c>
      <c r="H53" s="92"/>
    </row>
    <row r="54" spans="2:10" ht="15.75" thickBot="1" x14ac:dyDescent="0.3">
      <c r="B54" s="82">
        <v>42</v>
      </c>
      <c r="C54" s="81" t="s">
        <v>160</v>
      </c>
      <c r="D54" s="80" t="s">
        <v>155</v>
      </c>
      <c r="E54" s="80">
        <v>80</v>
      </c>
      <c r="F54" s="93">
        <v>14</v>
      </c>
      <c r="G54" s="68">
        <f t="shared" si="0"/>
        <v>1120</v>
      </c>
    </row>
    <row r="55" spans="2:10" ht="15.75" thickBot="1" x14ac:dyDescent="0.3">
      <c r="B55" s="82">
        <v>43</v>
      </c>
      <c r="C55" s="81" t="s">
        <v>159</v>
      </c>
      <c r="D55" s="80" t="s">
        <v>155</v>
      </c>
      <c r="E55" s="80">
        <v>100</v>
      </c>
      <c r="F55" s="93">
        <v>2</v>
      </c>
      <c r="G55" s="68">
        <f t="shared" si="0"/>
        <v>200</v>
      </c>
    </row>
    <row r="56" spans="2:10" ht="15.75" thickBot="1" x14ac:dyDescent="0.3">
      <c r="B56" s="82">
        <v>44</v>
      </c>
      <c r="C56" s="81" t="s">
        <v>158</v>
      </c>
      <c r="D56" s="80" t="s">
        <v>157</v>
      </c>
      <c r="E56" s="80">
        <v>400</v>
      </c>
      <c r="F56" s="93">
        <v>350</v>
      </c>
      <c r="G56" s="68">
        <f t="shared" si="0"/>
        <v>140000</v>
      </c>
      <c r="H56" s="92"/>
      <c r="I56" s="96"/>
      <c r="J56" s="95"/>
    </row>
    <row r="57" spans="2:10" ht="15.75" thickBot="1" x14ac:dyDescent="0.3">
      <c r="B57" s="82">
        <v>45</v>
      </c>
      <c r="C57" s="81" t="s">
        <v>156</v>
      </c>
      <c r="D57" s="80" t="s">
        <v>155</v>
      </c>
      <c r="E57" s="80">
        <v>265</v>
      </c>
      <c r="F57" s="93">
        <v>271</v>
      </c>
      <c r="G57" s="68">
        <f t="shared" si="0"/>
        <v>71815</v>
      </c>
      <c r="H57" s="92"/>
    </row>
    <row r="58" spans="2:10" ht="15.75" thickBot="1" x14ac:dyDescent="0.3">
      <c r="B58" s="770" t="s">
        <v>154</v>
      </c>
      <c r="C58" s="771"/>
      <c r="D58" s="771"/>
      <c r="E58" s="772"/>
      <c r="F58" s="91">
        <v>1342.85</v>
      </c>
      <c r="G58" s="90">
        <f>SUM(G13:G57)</f>
        <v>344445</v>
      </c>
    </row>
    <row r="60" spans="2:10" ht="15.75" thickBot="1" x14ac:dyDescent="0.3"/>
    <row r="61" spans="2:10" ht="15.75" thickBot="1" x14ac:dyDescent="0.3">
      <c r="B61" s="777" t="s">
        <v>217</v>
      </c>
      <c r="C61" s="778"/>
      <c r="D61" s="778"/>
      <c r="E61" s="778"/>
      <c r="F61" s="779"/>
      <c r="G61" s="94"/>
    </row>
    <row r="62" spans="2:10" x14ac:dyDescent="0.25">
      <c r="B62" s="780" t="s">
        <v>141</v>
      </c>
      <c r="C62" s="782" t="s">
        <v>140</v>
      </c>
      <c r="D62" s="773" t="s">
        <v>216</v>
      </c>
      <c r="E62" s="773" t="s">
        <v>139</v>
      </c>
      <c r="F62" s="89" t="s">
        <v>39</v>
      </c>
      <c r="G62" s="89" t="s">
        <v>39</v>
      </c>
    </row>
    <row r="63" spans="2:10" ht="15.75" thickBot="1" x14ac:dyDescent="0.3">
      <c r="B63" s="781"/>
      <c r="C63" s="783"/>
      <c r="D63" s="774"/>
      <c r="E63" s="774"/>
      <c r="F63" s="80" t="s">
        <v>38</v>
      </c>
      <c r="G63" s="80" t="s">
        <v>138</v>
      </c>
    </row>
    <row r="64" spans="2:10" ht="15.75" thickBot="1" x14ac:dyDescent="0.3">
      <c r="B64" s="82">
        <v>1</v>
      </c>
      <c r="C64" s="81" t="s">
        <v>215</v>
      </c>
      <c r="D64" s="80" t="s">
        <v>214</v>
      </c>
      <c r="E64" s="80">
        <v>300</v>
      </c>
      <c r="F64" s="93">
        <v>2.8</v>
      </c>
      <c r="G64" s="68">
        <f t="shared" ref="G64:G108" si="1">E64*F64</f>
        <v>840</v>
      </c>
    </row>
    <row r="65" spans="2:7" ht="15.75" thickBot="1" x14ac:dyDescent="0.3">
      <c r="B65" s="82">
        <v>2</v>
      </c>
      <c r="C65" s="81" t="s">
        <v>213</v>
      </c>
      <c r="D65" s="80" t="s">
        <v>212</v>
      </c>
      <c r="E65" s="80">
        <v>90</v>
      </c>
      <c r="F65" s="93">
        <v>10</v>
      </c>
      <c r="G65" s="68">
        <f t="shared" si="1"/>
        <v>900</v>
      </c>
    </row>
    <row r="66" spans="2:7" ht="15.75" thickBot="1" x14ac:dyDescent="0.3">
      <c r="B66" s="82">
        <v>3</v>
      </c>
      <c r="C66" s="81" t="s">
        <v>211</v>
      </c>
      <c r="D66" s="80" t="s">
        <v>210</v>
      </c>
      <c r="E66" s="80">
        <v>200</v>
      </c>
      <c r="F66" s="93">
        <v>4.25</v>
      </c>
      <c r="G66" s="68">
        <f t="shared" si="1"/>
        <v>850</v>
      </c>
    </row>
    <row r="67" spans="2:7" ht="15.75" thickBot="1" x14ac:dyDescent="0.3">
      <c r="B67" s="82">
        <v>4</v>
      </c>
      <c r="C67" s="81" t="s">
        <v>209</v>
      </c>
      <c r="D67" s="80" t="s">
        <v>155</v>
      </c>
      <c r="E67" s="80">
        <v>200</v>
      </c>
      <c r="F67" s="93">
        <v>1.8</v>
      </c>
      <c r="G67" s="68">
        <f t="shared" si="1"/>
        <v>360</v>
      </c>
    </row>
    <row r="68" spans="2:7" ht="15.75" thickBot="1" x14ac:dyDescent="0.3">
      <c r="B68" s="82">
        <v>5</v>
      </c>
      <c r="C68" s="81" t="s">
        <v>208</v>
      </c>
      <c r="D68" s="80" t="s">
        <v>155</v>
      </c>
      <c r="E68" s="80">
        <v>110</v>
      </c>
      <c r="F68" s="93">
        <v>98</v>
      </c>
      <c r="G68" s="68">
        <f t="shared" si="1"/>
        <v>10780</v>
      </c>
    </row>
    <row r="69" spans="2:7" ht="15.75" thickBot="1" x14ac:dyDescent="0.3">
      <c r="B69" s="82">
        <v>6</v>
      </c>
      <c r="C69" s="81" t="s">
        <v>207</v>
      </c>
      <c r="D69" s="80" t="s">
        <v>155</v>
      </c>
      <c r="E69" s="80">
        <v>110</v>
      </c>
      <c r="F69" s="93">
        <v>120</v>
      </c>
      <c r="G69" s="68">
        <f t="shared" si="1"/>
        <v>13200</v>
      </c>
    </row>
    <row r="70" spans="2:7" ht="15.75" thickBot="1" x14ac:dyDescent="0.3">
      <c r="B70" s="82">
        <v>7</v>
      </c>
      <c r="C70" s="81" t="s">
        <v>206</v>
      </c>
      <c r="D70" s="80" t="s">
        <v>155</v>
      </c>
      <c r="E70" s="80">
        <v>200</v>
      </c>
      <c r="F70" s="93">
        <v>1.9</v>
      </c>
      <c r="G70" s="68">
        <f t="shared" si="1"/>
        <v>380</v>
      </c>
    </row>
    <row r="71" spans="2:7" ht="15.75" thickBot="1" x14ac:dyDescent="0.3">
      <c r="B71" s="82">
        <v>8</v>
      </c>
      <c r="C71" s="81" t="s">
        <v>205</v>
      </c>
      <c r="D71" s="80" t="s">
        <v>178</v>
      </c>
      <c r="E71" s="80">
        <v>50</v>
      </c>
      <c r="F71" s="93">
        <v>4</v>
      </c>
      <c r="G71" s="68">
        <f t="shared" si="1"/>
        <v>200</v>
      </c>
    </row>
    <row r="72" spans="2:7" ht="15.75" thickBot="1" x14ac:dyDescent="0.3">
      <c r="B72" s="82">
        <v>9</v>
      </c>
      <c r="C72" s="81" t="s">
        <v>204</v>
      </c>
      <c r="D72" s="80" t="s">
        <v>178</v>
      </c>
      <c r="E72" s="80">
        <v>50</v>
      </c>
      <c r="F72" s="93">
        <v>9</v>
      </c>
      <c r="G72" s="68">
        <f t="shared" si="1"/>
        <v>450</v>
      </c>
    </row>
    <row r="73" spans="2:7" ht="15.75" thickBot="1" x14ac:dyDescent="0.3">
      <c r="B73" s="82">
        <v>10</v>
      </c>
      <c r="C73" s="81" t="s">
        <v>203</v>
      </c>
      <c r="D73" s="80" t="s">
        <v>155</v>
      </c>
      <c r="E73" s="80">
        <v>50</v>
      </c>
      <c r="F73" s="93">
        <v>1.9</v>
      </c>
      <c r="G73" s="68">
        <f t="shared" si="1"/>
        <v>95</v>
      </c>
    </row>
    <row r="74" spans="2:7" ht="15.75" thickBot="1" x14ac:dyDescent="0.3">
      <c r="B74" s="82">
        <v>11</v>
      </c>
      <c r="C74" s="81" t="s">
        <v>202</v>
      </c>
      <c r="D74" s="80" t="s">
        <v>200</v>
      </c>
      <c r="E74" s="80">
        <v>540</v>
      </c>
      <c r="F74" s="93">
        <v>12</v>
      </c>
      <c r="G74" s="68">
        <f t="shared" si="1"/>
        <v>6480</v>
      </c>
    </row>
    <row r="75" spans="2:7" ht="15.75" thickBot="1" x14ac:dyDescent="0.3">
      <c r="B75" s="82">
        <v>12</v>
      </c>
      <c r="C75" s="81" t="s">
        <v>201</v>
      </c>
      <c r="D75" s="80" t="s">
        <v>200</v>
      </c>
      <c r="E75" s="80">
        <v>540</v>
      </c>
      <c r="F75" s="93">
        <v>8</v>
      </c>
      <c r="G75" s="68">
        <f t="shared" si="1"/>
        <v>4320</v>
      </c>
    </row>
    <row r="76" spans="2:7" ht="15.75" thickBot="1" x14ac:dyDescent="0.3">
      <c r="B76" s="82">
        <v>13</v>
      </c>
      <c r="C76" s="81" t="s">
        <v>199</v>
      </c>
      <c r="D76" s="80" t="s">
        <v>198</v>
      </c>
      <c r="E76" s="80">
        <v>50</v>
      </c>
      <c r="F76" s="93">
        <v>7</v>
      </c>
      <c r="G76" s="68">
        <f t="shared" si="1"/>
        <v>350</v>
      </c>
    </row>
    <row r="77" spans="2:7" ht="15.75" thickBot="1" x14ac:dyDescent="0.3">
      <c r="B77" s="82">
        <v>14</v>
      </c>
      <c r="C77" s="81" t="s">
        <v>197</v>
      </c>
      <c r="D77" s="80" t="s">
        <v>195</v>
      </c>
      <c r="E77" s="80">
        <v>400</v>
      </c>
      <c r="F77" s="93">
        <v>5</v>
      </c>
      <c r="G77" s="68">
        <f t="shared" si="1"/>
        <v>2000</v>
      </c>
    </row>
    <row r="78" spans="2:7" ht="15.75" thickBot="1" x14ac:dyDescent="0.3">
      <c r="B78" s="82">
        <v>15</v>
      </c>
      <c r="C78" s="81" t="s">
        <v>196</v>
      </c>
      <c r="D78" s="80" t="s">
        <v>195</v>
      </c>
      <c r="E78" s="80">
        <v>200</v>
      </c>
      <c r="F78" s="93">
        <v>7</v>
      </c>
      <c r="G78" s="68">
        <f t="shared" si="1"/>
        <v>1400</v>
      </c>
    </row>
    <row r="79" spans="2:7" ht="15.75" thickBot="1" x14ac:dyDescent="0.3">
      <c r="B79" s="82">
        <v>16</v>
      </c>
      <c r="C79" s="81" t="s">
        <v>194</v>
      </c>
      <c r="D79" s="80" t="s">
        <v>155</v>
      </c>
      <c r="E79" s="80">
        <v>400</v>
      </c>
      <c r="F79" s="93">
        <v>2.5</v>
      </c>
      <c r="G79" s="68">
        <f t="shared" si="1"/>
        <v>1000</v>
      </c>
    </row>
    <row r="80" spans="2:7" ht="15.75" thickBot="1" x14ac:dyDescent="0.3">
      <c r="B80" s="82">
        <v>17</v>
      </c>
      <c r="C80" s="81" t="s">
        <v>193</v>
      </c>
      <c r="D80" s="80" t="s">
        <v>190</v>
      </c>
      <c r="E80" s="80">
        <v>500</v>
      </c>
      <c r="F80" s="93">
        <v>60</v>
      </c>
      <c r="G80" s="68">
        <f t="shared" si="1"/>
        <v>30000</v>
      </c>
    </row>
    <row r="81" spans="2:8" ht="15.75" thickBot="1" x14ac:dyDescent="0.3">
      <c r="B81" s="82">
        <v>18</v>
      </c>
      <c r="C81" s="81" t="s">
        <v>192</v>
      </c>
      <c r="D81" s="80" t="s">
        <v>190</v>
      </c>
      <c r="E81" s="80">
        <v>500</v>
      </c>
      <c r="F81" s="93">
        <v>40</v>
      </c>
      <c r="G81" s="68">
        <f t="shared" si="1"/>
        <v>20000</v>
      </c>
    </row>
    <row r="82" spans="2:8" ht="15.75" thickBot="1" x14ac:dyDescent="0.3">
      <c r="B82" s="82">
        <v>19</v>
      </c>
      <c r="C82" s="81" t="s">
        <v>191</v>
      </c>
      <c r="D82" s="80" t="s">
        <v>190</v>
      </c>
      <c r="E82" s="80">
        <v>500</v>
      </c>
      <c r="F82" s="93">
        <v>30</v>
      </c>
      <c r="G82" s="68">
        <f t="shared" si="1"/>
        <v>15000</v>
      </c>
    </row>
    <row r="83" spans="2:8" ht="15.75" thickBot="1" x14ac:dyDescent="0.3">
      <c r="B83" s="82">
        <v>20</v>
      </c>
      <c r="C83" s="81" t="s">
        <v>189</v>
      </c>
      <c r="D83" s="80" t="s">
        <v>155</v>
      </c>
      <c r="E83" s="80">
        <v>40</v>
      </c>
      <c r="F83" s="93">
        <v>40</v>
      </c>
      <c r="G83" s="68">
        <f t="shared" si="1"/>
        <v>1600</v>
      </c>
      <c r="H83" s="92"/>
    </row>
    <row r="84" spans="2:8" ht="15.75" thickBot="1" x14ac:dyDescent="0.3">
      <c r="B84" s="82">
        <v>21</v>
      </c>
      <c r="C84" s="81" t="s">
        <v>188</v>
      </c>
      <c r="D84" s="80" t="s">
        <v>155</v>
      </c>
      <c r="E84" s="80">
        <v>40</v>
      </c>
      <c r="F84" s="93">
        <v>25</v>
      </c>
      <c r="G84" s="68">
        <f t="shared" si="1"/>
        <v>1000</v>
      </c>
      <c r="H84" s="92"/>
    </row>
    <row r="85" spans="2:8" ht="15.75" thickBot="1" x14ac:dyDescent="0.3">
      <c r="B85" s="82">
        <v>22</v>
      </c>
      <c r="C85" s="81" t="s">
        <v>187</v>
      </c>
      <c r="D85" s="80" t="s">
        <v>155</v>
      </c>
      <c r="E85" s="80">
        <v>180</v>
      </c>
      <c r="F85" s="93">
        <v>2.5</v>
      </c>
      <c r="G85" s="68">
        <f t="shared" si="1"/>
        <v>450</v>
      </c>
    </row>
    <row r="86" spans="2:8" ht="15.75" thickBot="1" x14ac:dyDescent="0.3">
      <c r="B86" s="82">
        <v>23</v>
      </c>
      <c r="C86" s="81" t="s">
        <v>186</v>
      </c>
      <c r="D86" s="80" t="s">
        <v>155</v>
      </c>
      <c r="E86" s="80">
        <v>50</v>
      </c>
      <c r="F86" s="93">
        <v>1.8</v>
      </c>
      <c r="G86" s="68">
        <f t="shared" si="1"/>
        <v>90</v>
      </c>
      <c r="H86" s="92"/>
    </row>
    <row r="87" spans="2:8" ht="15.75" thickBot="1" x14ac:dyDescent="0.3">
      <c r="B87" s="82">
        <v>24</v>
      </c>
      <c r="C87" s="81" t="s">
        <v>185</v>
      </c>
      <c r="D87" s="80" t="s">
        <v>155</v>
      </c>
      <c r="E87" s="80">
        <v>50</v>
      </c>
      <c r="F87" s="93">
        <v>6.5</v>
      </c>
      <c r="G87" s="68">
        <f t="shared" si="1"/>
        <v>325</v>
      </c>
    </row>
    <row r="88" spans="2:8" ht="15.75" thickBot="1" x14ac:dyDescent="0.3">
      <c r="B88" s="82">
        <v>25</v>
      </c>
      <c r="C88" s="81" t="s">
        <v>184</v>
      </c>
      <c r="D88" s="80" t="s">
        <v>172</v>
      </c>
      <c r="E88" s="80">
        <v>50</v>
      </c>
      <c r="F88" s="93">
        <v>22</v>
      </c>
      <c r="G88" s="68">
        <f t="shared" si="1"/>
        <v>1100</v>
      </c>
    </row>
    <row r="89" spans="2:8" ht="15.75" thickBot="1" x14ac:dyDescent="0.3">
      <c r="B89" s="82">
        <v>26</v>
      </c>
      <c r="C89" s="81" t="s">
        <v>183</v>
      </c>
      <c r="D89" s="80" t="s">
        <v>155</v>
      </c>
      <c r="E89" s="80">
        <v>50</v>
      </c>
      <c r="F89" s="93">
        <v>12</v>
      </c>
      <c r="G89" s="68">
        <f t="shared" si="1"/>
        <v>600</v>
      </c>
    </row>
    <row r="90" spans="2:8" ht="15.75" thickBot="1" x14ac:dyDescent="0.3">
      <c r="B90" s="82">
        <v>27</v>
      </c>
      <c r="C90" s="81" t="s">
        <v>182</v>
      </c>
      <c r="D90" s="80" t="s">
        <v>155</v>
      </c>
      <c r="E90" s="80">
        <v>50</v>
      </c>
      <c r="F90" s="93">
        <v>3</v>
      </c>
      <c r="G90" s="68">
        <f t="shared" si="1"/>
        <v>150</v>
      </c>
    </row>
    <row r="91" spans="2:8" ht="15.75" thickBot="1" x14ac:dyDescent="0.3">
      <c r="B91" s="82">
        <v>28</v>
      </c>
      <c r="C91" s="81" t="s">
        <v>181</v>
      </c>
      <c r="D91" s="80" t="s">
        <v>180</v>
      </c>
      <c r="E91" s="80">
        <v>50</v>
      </c>
      <c r="F91" s="93">
        <v>8</v>
      </c>
      <c r="G91" s="68">
        <f t="shared" si="1"/>
        <v>400</v>
      </c>
    </row>
    <row r="92" spans="2:8" ht="15.75" thickBot="1" x14ac:dyDescent="0.3">
      <c r="B92" s="82">
        <v>29</v>
      </c>
      <c r="C92" s="81" t="s">
        <v>179</v>
      </c>
      <c r="D92" s="80" t="s">
        <v>178</v>
      </c>
      <c r="E92" s="80">
        <v>100</v>
      </c>
      <c r="F92" s="93">
        <v>60</v>
      </c>
      <c r="G92" s="68">
        <f t="shared" si="1"/>
        <v>6000</v>
      </c>
    </row>
    <row r="93" spans="2:8" ht="15.75" thickBot="1" x14ac:dyDescent="0.3">
      <c r="B93" s="82">
        <v>30</v>
      </c>
      <c r="C93" s="81" t="s">
        <v>177</v>
      </c>
      <c r="D93" s="80" t="s">
        <v>155</v>
      </c>
      <c r="E93" s="80">
        <v>10</v>
      </c>
      <c r="F93" s="93">
        <v>13</v>
      </c>
      <c r="G93" s="68">
        <f t="shared" si="1"/>
        <v>130</v>
      </c>
    </row>
    <row r="94" spans="2:8" ht="15.75" thickBot="1" x14ac:dyDescent="0.3">
      <c r="B94" s="82">
        <v>31</v>
      </c>
      <c r="C94" s="81" t="s">
        <v>176</v>
      </c>
      <c r="D94" s="80" t="s">
        <v>175</v>
      </c>
      <c r="E94" s="80">
        <v>100</v>
      </c>
      <c r="F94" s="93">
        <v>14</v>
      </c>
      <c r="G94" s="68">
        <f t="shared" si="1"/>
        <v>1400</v>
      </c>
    </row>
    <row r="95" spans="2:8" ht="15.75" thickBot="1" x14ac:dyDescent="0.3">
      <c r="B95" s="82">
        <v>32</v>
      </c>
      <c r="C95" s="81" t="s">
        <v>174</v>
      </c>
      <c r="D95" s="80" t="s">
        <v>155</v>
      </c>
      <c r="E95" s="80">
        <v>100</v>
      </c>
      <c r="F95" s="93">
        <v>4</v>
      </c>
      <c r="G95" s="68">
        <f t="shared" si="1"/>
        <v>400</v>
      </c>
    </row>
    <row r="96" spans="2:8" ht="15.75" thickBot="1" x14ac:dyDescent="0.3">
      <c r="B96" s="82">
        <v>33</v>
      </c>
      <c r="C96" s="81" t="s">
        <v>173</v>
      </c>
      <c r="D96" s="80" t="s">
        <v>172</v>
      </c>
      <c r="E96" s="80">
        <v>100</v>
      </c>
      <c r="F96" s="93">
        <v>5</v>
      </c>
      <c r="G96" s="68">
        <f t="shared" si="1"/>
        <v>500</v>
      </c>
    </row>
    <row r="97" spans="2:9" ht="15.75" thickBot="1" x14ac:dyDescent="0.3">
      <c r="B97" s="82">
        <v>34</v>
      </c>
      <c r="C97" s="81" t="s">
        <v>171</v>
      </c>
      <c r="D97" s="80" t="s">
        <v>155</v>
      </c>
      <c r="E97" s="80">
        <v>50</v>
      </c>
      <c r="F97" s="93">
        <v>6</v>
      </c>
      <c r="G97" s="68">
        <f t="shared" si="1"/>
        <v>300</v>
      </c>
    </row>
    <row r="98" spans="2:9" ht="15.75" thickBot="1" x14ac:dyDescent="0.3">
      <c r="B98" s="82">
        <v>35</v>
      </c>
      <c r="C98" s="81" t="s">
        <v>170</v>
      </c>
      <c r="D98" s="80" t="s">
        <v>155</v>
      </c>
      <c r="E98" s="80">
        <v>200</v>
      </c>
      <c r="F98" s="93">
        <v>8</v>
      </c>
      <c r="G98" s="68">
        <f t="shared" si="1"/>
        <v>1600</v>
      </c>
    </row>
    <row r="99" spans="2:9" ht="15.75" thickBot="1" x14ac:dyDescent="0.3">
      <c r="B99" s="82">
        <v>36</v>
      </c>
      <c r="C99" s="81" t="s">
        <v>169</v>
      </c>
      <c r="D99" s="80" t="s">
        <v>155</v>
      </c>
      <c r="E99" s="80">
        <v>200</v>
      </c>
      <c r="F99" s="93">
        <v>3</v>
      </c>
      <c r="G99" s="68">
        <f t="shared" si="1"/>
        <v>600</v>
      </c>
    </row>
    <row r="100" spans="2:9" ht="15.75" thickBot="1" x14ac:dyDescent="0.3">
      <c r="B100" s="82">
        <v>37</v>
      </c>
      <c r="C100" s="81" t="s">
        <v>168</v>
      </c>
      <c r="D100" s="80" t="s">
        <v>155</v>
      </c>
      <c r="E100" s="80">
        <v>100</v>
      </c>
      <c r="F100" s="93">
        <v>2.8</v>
      </c>
      <c r="G100" s="68">
        <f t="shared" si="1"/>
        <v>280</v>
      </c>
      <c r="H100" s="92"/>
    </row>
    <row r="101" spans="2:9" ht="15.75" thickBot="1" x14ac:dyDescent="0.3">
      <c r="B101" s="82">
        <v>38</v>
      </c>
      <c r="C101" s="81" t="s">
        <v>167</v>
      </c>
      <c r="D101" s="80" t="s">
        <v>166</v>
      </c>
      <c r="E101" s="80">
        <v>100</v>
      </c>
      <c r="F101" s="93">
        <v>16</v>
      </c>
      <c r="G101" s="68">
        <f t="shared" si="1"/>
        <v>1600</v>
      </c>
    </row>
    <row r="102" spans="2:9" ht="15.75" thickBot="1" x14ac:dyDescent="0.3">
      <c r="B102" s="82">
        <v>39</v>
      </c>
      <c r="C102" s="81" t="s">
        <v>165</v>
      </c>
      <c r="D102" s="80" t="s">
        <v>164</v>
      </c>
      <c r="E102" s="80">
        <v>500</v>
      </c>
      <c r="F102" s="93">
        <v>1.4</v>
      </c>
      <c r="G102" s="68">
        <f t="shared" si="1"/>
        <v>700</v>
      </c>
    </row>
    <row r="103" spans="2:9" ht="15.75" thickBot="1" x14ac:dyDescent="0.3">
      <c r="B103" s="82">
        <v>40</v>
      </c>
      <c r="C103" s="81" t="s">
        <v>163</v>
      </c>
      <c r="D103" s="80" t="s">
        <v>162</v>
      </c>
      <c r="E103" s="80">
        <v>400</v>
      </c>
      <c r="F103" s="93">
        <v>6.7</v>
      </c>
      <c r="G103" s="68">
        <f t="shared" si="1"/>
        <v>2680</v>
      </c>
    </row>
    <row r="104" spans="2:9" ht="15.75" thickBot="1" x14ac:dyDescent="0.3">
      <c r="B104" s="82">
        <v>41</v>
      </c>
      <c r="C104" s="81" t="s">
        <v>161</v>
      </c>
      <c r="D104" s="80" t="s">
        <v>155</v>
      </c>
      <c r="E104" s="80">
        <v>40</v>
      </c>
      <c r="F104" s="93">
        <v>20</v>
      </c>
      <c r="G104" s="68">
        <f t="shared" si="1"/>
        <v>800</v>
      </c>
      <c r="H104" s="92"/>
    </row>
    <row r="105" spans="2:9" ht="15.75" thickBot="1" x14ac:dyDescent="0.3">
      <c r="B105" s="82">
        <v>42</v>
      </c>
      <c r="C105" s="81" t="s">
        <v>160</v>
      </c>
      <c r="D105" s="80" t="s">
        <v>155</v>
      </c>
      <c r="E105" s="80">
        <v>80</v>
      </c>
      <c r="F105" s="93">
        <v>14</v>
      </c>
      <c r="G105" s="68">
        <f t="shared" si="1"/>
        <v>1120</v>
      </c>
    </row>
    <row r="106" spans="2:9" ht="15.75" thickBot="1" x14ac:dyDescent="0.3">
      <c r="B106" s="82">
        <v>43</v>
      </c>
      <c r="C106" s="81" t="s">
        <v>159</v>
      </c>
      <c r="D106" s="80" t="s">
        <v>155</v>
      </c>
      <c r="E106" s="80">
        <v>100</v>
      </c>
      <c r="F106" s="93">
        <v>2</v>
      </c>
      <c r="G106" s="68">
        <f t="shared" si="1"/>
        <v>200</v>
      </c>
    </row>
    <row r="107" spans="2:9" ht="15.75" thickBot="1" x14ac:dyDescent="0.3">
      <c r="B107" s="82">
        <v>44</v>
      </c>
      <c r="C107" s="81" t="s">
        <v>158</v>
      </c>
      <c r="D107" s="80" t="s">
        <v>157</v>
      </c>
      <c r="E107" s="80">
        <v>400</v>
      </c>
      <c r="F107" s="93">
        <v>350</v>
      </c>
      <c r="G107" s="68">
        <f t="shared" si="1"/>
        <v>140000</v>
      </c>
      <c r="H107" s="92"/>
    </row>
    <row r="108" spans="2:9" ht="15.75" thickBot="1" x14ac:dyDescent="0.3">
      <c r="B108" s="82">
        <v>45</v>
      </c>
      <c r="C108" s="81" t="s">
        <v>156</v>
      </c>
      <c r="D108" s="80" t="s">
        <v>155</v>
      </c>
      <c r="E108" s="80">
        <v>265</v>
      </c>
      <c r="F108" s="93">
        <v>271</v>
      </c>
      <c r="G108" s="68">
        <f t="shared" si="1"/>
        <v>71815</v>
      </c>
      <c r="H108" s="92"/>
    </row>
    <row r="109" spans="2:9" ht="13.5" customHeight="1" thickBot="1" x14ac:dyDescent="0.3">
      <c r="B109" s="770" t="s">
        <v>154</v>
      </c>
      <c r="C109" s="771"/>
      <c r="D109" s="771"/>
      <c r="E109" s="772"/>
      <c r="F109" s="91"/>
      <c r="G109" s="90">
        <f>SUM(G64:G108)</f>
        <v>344445</v>
      </c>
    </row>
    <row r="111" spans="2:9" ht="15.75" thickBot="1" x14ac:dyDescent="0.3"/>
    <row r="112" spans="2:9" ht="29.25" customHeight="1" thickBot="1" x14ac:dyDescent="0.3">
      <c r="B112" s="775" t="s">
        <v>153</v>
      </c>
      <c r="C112" s="776"/>
      <c r="D112" s="776"/>
      <c r="E112" s="776"/>
      <c r="F112" s="776"/>
      <c r="G112" s="784" t="s">
        <v>152</v>
      </c>
      <c r="H112" s="784" t="s">
        <v>143</v>
      </c>
      <c r="I112" s="784" t="s">
        <v>142</v>
      </c>
    </row>
    <row r="113" spans="2:9" x14ac:dyDescent="0.25">
      <c r="B113" s="780" t="s">
        <v>141</v>
      </c>
      <c r="C113" s="773" t="s">
        <v>140</v>
      </c>
      <c r="D113" s="773" t="s">
        <v>139</v>
      </c>
      <c r="E113" s="89" t="s">
        <v>39</v>
      </c>
      <c r="F113" s="88" t="s">
        <v>39</v>
      </c>
      <c r="G113" s="785"/>
      <c r="H113" s="785"/>
      <c r="I113" s="785"/>
    </row>
    <row r="114" spans="2:9" ht="15.75" thickBot="1" x14ac:dyDescent="0.3">
      <c r="B114" s="781"/>
      <c r="C114" s="774"/>
      <c r="D114" s="774"/>
      <c r="E114" s="80" t="s">
        <v>38</v>
      </c>
      <c r="F114" s="87" t="s">
        <v>151</v>
      </c>
      <c r="G114" s="786"/>
      <c r="H114" s="786"/>
      <c r="I114" s="786"/>
    </row>
    <row r="115" spans="2:9" ht="15.75" thickBot="1" x14ac:dyDescent="0.3">
      <c r="B115" s="82">
        <v>1</v>
      </c>
      <c r="C115" s="81" t="s">
        <v>150</v>
      </c>
      <c r="D115" s="80">
        <v>1</v>
      </c>
      <c r="E115" s="68">
        <v>2180</v>
      </c>
      <c r="F115" s="79">
        <f>D115*E115</f>
        <v>2180</v>
      </c>
      <c r="G115" s="72"/>
      <c r="H115" s="66"/>
      <c r="I115" s="65"/>
    </row>
    <row r="116" spans="2:9" s="77" customFormat="1" ht="13.5" thickBot="1" x14ac:dyDescent="0.25">
      <c r="B116" s="770" t="s">
        <v>136</v>
      </c>
      <c r="C116" s="771"/>
      <c r="D116" s="771"/>
      <c r="E116" s="772"/>
      <c r="F116" s="86">
        <f>F115</f>
        <v>2180</v>
      </c>
      <c r="G116" s="85"/>
      <c r="H116" s="84"/>
      <c r="I116" s="84"/>
    </row>
    <row r="117" spans="2:9" ht="15.75" thickBot="1" x14ac:dyDescent="0.3">
      <c r="B117" s="82">
        <v>1</v>
      </c>
      <c r="C117" s="81" t="s">
        <v>135</v>
      </c>
      <c r="D117" s="80">
        <v>4</v>
      </c>
      <c r="E117" s="68">
        <v>3000</v>
      </c>
      <c r="F117" s="79">
        <f t="shared" ref="F117:F132" si="2">D117*E117</f>
        <v>12000</v>
      </c>
      <c r="G117" s="72" t="s">
        <v>133</v>
      </c>
      <c r="H117" s="66">
        <v>5</v>
      </c>
      <c r="I117" s="65">
        <f t="shared" ref="I117:I132" si="3">F117/H117</f>
        <v>2400</v>
      </c>
    </row>
    <row r="118" spans="2:9" ht="29.25" customHeight="1" thickBot="1" x14ac:dyDescent="0.3">
      <c r="B118" s="82">
        <v>2</v>
      </c>
      <c r="C118" s="81" t="s">
        <v>134</v>
      </c>
      <c r="D118" s="80">
        <v>10</v>
      </c>
      <c r="E118" s="68">
        <v>2700</v>
      </c>
      <c r="F118" s="79">
        <f t="shared" si="2"/>
        <v>27000</v>
      </c>
      <c r="G118" s="72" t="s">
        <v>133</v>
      </c>
      <c r="H118" s="66">
        <v>5</v>
      </c>
      <c r="I118" s="65">
        <f t="shared" si="3"/>
        <v>5400</v>
      </c>
    </row>
    <row r="119" spans="2:9" ht="15.75" thickBot="1" x14ac:dyDescent="0.3">
      <c r="B119" s="82">
        <v>3</v>
      </c>
      <c r="C119" s="81" t="s">
        <v>132</v>
      </c>
      <c r="D119" s="80">
        <v>1</v>
      </c>
      <c r="E119" s="68">
        <v>900</v>
      </c>
      <c r="F119" s="79">
        <f t="shared" si="2"/>
        <v>900</v>
      </c>
      <c r="G119" s="72">
        <v>8443</v>
      </c>
      <c r="H119" s="66">
        <v>10</v>
      </c>
      <c r="I119" s="65">
        <f t="shared" si="3"/>
        <v>90</v>
      </c>
    </row>
    <row r="120" spans="2:9" ht="15.75" thickBot="1" x14ac:dyDescent="0.3">
      <c r="B120" s="82">
        <v>4</v>
      </c>
      <c r="C120" s="81" t="s">
        <v>131</v>
      </c>
      <c r="D120" s="80">
        <v>2</v>
      </c>
      <c r="E120" s="68">
        <v>850</v>
      </c>
      <c r="F120" s="79">
        <f t="shared" si="2"/>
        <v>1700</v>
      </c>
      <c r="G120" s="72">
        <v>9007</v>
      </c>
      <c r="H120" s="66">
        <v>10</v>
      </c>
      <c r="I120" s="65">
        <f t="shared" si="3"/>
        <v>170</v>
      </c>
    </row>
    <row r="121" spans="2:9" ht="15.75" thickBot="1" x14ac:dyDescent="0.3">
      <c r="B121" s="82">
        <v>5</v>
      </c>
      <c r="C121" s="81" t="s">
        <v>149</v>
      </c>
      <c r="D121" s="80">
        <v>54</v>
      </c>
      <c r="E121" s="68">
        <v>287</v>
      </c>
      <c r="F121" s="83">
        <f t="shared" si="2"/>
        <v>15498</v>
      </c>
      <c r="G121" s="72">
        <v>8517</v>
      </c>
      <c r="H121" s="66">
        <v>5</v>
      </c>
      <c r="I121" s="65">
        <f t="shared" si="3"/>
        <v>3099.6</v>
      </c>
    </row>
    <row r="122" spans="2:9" ht="15.75" thickBot="1" x14ac:dyDescent="0.3">
      <c r="B122" s="82">
        <v>6</v>
      </c>
      <c r="C122" s="81" t="s">
        <v>129</v>
      </c>
      <c r="D122" s="80">
        <v>2</v>
      </c>
      <c r="E122" s="68">
        <v>1500</v>
      </c>
      <c r="F122" s="79">
        <f t="shared" si="2"/>
        <v>3000</v>
      </c>
      <c r="G122" s="72">
        <v>9014</v>
      </c>
      <c r="H122" s="66">
        <v>10</v>
      </c>
      <c r="I122" s="65">
        <f t="shared" si="3"/>
        <v>300</v>
      </c>
    </row>
    <row r="123" spans="2:9" ht="15.75" thickBot="1" x14ac:dyDescent="0.3">
      <c r="B123" s="82">
        <v>7</v>
      </c>
      <c r="C123" s="81" t="s">
        <v>128</v>
      </c>
      <c r="D123" s="80">
        <v>1</v>
      </c>
      <c r="E123" s="68">
        <v>1900</v>
      </c>
      <c r="F123" s="79">
        <f t="shared" si="2"/>
        <v>1900</v>
      </c>
      <c r="G123" s="72">
        <v>8418</v>
      </c>
      <c r="H123" s="66">
        <v>10</v>
      </c>
      <c r="I123" s="65">
        <f t="shared" si="3"/>
        <v>190</v>
      </c>
    </row>
    <row r="124" spans="2:9" ht="15.75" thickBot="1" x14ac:dyDescent="0.3">
      <c r="B124" s="82">
        <v>8</v>
      </c>
      <c r="C124" s="81" t="s">
        <v>127</v>
      </c>
      <c r="D124" s="80">
        <v>1</v>
      </c>
      <c r="E124" s="68">
        <v>1000</v>
      </c>
      <c r="F124" s="79">
        <f t="shared" si="2"/>
        <v>1000</v>
      </c>
      <c r="G124" s="72">
        <v>7321</v>
      </c>
      <c r="H124" s="66">
        <v>10</v>
      </c>
      <c r="I124" s="65">
        <f t="shared" si="3"/>
        <v>100</v>
      </c>
    </row>
    <row r="125" spans="2:9" ht="15.75" thickBot="1" x14ac:dyDescent="0.3">
      <c r="B125" s="82">
        <v>9</v>
      </c>
      <c r="C125" s="81" t="s">
        <v>126</v>
      </c>
      <c r="D125" s="80">
        <v>1</v>
      </c>
      <c r="E125" s="68">
        <v>500</v>
      </c>
      <c r="F125" s="79">
        <f t="shared" si="2"/>
        <v>500</v>
      </c>
      <c r="G125" s="72">
        <v>8514</v>
      </c>
      <c r="H125" s="66">
        <v>10</v>
      </c>
      <c r="I125" s="65">
        <f t="shared" si="3"/>
        <v>50</v>
      </c>
    </row>
    <row r="126" spans="2:9" ht="15.75" thickBot="1" x14ac:dyDescent="0.3">
      <c r="B126" s="82">
        <v>10</v>
      </c>
      <c r="C126" s="81" t="s">
        <v>148</v>
      </c>
      <c r="D126" s="80">
        <v>1</v>
      </c>
      <c r="E126" s="68">
        <v>1300</v>
      </c>
      <c r="F126" s="79">
        <f t="shared" si="2"/>
        <v>1300</v>
      </c>
      <c r="G126" s="72">
        <v>9403</v>
      </c>
      <c r="H126" s="66">
        <v>10</v>
      </c>
      <c r="I126" s="65">
        <f t="shared" si="3"/>
        <v>130</v>
      </c>
    </row>
    <row r="127" spans="2:9" ht="15.75" thickBot="1" x14ac:dyDescent="0.3">
      <c r="B127" s="82">
        <v>11</v>
      </c>
      <c r="C127" s="81" t="s">
        <v>123</v>
      </c>
      <c r="D127" s="80">
        <v>1</v>
      </c>
      <c r="E127" s="68">
        <v>650</v>
      </c>
      <c r="F127" s="79">
        <f t="shared" si="2"/>
        <v>650</v>
      </c>
      <c r="G127" s="72">
        <v>9403</v>
      </c>
      <c r="H127" s="66">
        <v>10</v>
      </c>
      <c r="I127" s="65">
        <f t="shared" si="3"/>
        <v>65</v>
      </c>
    </row>
    <row r="128" spans="2:9" ht="15.75" thickBot="1" x14ac:dyDescent="0.3">
      <c r="B128" s="82">
        <v>12</v>
      </c>
      <c r="C128" s="81" t="s">
        <v>122</v>
      </c>
      <c r="D128" s="80">
        <v>10</v>
      </c>
      <c r="E128" s="68">
        <v>250</v>
      </c>
      <c r="F128" s="79">
        <f t="shared" si="2"/>
        <v>2500</v>
      </c>
      <c r="G128" s="72">
        <v>9403</v>
      </c>
      <c r="H128" s="66">
        <v>10</v>
      </c>
      <c r="I128" s="65">
        <f t="shared" si="3"/>
        <v>250</v>
      </c>
    </row>
    <row r="129" spans="2:9" ht="15.75" thickBot="1" x14ac:dyDescent="0.3">
      <c r="B129" s="82">
        <v>13</v>
      </c>
      <c r="C129" s="81" t="s">
        <v>121</v>
      </c>
      <c r="D129" s="80">
        <v>2</v>
      </c>
      <c r="E129" s="68">
        <v>400</v>
      </c>
      <c r="F129" s="79">
        <f t="shared" si="2"/>
        <v>800</v>
      </c>
      <c r="G129" s="72">
        <v>9403</v>
      </c>
      <c r="H129" s="66">
        <v>10</v>
      </c>
      <c r="I129" s="65">
        <f t="shared" si="3"/>
        <v>80</v>
      </c>
    </row>
    <row r="130" spans="2:9" ht="15.75" thickBot="1" x14ac:dyDescent="0.3">
      <c r="B130" s="82">
        <v>14</v>
      </c>
      <c r="C130" s="81" t="s">
        <v>120</v>
      </c>
      <c r="D130" s="80">
        <v>4</v>
      </c>
      <c r="E130" s="68">
        <v>670</v>
      </c>
      <c r="F130" s="79">
        <f t="shared" si="2"/>
        <v>2680</v>
      </c>
      <c r="G130" s="72">
        <v>9403</v>
      </c>
      <c r="H130" s="66">
        <v>10</v>
      </c>
      <c r="I130" s="65">
        <f t="shared" si="3"/>
        <v>268</v>
      </c>
    </row>
    <row r="131" spans="2:9" ht="15.75" thickBot="1" x14ac:dyDescent="0.3">
      <c r="B131" s="82">
        <v>15</v>
      </c>
      <c r="C131" s="81" t="s">
        <v>147</v>
      </c>
      <c r="D131" s="80">
        <v>4</v>
      </c>
      <c r="E131" s="68">
        <v>750</v>
      </c>
      <c r="F131" s="79">
        <f t="shared" si="2"/>
        <v>3000</v>
      </c>
      <c r="G131" s="72">
        <v>9403</v>
      </c>
      <c r="H131" s="66">
        <v>10</v>
      </c>
      <c r="I131" s="65">
        <f t="shared" si="3"/>
        <v>300</v>
      </c>
    </row>
    <row r="132" spans="2:9" ht="15.75" thickBot="1" x14ac:dyDescent="0.3">
      <c r="B132" s="82">
        <v>16</v>
      </c>
      <c r="C132" s="81" t="s">
        <v>118</v>
      </c>
      <c r="D132" s="80">
        <v>1</v>
      </c>
      <c r="E132" s="68">
        <v>3000</v>
      </c>
      <c r="F132" s="79">
        <f t="shared" si="2"/>
        <v>3000</v>
      </c>
      <c r="G132" s="72"/>
      <c r="H132" s="66">
        <v>10</v>
      </c>
      <c r="I132" s="65">
        <f t="shared" si="3"/>
        <v>300</v>
      </c>
    </row>
    <row r="133" spans="2:9" s="77" customFormat="1" ht="13.5" thickBot="1" x14ac:dyDescent="0.25">
      <c r="B133" s="792" t="s">
        <v>117</v>
      </c>
      <c r="C133" s="793"/>
      <c r="D133" s="793"/>
      <c r="E133" s="794"/>
      <c r="F133" s="78">
        <f>SUM(F117:F132)</f>
        <v>77428</v>
      </c>
      <c r="G133" s="787" t="s">
        <v>116</v>
      </c>
      <c r="H133" s="788"/>
      <c r="I133" s="63">
        <f>SUM(I115:I132)</f>
        <v>13192.6</v>
      </c>
    </row>
    <row r="134" spans="2:9" ht="15.75" thickBot="1" x14ac:dyDescent="0.3">
      <c r="B134" s="770" t="s">
        <v>146</v>
      </c>
      <c r="C134" s="771"/>
      <c r="D134" s="771"/>
      <c r="E134" s="772"/>
      <c r="F134" s="76">
        <f>F133+F116</f>
        <v>79608</v>
      </c>
      <c r="G134" s="72"/>
      <c r="H134" s="66"/>
      <c r="I134" s="66"/>
    </row>
    <row r="135" spans="2:9" x14ac:dyDescent="0.25">
      <c r="B135" s="60" t="s">
        <v>114</v>
      </c>
      <c r="C135" s="59" t="s">
        <v>113</v>
      </c>
      <c r="D135" s="60"/>
      <c r="E135" s="60"/>
      <c r="F135" s="60"/>
    </row>
    <row r="137" spans="2:9" ht="15.75" thickBot="1" x14ac:dyDescent="0.3"/>
    <row r="138" spans="2:9" ht="31.5" customHeight="1" thickBot="1" x14ac:dyDescent="0.3">
      <c r="B138" s="789" t="s">
        <v>145</v>
      </c>
      <c r="C138" s="790"/>
      <c r="D138" s="790"/>
      <c r="E138" s="790"/>
      <c r="F138" s="791"/>
      <c r="G138" s="784" t="s">
        <v>144</v>
      </c>
      <c r="H138" s="784" t="s">
        <v>143</v>
      </c>
      <c r="I138" s="784" t="s">
        <v>142</v>
      </c>
    </row>
    <row r="139" spans="2:9" x14ac:dyDescent="0.25">
      <c r="B139" s="798" t="s">
        <v>141</v>
      </c>
      <c r="C139" s="800" t="s">
        <v>140</v>
      </c>
      <c r="D139" s="800" t="s">
        <v>139</v>
      </c>
      <c r="E139" s="75" t="s">
        <v>39</v>
      </c>
      <c r="F139" s="75" t="s">
        <v>39</v>
      </c>
      <c r="G139" s="785"/>
      <c r="H139" s="785"/>
      <c r="I139" s="785"/>
    </row>
    <row r="140" spans="2:9" ht="15.75" thickBot="1" x14ac:dyDescent="0.3">
      <c r="B140" s="799"/>
      <c r="C140" s="801"/>
      <c r="D140" s="801"/>
      <c r="E140" s="69" t="s">
        <v>38</v>
      </c>
      <c r="F140" s="69" t="s">
        <v>138</v>
      </c>
      <c r="G140" s="786"/>
      <c r="H140" s="786"/>
      <c r="I140" s="786"/>
    </row>
    <row r="141" spans="2:9" ht="15.75" thickBot="1" x14ac:dyDescent="0.3">
      <c r="B141" s="71">
        <v>1</v>
      </c>
      <c r="C141" s="70" t="s">
        <v>137</v>
      </c>
      <c r="D141" s="69">
        <v>1</v>
      </c>
      <c r="E141" s="68">
        <v>2180</v>
      </c>
      <c r="F141" s="67">
        <f>D141*E141</f>
        <v>2180</v>
      </c>
      <c r="G141" s="61"/>
      <c r="H141" s="66"/>
      <c r="I141" s="65"/>
    </row>
    <row r="142" spans="2:9" ht="15.75" thickBot="1" x14ac:dyDescent="0.3">
      <c r="B142" s="770" t="s">
        <v>136</v>
      </c>
      <c r="C142" s="771"/>
      <c r="D142" s="771"/>
      <c r="E142" s="772"/>
      <c r="F142" s="74">
        <f>F141</f>
        <v>2180</v>
      </c>
      <c r="G142" s="73"/>
      <c r="H142" s="73"/>
      <c r="I142" s="73"/>
    </row>
    <row r="143" spans="2:9" ht="15.75" thickBot="1" x14ac:dyDescent="0.3">
      <c r="B143" s="71">
        <v>1</v>
      </c>
      <c r="C143" s="70" t="s">
        <v>135</v>
      </c>
      <c r="D143" s="69">
        <v>4</v>
      </c>
      <c r="E143" s="68">
        <v>3000</v>
      </c>
      <c r="F143" s="67">
        <f t="shared" ref="F143:F159" si="4">D143*E143</f>
        <v>12000</v>
      </c>
      <c r="G143" s="72" t="s">
        <v>133</v>
      </c>
      <c r="H143" s="66">
        <v>5</v>
      </c>
      <c r="I143" s="65">
        <f t="shared" ref="I143:I159" si="5">F143/H143</f>
        <v>2400</v>
      </c>
    </row>
    <row r="144" spans="2:9" ht="25.5" customHeight="1" thickBot="1" x14ac:dyDescent="0.3">
      <c r="B144" s="71">
        <v>2</v>
      </c>
      <c r="C144" s="70" t="s">
        <v>134</v>
      </c>
      <c r="D144" s="69">
        <v>5</v>
      </c>
      <c r="E144" s="68">
        <v>2700</v>
      </c>
      <c r="F144" s="67">
        <f t="shared" si="4"/>
        <v>13500</v>
      </c>
      <c r="G144" s="72" t="s">
        <v>133</v>
      </c>
      <c r="H144" s="66">
        <v>5</v>
      </c>
      <c r="I144" s="65">
        <f t="shared" si="5"/>
        <v>2700</v>
      </c>
    </row>
    <row r="145" spans="2:9" ht="15.75" thickBot="1" x14ac:dyDescent="0.3">
      <c r="B145" s="71">
        <v>3</v>
      </c>
      <c r="C145" s="70" t="s">
        <v>132</v>
      </c>
      <c r="D145" s="69">
        <v>1</v>
      </c>
      <c r="E145" s="68">
        <v>900</v>
      </c>
      <c r="F145" s="67">
        <f t="shared" si="4"/>
        <v>900</v>
      </c>
      <c r="G145" s="72">
        <v>8443</v>
      </c>
      <c r="H145" s="66">
        <v>10</v>
      </c>
      <c r="I145" s="65">
        <f t="shared" si="5"/>
        <v>90</v>
      </c>
    </row>
    <row r="146" spans="2:9" ht="15.75" thickBot="1" x14ac:dyDescent="0.3">
      <c r="B146" s="71">
        <v>4</v>
      </c>
      <c r="C146" s="70" t="s">
        <v>131</v>
      </c>
      <c r="D146" s="69">
        <v>2</v>
      </c>
      <c r="E146" s="68">
        <v>850</v>
      </c>
      <c r="F146" s="67">
        <f t="shared" si="4"/>
        <v>1700</v>
      </c>
      <c r="G146" s="72">
        <v>9007</v>
      </c>
      <c r="H146" s="66">
        <v>10</v>
      </c>
      <c r="I146" s="65">
        <f t="shared" si="5"/>
        <v>170</v>
      </c>
    </row>
    <row r="147" spans="2:9" ht="15.75" thickBot="1" x14ac:dyDescent="0.3">
      <c r="B147" s="71">
        <v>5</v>
      </c>
      <c r="C147" s="70" t="s">
        <v>130</v>
      </c>
      <c r="D147" s="69">
        <v>30</v>
      </c>
      <c r="E147" s="68">
        <v>287</v>
      </c>
      <c r="F147" s="67">
        <f t="shared" si="4"/>
        <v>8610</v>
      </c>
      <c r="G147" s="72">
        <v>8517</v>
      </c>
      <c r="H147" s="66">
        <v>5</v>
      </c>
      <c r="I147" s="65">
        <f t="shared" si="5"/>
        <v>1722</v>
      </c>
    </row>
    <row r="148" spans="2:9" ht="15.75" thickBot="1" x14ac:dyDescent="0.3">
      <c r="B148" s="71">
        <v>6</v>
      </c>
      <c r="C148" s="70" t="s">
        <v>129</v>
      </c>
      <c r="D148" s="69">
        <v>2</v>
      </c>
      <c r="E148" s="68">
        <v>1500</v>
      </c>
      <c r="F148" s="67">
        <f t="shared" si="4"/>
        <v>3000</v>
      </c>
      <c r="G148" s="72">
        <v>9014</v>
      </c>
      <c r="H148" s="66">
        <v>10</v>
      </c>
      <c r="I148" s="65">
        <f t="shared" si="5"/>
        <v>300</v>
      </c>
    </row>
    <row r="149" spans="2:9" ht="15.75" thickBot="1" x14ac:dyDescent="0.3">
      <c r="B149" s="71">
        <v>7</v>
      </c>
      <c r="C149" s="70" t="s">
        <v>128</v>
      </c>
      <c r="D149" s="69">
        <v>1</v>
      </c>
      <c r="E149" s="68">
        <v>1900</v>
      </c>
      <c r="F149" s="67">
        <f t="shared" si="4"/>
        <v>1900</v>
      </c>
      <c r="G149" s="72">
        <v>8418</v>
      </c>
      <c r="H149" s="66">
        <v>10</v>
      </c>
      <c r="I149" s="65">
        <f t="shared" si="5"/>
        <v>190</v>
      </c>
    </row>
    <row r="150" spans="2:9" ht="15.75" thickBot="1" x14ac:dyDescent="0.3">
      <c r="B150" s="71">
        <v>8</v>
      </c>
      <c r="C150" s="70" t="s">
        <v>127</v>
      </c>
      <c r="D150" s="69">
        <v>1</v>
      </c>
      <c r="E150" s="68">
        <v>1000</v>
      </c>
      <c r="F150" s="67">
        <f t="shared" si="4"/>
        <v>1000</v>
      </c>
      <c r="G150" s="72">
        <v>7321</v>
      </c>
      <c r="H150" s="66">
        <v>10</v>
      </c>
      <c r="I150" s="65">
        <f t="shared" si="5"/>
        <v>100</v>
      </c>
    </row>
    <row r="151" spans="2:9" ht="15.75" thickBot="1" x14ac:dyDescent="0.3">
      <c r="B151" s="71">
        <v>9</v>
      </c>
      <c r="C151" s="70" t="s">
        <v>126</v>
      </c>
      <c r="D151" s="69">
        <v>1</v>
      </c>
      <c r="E151" s="68">
        <v>500</v>
      </c>
      <c r="F151" s="67">
        <f t="shared" si="4"/>
        <v>500</v>
      </c>
      <c r="G151" s="72">
        <v>8514</v>
      </c>
      <c r="H151" s="66">
        <v>10</v>
      </c>
      <c r="I151" s="65">
        <f t="shared" si="5"/>
        <v>50</v>
      </c>
    </row>
    <row r="152" spans="2:9" ht="15.75" thickBot="1" x14ac:dyDescent="0.3">
      <c r="B152" s="71">
        <v>10</v>
      </c>
      <c r="C152" s="70" t="s">
        <v>125</v>
      </c>
      <c r="D152" s="69">
        <v>4</v>
      </c>
      <c r="E152" s="68">
        <v>1300</v>
      </c>
      <c r="F152" s="67">
        <f t="shared" si="4"/>
        <v>5200</v>
      </c>
      <c r="G152" s="72">
        <v>9403</v>
      </c>
      <c r="H152" s="66">
        <v>10</v>
      </c>
      <c r="I152" s="65">
        <f t="shared" si="5"/>
        <v>520</v>
      </c>
    </row>
    <row r="153" spans="2:9" ht="15.75" thickBot="1" x14ac:dyDescent="0.3">
      <c r="B153" s="71">
        <v>11</v>
      </c>
      <c r="C153" s="70" t="s">
        <v>124</v>
      </c>
      <c r="D153" s="69">
        <v>6</v>
      </c>
      <c r="E153" s="68">
        <v>2100</v>
      </c>
      <c r="F153" s="67">
        <f t="shared" si="4"/>
        <v>12600</v>
      </c>
      <c r="G153" s="72">
        <v>8415</v>
      </c>
      <c r="H153" s="66">
        <v>10</v>
      </c>
      <c r="I153" s="65">
        <f t="shared" si="5"/>
        <v>1260</v>
      </c>
    </row>
    <row r="154" spans="2:9" ht="15.75" thickBot="1" x14ac:dyDescent="0.3">
      <c r="B154" s="71">
        <v>12</v>
      </c>
      <c r="C154" s="70" t="s">
        <v>123</v>
      </c>
      <c r="D154" s="69">
        <v>1</v>
      </c>
      <c r="E154" s="68">
        <v>650</v>
      </c>
      <c r="F154" s="67">
        <f t="shared" si="4"/>
        <v>650</v>
      </c>
      <c r="G154" s="72">
        <v>9403</v>
      </c>
      <c r="H154" s="66">
        <v>10</v>
      </c>
      <c r="I154" s="65">
        <f t="shared" si="5"/>
        <v>65</v>
      </c>
    </row>
    <row r="155" spans="2:9" ht="15.75" thickBot="1" x14ac:dyDescent="0.3">
      <c r="B155" s="71">
        <v>13</v>
      </c>
      <c r="C155" s="70" t="s">
        <v>122</v>
      </c>
      <c r="D155" s="69">
        <v>10</v>
      </c>
      <c r="E155" s="68">
        <v>250</v>
      </c>
      <c r="F155" s="67">
        <f t="shared" si="4"/>
        <v>2500</v>
      </c>
      <c r="G155" s="72">
        <v>9403</v>
      </c>
      <c r="H155" s="66">
        <v>10</v>
      </c>
      <c r="I155" s="65">
        <f t="shared" si="5"/>
        <v>250</v>
      </c>
    </row>
    <row r="156" spans="2:9" ht="15.75" thickBot="1" x14ac:dyDescent="0.3">
      <c r="B156" s="71">
        <v>14</v>
      </c>
      <c r="C156" s="70" t="s">
        <v>121</v>
      </c>
      <c r="D156" s="69">
        <v>6</v>
      </c>
      <c r="E156" s="68">
        <v>400</v>
      </c>
      <c r="F156" s="67">
        <f t="shared" si="4"/>
        <v>2400</v>
      </c>
      <c r="G156" s="72">
        <v>9403</v>
      </c>
      <c r="H156" s="66">
        <v>10</v>
      </c>
      <c r="I156" s="65">
        <f t="shared" si="5"/>
        <v>240</v>
      </c>
    </row>
    <row r="157" spans="2:9" ht="15.75" thickBot="1" x14ac:dyDescent="0.3">
      <c r="B157" s="71">
        <v>15</v>
      </c>
      <c r="C157" s="70" t="s">
        <v>120</v>
      </c>
      <c r="D157" s="69">
        <v>6</v>
      </c>
      <c r="E157" s="68">
        <v>670</v>
      </c>
      <c r="F157" s="67">
        <f t="shared" si="4"/>
        <v>4020</v>
      </c>
      <c r="G157" s="72">
        <v>9403</v>
      </c>
      <c r="H157" s="66">
        <v>10</v>
      </c>
      <c r="I157" s="65">
        <f t="shared" si="5"/>
        <v>402</v>
      </c>
    </row>
    <row r="158" spans="2:9" ht="15.75" thickBot="1" x14ac:dyDescent="0.3">
      <c r="B158" s="71">
        <v>16</v>
      </c>
      <c r="C158" s="70" t="s">
        <v>119</v>
      </c>
      <c r="D158" s="69">
        <v>4</v>
      </c>
      <c r="E158" s="68">
        <v>750</v>
      </c>
      <c r="F158" s="67">
        <f t="shared" si="4"/>
        <v>3000</v>
      </c>
      <c r="G158" s="72">
        <v>9403</v>
      </c>
      <c r="H158" s="66">
        <v>10</v>
      </c>
      <c r="I158" s="65">
        <f t="shared" si="5"/>
        <v>300</v>
      </c>
    </row>
    <row r="159" spans="2:9" ht="15.75" thickBot="1" x14ac:dyDescent="0.3">
      <c r="B159" s="71">
        <v>17</v>
      </c>
      <c r="C159" s="70" t="s">
        <v>118</v>
      </c>
      <c r="D159" s="69">
        <v>2</v>
      </c>
      <c r="E159" s="68">
        <v>3000</v>
      </c>
      <c r="F159" s="67">
        <f t="shared" si="4"/>
        <v>6000</v>
      </c>
      <c r="G159" s="61"/>
      <c r="H159" s="66">
        <v>10</v>
      </c>
      <c r="I159" s="65">
        <f t="shared" si="5"/>
        <v>600</v>
      </c>
    </row>
    <row r="160" spans="2:9" ht="15.75" thickBot="1" x14ac:dyDescent="0.3">
      <c r="B160" s="792" t="s">
        <v>117</v>
      </c>
      <c r="C160" s="793"/>
      <c r="D160" s="793"/>
      <c r="E160" s="794"/>
      <c r="F160" s="64">
        <f>SUM(F143:F159)</f>
        <v>79480</v>
      </c>
      <c r="G160" s="787" t="s">
        <v>116</v>
      </c>
      <c r="H160" s="788"/>
      <c r="I160" s="63">
        <f>SUM(I141:I159)</f>
        <v>11359</v>
      </c>
    </row>
    <row r="161" spans="2:9" ht="15.75" thickBot="1" x14ac:dyDescent="0.3">
      <c r="B161" s="795" t="s">
        <v>115</v>
      </c>
      <c r="C161" s="796"/>
      <c r="D161" s="796"/>
      <c r="E161" s="797"/>
      <c r="F161" s="62">
        <f>F142+F160</f>
        <v>81660</v>
      </c>
      <c r="G161" s="61"/>
      <c r="H161" s="61"/>
      <c r="I161" s="61"/>
    </row>
    <row r="162" spans="2:9" x14ac:dyDescent="0.25">
      <c r="B162" s="60" t="s">
        <v>114</v>
      </c>
      <c r="C162" s="59" t="s">
        <v>113</v>
      </c>
    </row>
    <row r="163" spans="2:9" x14ac:dyDescent="0.25">
      <c r="B163" s="60"/>
      <c r="C163" s="59"/>
    </row>
  </sheetData>
  <mergeCells count="34">
    <mergeCell ref="B160:E160"/>
    <mergeCell ref="G160:H160"/>
    <mergeCell ref="B161:E161"/>
    <mergeCell ref="I138:I140"/>
    <mergeCell ref="B139:B140"/>
    <mergeCell ref="C139:C140"/>
    <mergeCell ref="D139:D140"/>
    <mergeCell ref="B142:E142"/>
    <mergeCell ref="G133:H133"/>
    <mergeCell ref="B134:E134"/>
    <mergeCell ref="B138:F138"/>
    <mergeCell ref="G138:G140"/>
    <mergeCell ref="H138:H140"/>
    <mergeCell ref="B133:E133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B10:G10"/>
    <mergeCell ref="B11:B12"/>
    <mergeCell ref="C11:C12"/>
    <mergeCell ref="D11:D12"/>
    <mergeCell ref="E11:E12"/>
    <mergeCell ref="B116:E116"/>
    <mergeCell ref="D62:D63"/>
    <mergeCell ref="E62:E63"/>
    <mergeCell ref="B109:E109"/>
    <mergeCell ref="B112:F1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workbookViewId="0">
      <selection activeCell="P10" sqref="P10:P11"/>
    </sheetView>
  </sheetViews>
  <sheetFormatPr defaultColWidth="12.5703125" defaultRowHeight="15" x14ac:dyDescent="0.25"/>
  <cols>
    <col min="1" max="1" width="12.5703125" style="14"/>
    <col min="2" max="2" width="5.7109375" style="14" customWidth="1"/>
    <col min="3" max="3" width="43.28515625" style="111" customWidth="1"/>
    <col min="4" max="4" width="8.85546875" style="14" customWidth="1"/>
    <col min="5" max="5" width="11.5703125" style="110" customWidth="1"/>
    <col min="6" max="6" width="12.5703125" style="109"/>
    <col min="7" max="7" width="11.5703125" style="14" customWidth="1"/>
    <col min="8" max="8" width="8.7109375" style="108" customWidth="1"/>
    <col min="9" max="9" width="11.28515625" style="107" customWidth="1"/>
    <col min="10" max="16384" width="12.5703125" style="14"/>
  </cols>
  <sheetData>
    <row r="1" spans="2:16" x14ac:dyDescent="0.25">
      <c r="B1" s="141"/>
    </row>
    <row r="2" spans="2:16" x14ac:dyDescent="0.25">
      <c r="C2" s="478" t="s">
        <v>298</v>
      </c>
      <c r="D2" s="802">
        <f>F23</f>
        <v>3750.4600000000005</v>
      </c>
      <c r="E2" s="802"/>
    </row>
    <row r="3" spans="2:16" x14ac:dyDescent="0.25">
      <c r="C3" s="478" t="s">
        <v>297</v>
      </c>
      <c r="D3" s="802">
        <f>F78</f>
        <v>44513.950000000004</v>
      </c>
      <c r="E3" s="802"/>
    </row>
    <row r="4" spans="2:16" x14ac:dyDescent="0.25">
      <c r="C4" s="478" t="s">
        <v>296</v>
      </c>
      <c r="D4" s="802">
        <f>I50</f>
        <v>9618.9810000000016</v>
      </c>
      <c r="E4" s="802"/>
    </row>
    <row r="5" spans="2:16" x14ac:dyDescent="0.25">
      <c r="C5" s="478" t="s">
        <v>295</v>
      </c>
      <c r="D5" s="802">
        <f>I114</f>
        <v>82156.172500000015</v>
      </c>
      <c r="E5" s="802"/>
      <c r="F5" s="476"/>
      <c r="G5" s="198"/>
    </row>
    <row r="6" spans="2:16" x14ac:dyDescent="0.25">
      <c r="C6" s="479" t="s">
        <v>294</v>
      </c>
      <c r="D6" s="803">
        <f>D2+D3</f>
        <v>48264.41</v>
      </c>
      <c r="E6" s="803"/>
      <c r="F6" s="477"/>
      <c r="G6" s="194"/>
    </row>
    <row r="7" spans="2:16" x14ac:dyDescent="0.25">
      <c r="C7" s="480" t="s">
        <v>293</v>
      </c>
      <c r="D7" s="804">
        <f>F50+F114</f>
        <v>755255.85999999975</v>
      </c>
      <c r="E7" s="804"/>
      <c r="F7" s="477"/>
      <c r="G7" s="194"/>
      <c r="H7" s="140"/>
    </row>
    <row r="8" spans="2:16" x14ac:dyDescent="0.25">
      <c r="C8" s="98" t="s">
        <v>292</v>
      </c>
      <c r="D8" s="805">
        <f>D4+D5</f>
        <v>91775.153500000015</v>
      </c>
      <c r="E8" s="806"/>
      <c r="F8" s="476"/>
      <c r="G8" s="198"/>
    </row>
    <row r="9" spans="2:16" ht="15.75" thickBot="1" x14ac:dyDescent="0.3"/>
    <row r="10" spans="2:16" ht="15.75" thickBot="1" x14ac:dyDescent="0.3">
      <c r="B10" s="789" t="s">
        <v>291</v>
      </c>
      <c r="C10" s="790"/>
      <c r="D10" s="790"/>
      <c r="E10" s="790"/>
      <c r="F10" s="790"/>
      <c r="G10" s="807" t="s">
        <v>290</v>
      </c>
      <c r="H10" s="807"/>
      <c r="I10" s="807"/>
      <c r="P10" s="569">
        <f>24551.6</f>
        <v>24551.599999999999</v>
      </c>
    </row>
    <row r="11" spans="2:16" ht="15.75" thickBot="1" x14ac:dyDescent="0.3">
      <c r="B11" s="808" t="s">
        <v>141</v>
      </c>
      <c r="C11" s="810" t="s">
        <v>140</v>
      </c>
      <c r="D11" s="812" t="s">
        <v>139</v>
      </c>
      <c r="E11" s="132" t="s">
        <v>39</v>
      </c>
      <c r="F11" s="139" t="s">
        <v>39</v>
      </c>
      <c r="G11" s="807"/>
      <c r="H11" s="807"/>
      <c r="I11" s="807"/>
      <c r="P11" s="569">
        <v>92900.15</v>
      </c>
    </row>
    <row r="12" spans="2:16" ht="16.5" customHeight="1" thickBot="1" x14ac:dyDescent="0.3">
      <c r="B12" s="809"/>
      <c r="C12" s="811"/>
      <c r="D12" s="813"/>
      <c r="E12" s="130" t="s">
        <v>38</v>
      </c>
      <c r="F12" s="138" t="s">
        <v>138</v>
      </c>
      <c r="G12" s="807"/>
      <c r="H12" s="807"/>
      <c r="I12" s="807"/>
    </row>
    <row r="13" spans="2:16" ht="15.75" thickBot="1" x14ac:dyDescent="0.3">
      <c r="B13" s="124">
        <v>1</v>
      </c>
      <c r="C13" s="123" t="s">
        <v>280</v>
      </c>
      <c r="D13" s="122">
        <v>1</v>
      </c>
      <c r="E13" s="121">
        <v>35.880000000000003</v>
      </c>
      <c r="F13" s="137">
        <v>35.880000000000003</v>
      </c>
      <c r="G13" s="807"/>
      <c r="H13" s="807"/>
      <c r="I13" s="807"/>
    </row>
    <row r="14" spans="2:16" ht="15.75" thickBot="1" x14ac:dyDescent="0.3">
      <c r="B14" s="124">
        <v>2</v>
      </c>
      <c r="C14" s="123" t="s">
        <v>279</v>
      </c>
      <c r="D14" s="122">
        <v>1</v>
      </c>
      <c r="E14" s="121">
        <v>35.880000000000003</v>
      </c>
      <c r="F14" s="137">
        <v>35.880000000000003</v>
      </c>
      <c r="G14" s="807"/>
      <c r="H14" s="807"/>
      <c r="I14" s="807"/>
    </row>
    <row r="15" spans="2:16" ht="15.75" thickBot="1" x14ac:dyDescent="0.3">
      <c r="B15" s="124">
        <v>3</v>
      </c>
      <c r="C15" s="123" t="s">
        <v>254</v>
      </c>
      <c r="D15" s="122">
        <v>1</v>
      </c>
      <c r="E15" s="121">
        <v>332.25</v>
      </c>
      <c r="F15" s="137">
        <v>332.25</v>
      </c>
      <c r="G15" s="807"/>
      <c r="H15" s="807"/>
      <c r="I15" s="807"/>
    </row>
    <row r="16" spans="2:16" ht="15.75" thickBot="1" x14ac:dyDescent="0.3">
      <c r="B16" s="124">
        <v>4</v>
      </c>
      <c r="C16" s="123" t="s">
        <v>278</v>
      </c>
      <c r="D16" s="122">
        <v>1</v>
      </c>
      <c r="E16" s="121">
        <v>35.880000000000003</v>
      </c>
      <c r="F16" s="137">
        <v>35.880000000000003</v>
      </c>
      <c r="G16" s="807"/>
      <c r="H16" s="807"/>
      <c r="I16" s="807"/>
    </row>
    <row r="17" spans="2:9" ht="15.75" thickBot="1" x14ac:dyDescent="0.3">
      <c r="B17" s="124">
        <v>5</v>
      </c>
      <c r="C17" s="123" t="s">
        <v>267</v>
      </c>
      <c r="D17" s="122">
        <v>1</v>
      </c>
      <c r="E17" s="121">
        <v>517.35</v>
      </c>
      <c r="F17" s="137">
        <v>517.35</v>
      </c>
      <c r="G17" s="807"/>
      <c r="H17" s="807"/>
      <c r="I17" s="807"/>
    </row>
    <row r="18" spans="2:9" ht="15.75" thickBot="1" x14ac:dyDescent="0.3">
      <c r="B18" s="124">
        <v>6</v>
      </c>
      <c r="C18" s="123" t="s">
        <v>264</v>
      </c>
      <c r="D18" s="122">
        <v>1</v>
      </c>
      <c r="E18" s="121">
        <v>998.98</v>
      </c>
      <c r="F18" s="137">
        <v>998.98</v>
      </c>
      <c r="G18" s="807"/>
      <c r="H18" s="807"/>
      <c r="I18" s="807"/>
    </row>
    <row r="19" spans="2:9" ht="15.75" thickBot="1" x14ac:dyDescent="0.3">
      <c r="B19" s="124">
        <v>7</v>
      </c>
      <c r="C19" s="123" t="s">
        <v>265</v>
      </c>
      <c r="D19" s="122">
        <v>1</v>
      </c>
      <c r="E19" s="121">
        <v>600</v>
      </c>
      <c r="F19" s="137">
        <v>600</v>
      </c>
      <c r="G19" s="807"/>
      <c r="H19" s="807"/>
      <c r="I19" s="807"/>
    </row>
    <row r="20" spans="2:9" ht="13.5" customHeight="1" thickBot="1" x14ac:dyDescent="0.3">
      <c r="B20" s="124">
        <v>8</v>
      </c>
      <c r="C20" s="123" t="s">
        <v>266</v>
      </c>
      <c r="D20" s="122">
        <v>1</v>
      </c>
      <c r="E20" s="121">
        <v>573.75</v>
      </c>
      <c r="F20" s="137">
        <v>573.75</v>
      </c>
      <c r="G20" s="807"/>
      <c r="H20" s="807"/>
      <c r="I20" s="807"/>
    </row>
    <row r="21" spans="2:9" ht="23.25" thickBot="1" x14ac:dyDescent="0.3">
      <c r="B21" s="124">
        <v>9</v>
      </c>
      <c r="C21" s="123" t="s">
        <v>268</v>
      </c>
      <c r="D21" s="122">
        <v>1</v>
      </c>
      <c r="E21" s="121">
        <v>382.9</v>
      </c>
      <c r="F21" s="121">
        <v>382.9</v>
      </c>
      <c r="G21" s="784" t="s">
        <v>152</v>
      </c>
      <c r="H21" s="784" t="s">
        <v>143</v>
      </c>
      <c r="I21" s="784" t="s">
        <v>142</v>
      </c>
    </row>
    <row r="22" spans="2:9" ht="15.75" thickBot="1" x14ac:dyDescent="0.3">
      <c r="B22" s="124">
        <v>10</v>
      </c>
      <c r="C22" s="123" t="s">
        <v>289</v>
      </c>
      <c r="D22" s="122">
        <v>1</v>
      </c>
      <c r="E22" s="121">
        <v>237.59</v>
      </c>
      <c r="F22" s="121">
        <v>237.59</v>
      </c>
      <c r="G22" s="785"/>
      <c r="H22" s="785"/>
      <c r="I22" s="785"/>
    </row>
    <row r="23" spans="2:9" ht="13.5" customHeight="1" thickBot="1" x14ac:dyDescent="0.3">
      <c r="B23" s="814" t="s">
        <v>263</v>
      </c>
      <c r="C23" s="815"/>
      <c r="D23" s="815"/>
      <c r="E23" s="816"/>
      <c r="F23" s="128">
        <f>SUM(F13:F22)</f>
        <v>3750.4600000000005</v>
      </c>
      <c r="G23" s="786"/>
      <c r="H23" s="786"/>
      <c r="I23" s="786"/>
    </row>
    <row r="24" spans="2:9" ht="15.75" thickBot="1" x14ac:dyDescent="0.3">
      <c r="B24" s="124">
        <v>1</v>
      </c>
      <c r="C24" s="123" t="s">
        <v>261</v>
      </c>
      <c r="D24" s="122">
        <v>1</v>
      </c>
      <c r="E24" s="121">
        <v>575</v>
      </c>
      <c r="F24" s="121">
        <v>575</v>
      </c>
      <c r="G24" s="115">
        <v>82</v>
      </c>
      <c r="H24" s="136">
        <v>5</v>
      </c>
      <c r="I24" s="119">
        <f t="shared" ref="I24:I49" si="0">F24/H24</f>
        <v>115</v>
      </c>
    </row>
    <row r="25" spans="2:9" ht="15.75" thickBot="1" x14ac:dyDescent="0.3">
      <c r="B25" s="124">
        <v>2</v>
      </c>
      <c r="C25" s="123" t="s">
        <v>262</v>
      </c>
      <c r="D25" s="122">
        <v>1</v>
      </c>
      <c r="E25" s="121">
        <v>600</v>
      </c>
      <c r="F25" s="121">
        <v>600</v>
      </c>
      <c r="G25" s="115">
        <v>82</v>
      </c>
      <c r="H25" s="136">
        <v>5</v>
      </c>
      <c r="I25" s="119">
        <f t="shared" si="0"/>
        <v>120</v>
      </c>
    </row>
    <row r="26" spans="2:9" ht="15.75" thickBot="1" x14ac:dyDescent="0.3">
      <c r="B26" s="124">
        <v>3</v>
      </c>
      <c r="C26" s="123" t="s">
        <v>260</v>
      </c>
      <c r="D26" s="122">
        <v>1</v>
      </c>
      <c r="E26" s="121">
        <v>332.25</v>
      </c>
      <c r="F26" s="121">
        <v>332.25</v>
      </c>
      <c r="G26" s="115">
        <v>84</v>
      </c>
      <c r="H26" s="136">
        <v>10</v>
      </c>
      <c r="I26" s="119">
        <f t="shared" si="0"/>
        <v>33.225000000000001</v>
      </c>
    </row>
    <row r="27" spans="2:9" ht="15.75" thickBot="1" x14ac:dyDescent="0.3">
      <c r="B27" s="124">
        <v>4</v>
      </c>
      <c r="C27" s="123" t="s">
        <v>259</v>
      </c>
      <c r="D27" s="122">
        <v>1</v>
      </c>
      <c r="E27" s="121">
        <v>3927</v>
      </c>
      <c r="F27" s="121">
        <v>3927</v>
      </c>
      <c r="G27" s="115"/>
      <c r="H27" s="136">
        <v>5</v>
      </c>
      <c r="I27" s="119">
        <f t="shared" si="0"/>
        <v>785.4</v>
      </c>
    </row>
    <row r="28" spans="2:9" ht="15.75" thickBot="1" x14ac:dyDescent="0.3">
      <c r="B28" s="124">
        <v>5</v>
      </c>
      <c r="C28" s="123" t="s">
        <v>256</v>
      </c>
      <c r="D28" s="122">
        <v>1</v>
      </c>
      <c r="E28" s="121">
        <v>332.25</v>
      </c>
      <c r="F28" s="121">
        <v>332.25</v>
      </c>
      <c r="G28" s="115"/>
      <c r="H28" s="136">
        <v>5</v>
      </c>
      <c r="I28" s="119">
        <f t="shared" si="0"/>
        <v>66.45</v>
      </c>
    </row>
    <row r="29" spans="2:9" ht="15.75" thickBot="1" x14ac:dyDescent="0.3">
      <c r="B29" s="124">
        <v>6</v>
      </c>
      <c r="C29" s="123" t="s">
        <v>288</v>
      </c>
      <c r="D29" s="122">
        <v>1</v>
      </c>
      <c r="E29" s="121">
        <v>3927</v>
      </c>
      <c r="F29" s="121">
        <v>3927</v>
      </c>
      <c r="G29" s="115">
        <v>84</v>
      </c>
      <c r="H29" s="136">
        <v>10</v>
      </c>
      <c r="I29" s="119">
        <f t="shared" si="0"/>
        <v>392.7</v>
      </c>
    </row>
    <row r="30" spans="2:9" ht="15.75" thickBot="1" x14ac:dyDescent="0.3">
      <c r="B30" s="124">
        <v>7</v>
      </c>
      <c r="C30" s="123" t="s">
        <v>253</v>
      </c>
      <c r="D30" s="122">
        <v>1</v>
      </c>
      <c r="E30" s="121">
        <v>1315</v>
      </c>
      <c r="F30" s="121">
        <v>1315</v>
      </c>
      <c r="G30" s="115">
        <v>84</v>
      </c>
      <c r="H30" s="136">
        <v>10</v>
      </c>
      <c r="I30" s="119">
        <f t="shared" si="0"/>
        <v>131.5</v>
      </c>
    </row>
    <row r="31" spans="2:9" ht="15.75" thickBot="1" x14ac:dyDescent="0.3">
      <c r="B31" s="124">
        <v>8</v>
      </c>
      <c r="C31" s="123" t="s">
        <v>252</v>
      </c>
      <c r="D31" s="122">
        <v>1</v>
      </c>
      <c r="E31" s="121">
        <v>307.99</v>
      </c>
      <c r="F31" s="121">
        <v>307.99</v>
      </c>
      <c r="G31" s="115"/>
      <c r="H31" s="136">
        <v>10</v>
      </c>
      <c r="I31" s="119">
        <f t="shared" si="0"/>
        <v>30.798999999999999</v>
      </c>
    </row>
    <row r="32" spans="2:9" ht="15.75" thickBot="1" x14ac:dyDescent="0.3">
      <c r="B32" s="124">
        <v>9</v>
      </c>
      <c r="C32" s="123" t="s">
        <v>251</v>
      </c>
      <c r="D32" s="122">
        <v>1</v>
      </c>
      <c r="E32" s="121">
        <v>288.8</v>
      </c>
      <c r="F32" s="121">
        <v>288.8</v>
      </c>
      <c r="G32" s="115"/>
      <c r="H32" s="136">
        <v>10</v>
      </c>
      <c r="I32" s="119">
        <f t="shared" si="0"/>
        <v>28.880000000000003</v>
      </c>
    </row>
    <row r="33" spans="2:10" ht="15.75" thickBot="1" x14ac:dyDescent="0.3">
      <c r="B33" s="124">
        <v>10</v>
      </c>
      <c r="C33" s="123" t="s">
        <v>249</v>
      </c>
      <c r="D33" s="122">
        <v>1</v>
      </c>
      <c r="E33" s="121">
        <v>387.19</v>
      </c>
      <c r="F33" s="121">
        <v>387.19</v>
      </c>
      <c r="G33" s="115">
        <v>84</v>
      </c>
      <c r="H33" s="136">
        <v>10</v>
      </c>
      <c r="I33" s="119">
        <f t="shared" si="0"/>
        <v>38.719000000000001</v>
      </c>
    </row>
    <row r="34" spans="2:10" ht="15.75" thickBot="1" x14ac:dyDescent="0.3">
      <c r="B34" s="124">
        <v>11</v>
      </c>
      <c r="C34" s="123" t="s">
        <v>247</v>
      </c>
      <c r="D34" s="122">
        <v>1</v>
      </c>
      <c r="E34" s="121">
        <v>3499</v>
      </c>
      <c r="F34" s="121">
        <v>3499</v>
      </c>
      <c r="G34" s="115"/>
      <c r="H34" s="136">
        <v>5</v>
      </c>
      <c r="I34" s="119">
        <f t="shared" si="0"/>
        <v>699.8</v>
      </c>
    </row>
    <row r="35" spans="2:10" ht="15.75" thickBot="1" x14ac:dyDescent="0.3">
      <c r="B35" s="124">
        <v>12</v>
      </c>
      <c r="C35" s="123" t="s">
        <v>246</v>
      </c>
      <c r="D35" s="122">
        <v>1</v>
      </c>
      <c r="E35" s="121">
        <v>241.2</v>
      </c>
      <c r="F35" s="121">
        <v>241.2</v>
      </c>
      <c r="G35" s="115"/>
      <c r="H35" s="136">
        <v>5</v>
      </c>
      <c r="I35" s="119">
        <f t="shared" si="0"/>
        <v>48.239999999999995</v>
      </c>
    </row>
    <row r="36" spans="2:10" ht="15.75" thickBot="1" x14ac:dyDescent="0.3">
      <c r="B36" s="124">
        <v>13</v>
      </c>
      <c r="C36" s="123" t="s">
        <v>245</v>
      </c>
      <c r="D36" s="122">
        <v>1</v>
      </c>
      <c r="E36" s="121">
        <v>566.32000000000005</v>
      </c>
      <c r="F36" s="121">
        <v>566.32000000000005</v>
      </c>
      <c r="G36" s="115"/>
      <c r="H36" s="136">
        <v>5</v>
      </c>
      <c r="I36" s="119">
        <f t="shared" si="0"/>
        <v>113.26400000000001</v>
      </c>
    </row>
    <row r="37" spans="2:10" ht="15.75" thickBot="1" x14ac:dyDescent="0.3">
      <c r="B37" s="124">
        <v>14</v>
      </c>
      <c r="C37" s="123" t="s">
        <v>244</v>
      </c>
      <c r="D37" s="122">
        <v>1</v>
      </c>
      <c r="E37" s="121">
        <v>79</v>
      </c>
      <c r="F37" s="121">
        <v>79</v>
      </c>
      <c r="G37" s="115">
        <v>84</v>
      </c>
      <c r="H37" s="136">
        <v>10</v>
      </c>
      <c r="I37" s="119">
        <f t="shared" si="0"/>
        <v>7.9</v>
      </c>
    </row>
    <row r="38" spans="2:10" ht="15.75" thickBot="1" x14ac:dyDescent="0.3">
      <c r="B38" s="124">
        <v>15</v>
      </c>
      <c r="C38" s="123" t="s">
        <v>242</v>
      </c>
      <c r="D38" s="122">
        <v>1</v>
      </c>
      <c r="E38" s="121">
        <v>8325</v>
      </c>
      <c r="F38" s="121">
        <v>8325</v>
      </c>
      <c r="G38" s="115"/>
      <c r="H38" s="136">
        <v>5</v>
      </c>
      <c r="I38" s="119">
        <f t="shared" si="0"/>
        <v>1665</v>
      </c>
    </row>
    <row r="39" spans="2:10" ht="15.75" thickBot="1" x14ac:dyDescent="0.3">
      <c r="B39" s="124">
        <v>16</v>
      </c>
      <c r="C39" s="123" t="s">
        <v>241</v>
      </c>
      <c r="D39" s="122">
        <v>1</v>
      </c>
      <c r="E39" s="121">
        <v>2953</v>
      </c>
      <c r="F39" s="121">
        <v>2953</v>
      </c>
      <c r="G39" s="115"/>
      <c r="H39" s="136">
        <v>5</v>
      </c>
      <c r="I39" s="119">
        <f t="shared" si="0"/>
        <v>590.6</v>
      </c>
    </row>
    <row r="40" spans="2:10" ht="15.75" thickBot="1" x14ac:dyDescent="0.3">
      <c r="B40" s="124">
        <v>17</v>
      </c>
      <c r="C40" s="123" t="s">
        <v>240</v>
      </c>
      <c r="D40" s="122">
        <v>1</v>
      </c>
      <c r="E40" s="121">
        <v>18466.29</v>
      </c>
      <c r="F40" s="121">
        <v>18466.29</v>
      </c>
      <c r="G40" s="115"/>
      <c r="H40" s="136">
        <v>5</v>
      </c>
      <c r="I40" s="119">
        <f t="shared" si="0"/>
        <v>3693.2580000000003</v>
      </c>
      <c r="J40" s="125">
        <f>F40/$D$7</f>
        <v>2.4450376326772237E-2</v>
      </c>
    </row>
    <row r="41" spans="2:10" ht="15.75" thickBot="1" x14ac:dyDescent="0.3">
      <c r="B41" s="124">
        <v>18</v>
      </c>
      <c r="C41" s="123" t="s">
        <v>239</v>
      </c>
      <c r="D41" s="122">
        <v>1</v>
      </c>
      <c r="E41" s="121">
        <v>972.91</v>
      </c>
      <c r="F41" s="121">
        <v>972.91</v>
      </c>
      <c r="G41" s="115">
        <v>82</v>
      </c>
      <c r="H41" s="136">
        <v>5</v>
      </c>
      <c r="I41" s="119">
        <f t="shared" si="0"/>
        <v>194.58199999999999</v>
      </c>
    </row>
    <row r="42" spans="2:10" ht="15.75" thickBot="1" x14ac:dyDescent="0.3">
      <c r="B42" s="124">
        <v>19</v>
      </c>
      <c r="C42" s="123" t="s">
        <v>236</v>
      </c>
      <c r="D42" s="122">
        <v>1</v>
      </c>
      <c r="E42" s="121">
        <v>979.99</v>
      </c>
      <c r="F42" s="121">
        <v>979.99</v>
      </c>
      <c r="G42" s="115"/>
      <c r="H42" s="136">
        <v>5</v>
      </c>
      <c r="I42" s="119">
        <f t="shared" si="0"/>
        <v>195.99799999999999</v>
      </c>
    </row>
    <row r="43" spans="2:10" ht="15.75" thickBot="1" x14ac:dyDescent="0.3">
      <c r="B43" s="124">
        <v>20</v>
      </c>
      <c r="C43" s="123" t="s">
        <v>235</v>
      </c>
      <c r="D43" s="122">
        <v>1</v>
      </c>
      <c r="E43" s="121">
        <v>603.99</v>
      </c>
      <c r="F43" s="121">
        <v>603.99</v>
      </c>
      <c r="G43" s="115"/>
      <c r="H43" s="136">
        <v>5</v>
      </c>
      <c r="I43" s="119">
        <f t="shared" si="0"/>
        <v>120.798</v>
      </c>
    </row>
    <row r="44" spans="2:10" ht="15.75" thickBot="1" x14ac:dyDescent="0.3">
      <c r="B44" s="124">
        <v>21</v>
      </c>
      <c r="C44" s="123" t="s">
        <v>234</v>
      </c>
      <c r="D44" s="122">
        <v>1</v>
      </c>
      <c r="E44" s="121">
        <v>1100</v>
      </c>
      <c r="F44" s="121">
        <v>1100</v>
      </c>
      <c r="G44" s="115">
        <v>90</v>
      </c>
      <c r="H44" s="136">
        <v>10</v>
      </c>
      <c r="I44" s="119">
        <f t="shared" si="0"/>
        <v>110</v>
      </c>
    </row>
    <row r="45" spans="2:10" ht="15.75" thickBot="1" x14ac:dyDescent="0.3">
      <c r="B45" s="124">
        <v>22</v>
      </c>
      <c r="C45" s="123" t="s">
        <v>233</v>
      </c>
      <c r="D45" s="122">
        <v>1</v>
      </c>
      <c r="E45" s="121">
        <v>209.9</v>
      </c>
      <c r="F45" s="121">
        <v>209.9</v>
      </c>
      <c r="G45" s="115"/>
      <c r="H45" s="136">
        <v>5</v>
      </c>
      <c r="I45" s="119">
        <f t="shared" si="0"/>
        <v>41.980000000000004</v>
      </c>
    </row>
    <row r="46" spans="2:10" ht="15.75" thickBot="1" x14ac:dyDescent="0.3">
      <c r="B46" s="124">
        <v>23</v>
      </c>
      <c r="C46" s="123" t="s">
        <v>232</v>
      </c>
      <c r="D46" s="122">
        <v>1</v>
      </c>
      <c r="E46" s="121">
        <v>420</v>
      </c>
      <c r="F46" s="121">
        <v>420</v>
      </c>
      <c r="G46" s="115"/>
      <c r="H46" s="136">
        <v>5</v>
      </c>
      <c r="I46" s="119">
        <f t="shared" si="0"/>
        <v>84</v>
      </c>
    </row>
    <row r="47" spans="2:10" ht="15.75" thickBot="1" x14ac:dyDescent="0.3">
      <c r="B47" s="124">
        <v>24</v>
      </c>
      <c r="C47" s="123" t="s">
        <v>230</v>
      </c>
      <c r="D47" s="122">
        <v>1</v>
      </c>
      <c r="E47" s="121">
        <v>169.1</v>
      </c>
      <c r="F47" s="121">
        <v>169.1</v>
      </c>
      <c r="G47" s="115">
        <v>90</v>
      </c>
      <c r="H47" s="136">
        <v>10</v>
      </c>
      <c r="I47" s="119">
        <f t="shared" si="0"/>
        <v>16.91</v>
      </c>
    </row>
    <row r="48" spans="2:10" ht="15.75" thickBot="1" x14ac:dyDescent="0.3">
      <c r="B48" s="124">
        <v>25</v>
      </c>
      <c r="C48" s="123" t="s">
        <v>229</v>
      </c>
      <c r="D48" s="122">
        <v>1</v>
      </c>
      <c r="E48" s="121">
        <v>1857.99</v>
      </c>
      <c r="F48" s="121">
        <v>1857.99</v>
      </c>
      <c r="G48" s="115">
        <v>84</v>
      </c>
      <c r="H48" s="136">
        <v>10</v>
      </c>
      <c r="I48" s="119">
        <f t="shared" si="0"/>
        <v>185.79900000000001</v>
      </c>
    </row>
    <row r="49" spans="2:9" ht="15.75" thickBot="1" x14ac:dyDescent="0.3">
      <c r="B49" s="124">
        <v>26</v>
      </c>
      <c r="C49" s="123" t="s">
        <v>228</v>
      </c>
      <c r="D49" s="122">
        <v>1</v>
      </c>
      <c r="E49" s="121">
        <v>1081.79</v>
      </c>
      <c r="F49" s="121">
        <v>1081.79</v>
      </c>
      <c r="G49" s="135">
        <v>84</v>
      </c>
      <c r="H49" s="134">
        <v>10</v>
      </c>
      <c r="I49" s="119">
        <f t="shared" si="0"/>
        <v>108.179</v>
      </c>
    </row>
    <row r="50" spans="2:9" ht="15.75" thickBot="1" x14ac:dyDescent="0.3">
      <c r="B50" s="829" t="s">
        <v>227</v>
      </c>
      <c r="C50" s="830"/>
      <c r="D50" s="830"/>
      <c r="E50" s="831"/>
      <c r="F50" s="133">
        <f>SUM(F24:F49)</f>
        <v>53517.96</v>
      </c>
      <c r="G50" s="787" t="s">
        <v>116</v>
      </c>
      <c r="H50" s="788"/>
      <c r="I50" s="117">
        <f>SUM(I24:I49)</f>
        <v>9618.9810000000016</v>
      </c>
    </row>
    <row r="51" spans="2:9" ht="15.75" thickBot="1" x14ac:dyDescent="0.3">
      <c r="B51" s="817" t="s">
        <v>287</v>
      </c>
      <c r="C51" s="818"/>
      <c r="D51" s="818"/>
      <c r="E51" s="819"/>
      <c r="F51" s="116">
        <f>F23+F50</f>
        <v>57268.42</v>
      </c>
    </row>
    <row r="52" spans="2:9" x14ac:dyDescent="0.25">
      <c r="B52" s="92" t="s">
        <v>114</v>
      </c>
      <c r="C52" s="112" t="s">
        <v>225</v>
      </c>
    </row>
    <row r="53" spans="2:9" ht="15.75" thickBot="1" x14ac:dyDescent="0.3"/>
    <row r="54" spans="2:9" ht="13.5" customHeight="1" thickBot="1" x14ac:dyDescent="0.3">
      <c r="B54" s="789" t="s">
        <v>286</v>
      </c>
      <c r="C54" s="790"/>
      <c r="D54" s="790"/>
      <c r="E54" s="790"/>
      <c r="F54" s="791"/>
      <c r="G54" s="820" t="s">
        <v>285</v>
      </c>
      <c r="H54" s="821"/>
      <c r="I54" s="822"/>
    </row>
    <row r="55" spans="2:9" x14ac:dyDescent="0.25">
      <c r="B55" s="808" t="s">
        <v>141</v>
      </c>
      <c r="C55" s="812" t="s">
        <v>140</v>
      </c>
      <c r="D55" s="812" t="s">
        <v>139</v>
      </c>
      <c r="E55" s="132" t="s">
        <v>39</v>
      </c>
      <c r="F55" s="131" t="s">
        <v>39</v>
      </c>
      <c r="G55" s="823"/>
      <c r="H55" s="824"/>
      <c r="I55" s="825"/>
    </row>
    <row r="56" spans="2:9" ht="15.75" thickBot="1" x14ac:dyDescent="0.3">
      <c r="B56" s="809"/>
      <c r="C56" s="813"/>
      <c r="D56" s="813"/>
      <c r="E56" s="130" t="s">
        <v>38</v>
      </c>
      <c r="F56" s="129" t="s">
        <v>138</v>
      </c>
      <c r="G56" s="823"/>
      <c r="H56" s="824"/>
      <c r="I56" s="825"/>
    </row>
    <row r="57" spans="2:9" ht="15.75" thickBot="1" x14ac:dyDescent="0.3">
      <c r="B57" s="124">
        <v>1</v>
      </c>
      <c r="C57" s="123" t="s">
        <v>284</v>
      </c>
      <c r="D57" s="122">
        <v>5</v>
      </c>
      <c r="E57" s="121">
        <v>22.41</v>
      </c>
      <c r="F57" s="120">
        <v>112.05</v>
      </c>
      <c r="G57" s="823"/>
      <c r="H57" s="824"/>
      <c r="I57" s="825"/>
    </row>
    <row r="58" spans="2:9" ht="15.75" thickBot="1" x14ac:dyDescent="0.3">
      <c r="B58" s="124">
        <v>2</v>
      </c>
      <c r="C58" s="123" t="s">
        <v>283</v>
      </c>
      <c r="D58" s="122">
        <v>50</v>
      </c>
      <c r="E58" s="121">
        <v>25.46</v>
      </c>
      <c r="F58" s="120">
        <v>1273</v>
      </c>
      <c r="G58" s="823"/>
      <c r="H58" s="824"/>
      <c r="I58" s="825"/>
    </row>
    <row r="59" spans="2:9" ht="15.75" thickBot="1" x14ac:dyDescent="0.3">
      <c r="B59" s="124">
        <v>3</v>
      </c>
      <c r="C59" s="123" t="s">
        <v>282</v>
      </c>
      <c r="D59" s="122">
        <v>50</v>
      </c>
      <c r="E59" s="121">
        <v>29.2</v>
      </c>
      <c r="F59" s="120">
        <v>1460</v>
      </c>
      <c r="G59" s="823"/>
      <c r="H59" s="824"/>
      <c r="I59" s="825"/>
    </row>
    <row r="60" spans="2:9" ht="15.75" thickBot="1" x14ac:dyDescent="0.3">
      <c r="B60" s="124">
        <v>4</v>
      </c>
      <c r="C60" s="123" t="s">
        <v>281</v>
      </c>
      <c r="D60" s="122">
        <v>50</v>
      </c>
      <c r="E60" s="121">
        <v>30.18</v>
      </c>
      <c r="F60" s="120">
        <v>1509</v>
      </c>
      <c r="G60" s="823"/>
      <c r="H60" s="824"/>
      <c r="I60" s="825"/>
    </row>
    <row r="61" spans="2:9" ht="15.75" thickBot="1" x14ac:dyDescent="0.3">
      <c r="B61" s="124">
        <v>5</v>
      </c>
      <c r="C61" s="123" t="s">
        <v>280</v>
      </c>
      <c r="D61" s="122">
        <v>5</v>
      </c>
      <c r="E61" s="121">
        <v>35.880000000000003</v>
      </c>
      <c r="F61" s="120">
        <v>179.4</v>
      </c>
      <c r="G61" s="823"/>
      <c r="H61" s="824"/>
      <c r="I61" s="825"/>
    </row>
    <row r="62" spans="2:9" ht="15.75" thickBot="1" x14ac:dyDescent="0.3">
      <c r="B62" s="124">
        <v>6</v>
      </c>
      <c r="C62" s="123" t="s">
        <v>279</v>
      </c>
      <c r="D62" s="122">
        <v>5</v>
      </c>
      <c r="E62" s="121">
        <v>35.880000000000003</v>
      </c>
      <c r="F62" s="120">
        <v>179.4</v>
      </c>
      <c r="G62" s="823"/>
      <c r="H62" s="824"/>
      <c r="I62" s="825"/>
    </row>
    <row r="63" spans="2:9" ht="15.75" thickBot="1" x14ac:dyDescent="0.3">
      <c r="B63" s="124">
        <v>7</v>
      </c>
      <c r="C63" s="123" t="s">
        <v>278</v>
      </c>
      <c r="D63" s="122">
        <v>5</v>
      </c>
      <c r="E63" s="121">
        <v>35.880000000000003</v>
      </c>
      <c r="F63" s="120">
        <v>179.4</v>
      </c>
      <c r="G63" s="823"/>
      <c r="H63" s="824"/>
      <c r="I63" s="825"/>
    </row>
    <row r="64" spans="2:9" ht="15.75" thickBot="1" x14ac:dyDescent="0.3">
      <c r="B64" s="124">
        <v>8</v>
      </c>
      <c r="C64" s="123" t="s">
        <v>277</v>
      </c>
      <c r="D64" s="122">
        <v>50</v>
      </c>
      <c r="E64" s="121">
        <v>42.21</v>
      </c>
      <c r="F64" s="120">
        <v>2110.5</v>
      </c>
      <c r="G64" s="823"/>
      <c r="H64" s="824"/>
      <c r="I64" s="825"/>
    </row>
    <row r="65" spans="2:9" ht="15.75" thickBot="1" x14ac:dyDescent="0.3">
      <c r="B65" s="124">
        <v>9</v>
      </c>
      <c r="C65" s="123" t="s">
        <v>276</v>
      </c>
      <c r="D65" s="122">
        <v>50</v>
      </c>
      <c r="E65" s="121">
        <v>49.9</v>
      </c>
      <c r="F65" s="120">
        <v>2495</v>
      </c>
      <c r="G65" s="823"/>
      <c r="H65" s="824"/>
      <c r="I65" s="825"/>
    </row>
    <row r="66" spans="2:9" ht="15.75" thickBot="1" x14ac:dyDescent="0.3">
      <c r="B66" s="124">
        <v>10</v>
      </c>
      <c r="C66" s="123" t="s">
        <v>275</v>
      </c>
      <c r="D66" s="122">
        <v>25</v>
      </c>
      <c r="E66" s="121">
        <v>60.12</v>
      </c>
      <c r="F66" s="120">
        <v>1503</v>
      </c>
      <c r="G66" s="823"/>
      <c r="H66" s="824"/>
      <c r="I66" s="825"/>
    </row>
    <row r="67" spans="2:9" ht="15.75" thickBot="1" x14ac:dyDescent="0.3">
      <c r="B67" s="124">
        <v>11</v>
      </c>
      <c r="C67" s="123" t="s">
        <v>274</v>
      </c>
      <c r="D67" s="122">
        <v>50</v>
      </c>
      <c r="E67" s="121">
        <v>62</v>
      </c>
      <c r="F67" s="120">
        <v>3100</v>
      </c>
      <c r="G67" s="823"/>
      <c r="H67" s="824"/>
      <c r="I67" s="825"/>
    </row>
    <row r="68" spans="2:9" ht="15.75" thickBot="1" x14ac:dyDescent="0.3">
      <c r="B68" s="124">
        <v>12</v>
      </c>
      <c r="C68" s="123" t="s">
        <v>273</v>
      </c>
      <c r="D68" s="122">
        <v>25</v>
      </c>
      <c r="E68" s="121">
        <v>188.56</v>
      </c>
      <c r="F68" s="120">
        <v>4714</v>
      </c>
      <c r="G68" s="823"/>
      <c r="H68" s="824"/>
      <c r="I68" s="825"/>
    </row>
    <row r="69" spans="2:9" ht="15.75" thickBot="1" x14ac:dyDescent="0.3">
      <c r="B69" s="124">
        <v>13</v>
      </c>
      <c r="C69" s="123" t="s">
        <v>272</v>
      </c>
      <c r="D69" s="122">
        <v>15</v>
      </c>
      <c r="E69" s="121">
        <v>209.99</v>
      </c>
      <c r="F69" s="120">
        <v>3149.8500000000004</v>
      </c>
      <c r="G69" s="823"/>
      <c r="H69" s="824"/>
      <c r="I69" s="825"/>
    </row>
    <row r="70" spans="2:9" ht="15.75" thickBot="1" x14ac:dyDescent="0.3">
      <c r="B70" s="124">
        <v>14</v>
      </c>
      <c r="C70" s="123" t="s">
        <v>271</v>
      </c>
      <c r="D70" s="122">
        <v>5</v>
      </c>
      <c r="E70" s="121">
        <v>214.5</v>
      </c>
      <c r="F70" s="120">
        <v>1072.5</v>
      </c>
      <c r="G70" s="823"/>
      <c r="H70" s="824"/>
      <c r="I70" s="825"/>
    </row>
    <row r="71" spans="2:9" s="22" customFormat="1" ht="15.75" thickBot="1" x14ac:dyDescent="0.3">
      <c r="B71" s="124">
        <v>15</v>
      </c>
      <c r="C71" s="123" t="s">
        <v>270</v>
      </c>
      <c r="D71" s="122">
        <v>5</v>
      </c>
      <c r="E71" s="121">
        <v>219</v>
      </c>
      <c r="F71" s="120">
        <v>1095</v>
      </c>
      <c r="G71" s="823"/>
      <c r="H71" s="824"/>
      <c r="I71" s="825"/>
    </row>
    <row r="72" spans="2:9" ht="15.75" thickBot="1" x14ac:dyDescent="0.3">
      <c r="B72" s="124">
        <v>16</v>
      </c>
      <c r="C72" s="123" t="s">
        <v>269</v>
      </c>
      <c r="D72" s="122">
        <v>5</v>
      </c>
      <c r="E72" s="121">
        <v>237.59</v>
      </c>
      <c r="F72" s="120">
        <v>1187.95</v>
      </c>
      <c r="G72" s="823"/>
      <c r="H72" s="824"/>
      <c r="I72" s="825"/>
    </row>
    <row r="73" spans="2:9" ht="23.25" thickBot="1" x14ac:dyDescent="0.3">
      <c r="B73" s="124">
        <v>17</v>
      </c>
      <c r="C73" s="123" t="s">
        <v>268</v>
      </c>
      <c r="D73" s="122">
        <v>15</v>
      </c>
      <c r="E73" s="121">
        <v>382.9</v>
      </c>
      <c r="F73" s="120">
        <v>5743.5</v>
      </c>
      <c r="G73" s="823"/>
      <c r="H73" s="824"/>
      <c r="I73" s="825"/>
    </row>
    <row r="74" spans="2:9" ht="15.75" thickBot="1" x14ac:dyDescent="0.3">
      <c r="B74" s="124">
        <v>18</v>
      </c>
      <c r="C74" s="123" t="s">
        <v>267</v>
      </c>
      <c r="D74" s="122">
        <v>5</v>
      </c>
      <c r="E74" s="121">
        <v>517.35</v>
      </c>
      <c r="F74" s="120">
        <v>2586.75</v>
      </c>
      <c r="G74" s="823"/>
      <c r="H74" s="824"/>
      <c r="I74" s="825"/>
    </row>
    <row r="75" spans="2:9" ht="15.75" thickBot="1" x14ac:dyDescent="0.3">
      <c r="B75" s="124">
        <v>19</v>
      </c>
      <c r="C75" s="123" t="s">
        <v>266</v>
      </c>
      <c r="D75" s="122">
        <v>5</v>
      </c>
      <c r="E75" s="121">
        <v>573.75</v>
      </c>
      <c r="F75" s="120">
        <v>2868.75</v>
      </c>
      <c r="G75" s="826"/>
      <c r="H75" s="827"/>
      <c r="I75" s="828"/>
    </row>
    <row r="76" spans="2:9" ht="15.75" thickBot="1" x14ac:dyDescent="0.3">
      <c r="B76" s="124">
        <v>20</v>
      </c>
      <c r="C76" s="123" t="s">
        <v>265</v>
      </c>
      <c r="D76" s="122">
        <v>5</v>
      </c>
      <c r="E76" s="121">
        <v>600</v>
      </c>
      <c r="F76" s="120">
        <v>3000</v>
      </c>
      <c r="G76" s="784" t="s">
        <v>152</v>
      </c>
      <c r="H76" s="784" t="s">
        <v>143</v>
      </c>
      <c r="I76" s="784" t="s">
        <v>142</v>
      </c>
    </row>
    <row r="77" spans="2:9" ht="13.5" customHeight="1" thickBot="1" x14ac:dyDescent="0.3">
      <c r="B77" s="124">
        <v>21</v>
      </c>
      <c r="C77" s="123" t="s">
        <v>264</v>
      </c>
      <c r="D77" s="122">
        <v>5</v>
      </c>
      <c r="E77" s="121">
        <v>998.98</v>
      </c>
      <c r="F77" s="120">
        <v>4994.8999999999996</v>
      </c>
      <c r="G77" s="785"/>
      <c r="H77" s="785"/>
      <c r="I77" s="785"/>
    </row>
    <row r="78" spans="2:9" ht="15.75" thickBot="1" x14ac:dyDescent="0.3">
      <c r="B78" s="814" t="s">
        <v>263</v>
      </c>
      <c r="C78" s="815"/>
      <c r="D78" s="815"/>
      <c r="E78" s="816"/>
      <c r="F78" s="128">
        <f>SUM(F57:F77)</f>
        <v>44513.950000000004</v>
      </c>
      <c r="G78" s="786"/>
      <c r="H78" s="786"/>
      <c r="I78" s="786"/>
    </row>
    <row r="79" spans="2:9" ht="15.75" thickBot="1" x14ac:dyDescent="0.3">
      <c r="B79" s="124">
        <v>1</v>
      </c>
      <c r="C79" s="123" t="s">
        <v>262</v>
      </c>
      <c r="D79" s="122">
        <v>5</v>
      </c>
      <c r="E79" s="121">
        <v>600</v>
      </c>
      <c r="F79" s="120">
        <v>3000</v>
      </c>
      <c r="G79" s="115">
        <v>82</v>
      </c>
      <c r="H79" s="114">
        <v>5</v>
      </c>
      <c r="I79" s="119">
        <f t="shared" ref="I79:I113" si="1">F79/H79</f>
        <v>600</v>
      </c>
    </row>
    <row r="80" spans="2:9" ht="15.75" thickBot="1" x14ac:dyDescent="0.3">
      <c r="B80" s="124">
        <v>2</v>
      </c>
      <c r="C80" s="123" t="s">
        <v>261</v>
      </c>
      <c r="D80" s="122">
        <v>5</v>
      </c>
      <c r="E80" s="121">
        <v>575</v>
      </c>
      <c r="F80" s="120">
        <v>2875</v>
      </c>
      <c r="G80" s="115">
        <v>82</v>
      </c>
      <c r="H80" s="114">
        <v>5</v>
      </c>
      <c r="I80" s="119">
        <f t="shared" si="1"/>
        <v>575</v>
      </c>
    </row>
    <row r="81" spans="2:10" ht="15.75" thickBot="1" x14ac:dyDescent="0.3">
      <c r="B81" s="124">
        <v>3</v>
      </c>
      <c r="C81" s="123" t="s">
        <v>260</v>
      </c>
      <c r="D81" s="122">
        <v>5</v>
      </c>
      <c r="E81" s="121">
        <v>332.25</v>
      </c>
      <c r="F81" s="120">
        <v>1661.25</v>
      </c>
      <c r="G81" s="115"/>
      <c r="H81" s="114">
        <v>5</v>
      </c>
      <c r="I81" s="119">
        <f t="shared" si="1"/>
        <v>332.25</v>
      </c>
    </row>
    <row r="82" spans="2:10" ht="15.75" thickBot="1" x14ac:dyDescent="0.3">
      <c r="B82" s="124">
        <v>4</v>
      </c>
      <c r="C82" s="123" t="s">
        <v>259</v>
      </c>
      <c r="D82" s="122">
        <v>5</v>
      </c>
      <c r="E82" s="121">
        <v>3927</v>
      </c>
      <c r="F82" s="120">
        <v>19635</v>
      </c>
      <c r="G82" s="115"/>
      <c r="H82" s="114">
        <v>5</v>
      </c>
      <c r="I82" s="119">
        <f t="shared" si="1"/>
        <v>3927</v>
      </c>
    </row>
    <row r="83" spans="2:10" ht="15.75" thickBot="1" x14ac:dyDescent="0.3">
      <c r="B83" s="124">
        <v>5</v>
      </c>
      <c r="C83" s="123" t="s">
        <v>258</v>
      </c>
      <c r="D83" s="122">
        <v>5</v>
      </c>
      <c r="E83" s="121">
        <v>1053.1500000000001</v>
      </c>
      <c r="F83" s="120">
        <v>5265.75</v>
      </c>
      <c r="G83" s="115"/>
      <c r="H83" s="114">
        <v>20</v>
      </c>
      <c r="I83" s="119">
        <f t="shared" si="1"/>
        <v>263.28750000000002</v>
      </c>
    </row>
    <row r="84" spans="2:10" ht="15.75" thickBot="1" x14ac:dyDescent="0.3">
      <c r="B84" s="124">
        <v>6</v>
      </c>
      <c r="C84" s="127" t="s">
        <v>257</v>
      </c>
      <c r="D84" s="126">
        <v>28</v>
      </c>
      <c r="E84" s="120">
        <v>6500</v>
      </c>
      <c r="F84" s="120">
        <f>D84*E84</f>
        <v>182000</v>
      </c>
      <c r="G84" s="115">
        <v>89</v>
      </c>
      <c r="H84" s="114">
        <v>20</v>
      </c>
      <c r="I84" s="119">
        <f t="shared" si="1"/>
        <v>9100</v>
      </c>
      <c r="J84" s="125">
        <f>F84/$D$7</f>
        <v>0.24097793825790384</v>
      </c>
    </row>
    <row r="85" spans="2:10" ht="15.75" thickBot="1" x14ac:dyDescent="0.3">
      <c r="B85" s="124">
        <v>7</v>
      </c>
      <c r="C85" s="123" t="s">
        <v>256</v>
      </c>
      <c r="D85" s="122">
        <v>5</v>
      </c>
      <c r="E85" s="121">
        <v>332.25</v>
      </c>
      <c r="F85" s="120">
        <v>1661.25</v>
      </c>
      <c r="G85" s="115"/>
      <c r="H85" s="114">
        <v>5</v>
      </c>
      <c r="I85" s="119">
        <f t="shared" si="1"/>
        <v>332.25</v>
      </c>
    </row>
    <row r="86" spans="2:10" ht="15.75" thickBot="1" x14ac:dyDescent="0.3">
      <c r="B86" s="124">
        <v>8</v>
      </c>
      <c r="C86" s="123" t="s">
        <v>255</v>
      </c>
      <c r="D86" s="122">
        <v>5</v>
      </c>
      <c r="E86" s="121">
        <v>3927</v>
      </c>
      <c r="F86" s="120">
        <v>19635</v>
      </c>
      <c r="G86" s="115">
        <v>84</v>
      </c>
      <c r="H86" s="114">
        <v>10</v>
      </c>
      <c r="I86" s="119">
        <f t="shared" si="1"/>
        <v>1963.5</v>
      </c>
    </row>
    <row r="87" spans="2:10" ht="15.75" thickBot="1" x14ac:dyDescent="0.3">
      <c r="B87" s="124">
        <v>9</v>
      </c>
      <c r="C87" s="123" t="s">
        <v>254</v>
      </c>
      <c r="D87" s="122">
        <v>5</v>
      </c>
      <c r="E87" s="121">
        <v>332.25</v>
      </c>
      <c r="F87" s="120">
        <v>1661.25</v>
      </c>
      <c r="G87" s="115"/>
      <c r="H87" s="114">
        <v>10</v>
      </c>
      <c r="I87" s="119">
        <f t="shared" si="1"/>
        <v>166.125</v>
      </c>
    </row>
    <row r="88" spans="2:10" ht="15.75" thickBot="1" x14ac:dyDescent="0.3">
      <c r="B88" s="124">
        <v>10</v>
      </c>
      <c r="C88" s="123" t="s">
        <v>253</v>
      </c>
      <c r="D88" s="122">
        <v>5</v>
      </c>
      <c r="E88" s="121">
        <v>1315</v>
      </c>
      <c r="F88" s="120">
        <v>6575</v>
      </c>
      <c r="G88" s="115">
        <v>84</v>
      </c>
      <c r="H88" s="114">
        <v>10</v>
      </c>
      <c r="I88" s="119">
        <f t="shared" si="1"/>
        <v>657.5</v>
      </c>
    </row>
    <row r="89" spans="2:10" ht="15.75" thickBot="1" x14ac:dyDescent="0.3">
      <c r="B89" s="124">
        <v>11</v>
      </c>
      <c r="C89" s="123" t="s">
        <v>252</v>
      </c>
      <c r="D89" s="122">
        <v>5</v>
      </c>
      <c r="E89" s="121">
        <v>307.99</v>
      </c>
      <c r="F89" s="120">
        <v>1539.95</v>
      </c>
      <c r="G89" s="115"/>
      <c r="H89" s="114">
        <v>10</v>
      </c>
      <c r="I89" s="119">
        <f t="shared" si="1"/>
        <v>153.995</v>
      </c>
    </row>
    <row r="90" spans="2:10" ht="15.75" thickBot="1" x14ac:dyDescent="0.3">
      <c r="B90" s="124">
        <v>12</v>
      </c>
      <c r="C90" s="123" t="s">
        <v>251</v>
      </c>
      <c r="D90" s="122">
        <v>5</v>
      </c>
      <c r="E90" s="121">
        <v>288.8</v>
      </c>
      <c r="F90" s="120">
        <v>1444</v>
      </c>
      <c r="G90" s="115"/>
      <c r="H90" s="114">
        <v>10</v>
      </c>
      <c r="I90" s="119">
        <f t="shared" si="1"/>
        <v>144.4</v>
      </c>
    </row>
    <row r="91" spans="2:10" ht="15.75" thickBot="1" x14ac:dyDescent="0.3">
      <c r="B91" s="124">
        <v>13</v>
      </c>
      <c r="C91" s="123" t="s">
        <v>250</v>
      </c>
      <c r="D91" s="122">
        <v>5</v>
      </c>
      <c r="E91" s="121">
        <v>1016.41</v>
      </c>
      <c r="F91" s="120">
        <v>5082.05</v>
      </c>
      <c r="G91" s="115">
        <v>84</v>
      </c>
      <c r="H91" s="114">
        <v>10</v>
      </c>
      <c r="I91" s="119">
        <f t="shared" si="1"/>
        <v>508.20500000000004</v>
      </c>
    </row>
    <row r="92" spans="2:10" ht="15.75" thickBot="1" x14ac:dyDescent="0.3">
      <c r="B92" s="124">
        <v>14</v>
      </c>
      <c r="C92" s="123" t="s">
        <v>249</v>
      </c>
      <c r="D92" s="122">
        <v>5</v>
      </c>
      <c r="E92" s="121">
        <v>387.19</v>
      </c>
      <c r="F92" s="120">
        <v>1935.95</v>
      </c>
      <c r="G92" s="115"/>
      <c r="H92" s="114">
        <v>10</v>
      </c>
      <c r="I92" s="119">
        <f t="shared" si="1"/>
        <v>193.595</v>
      </c>
    </row>
    <row r="93" spans="2:10" ht="15.75" thickBot="1" x14ac:dyDescent="0.3">
      <c r="B93" s="124">
        <v>15</v>
      </c>
      <c r="C93" s="123" t="s">
        <v>248</v>
      </c>
      <c r="D93" s="122">
        <v>5</v>
      </c>
      <c r="E93" s="121">
        <v>1311.15</v>
      </c>
      <c r="F93" s="120">
        <v>6555.75</v>
      </c>
      <c r="G93" s="115">
        <v>84</v>
      </c>
      <c r="H93" s="114">
        <v>10</v>
      </c>
      <c r="I93" s="119">
        <f t="shared" si="1"/>
        <v>655.57500000000005</v>
      </c>
    </row>
    <row r="94" spans="2:10" ht="15.75" thickBot="1" x14ac:dyDescent="0.3">
      <c r="B94" s="124">
        <v>16</v>
      </c>
      <c r="C94" s="123" t="s">
        <v>247</v>
      </c>
      <c r="D94" s="122">
        <v>5</v>
      </c>
      <c r="E94" s="121">
        <v>3499</v>
      </c>
      <c r="F94" s="120">
        <v>17495</v>
      </c>
      <c r="G94" s="115"/>
      <c r="H94" s="114">
        <v>5</v>
      </c>
      <c r="I94" s="119">
        <f t="shared" si="1"/>
        <v>3499</v>
      </c>
    </row>
    <row r="95" spans="2:10" ht="15.75" thickBot="1" x14ac:dyDescent="0.3">
      <c r="B95" s="124">
        <v>17</v>
      </c>
      <c r="C95" s="123" t="s">
        <v>246</v>
      </c>
      <c r="D95" s="122">
        <v>5</v>
      </c>
      <c r="E95" s="121">
        <v>241.2</v>
      </c>
      <c r="F95" s="120">
        <v>1206</v>
      </c>
      <c r="G95" s="115"/>
      <c r="H95" s="114">
        <v>5</v>
      </c>
      <c r="I95" s="119">
        <f t="shared" si="1"/>
        <v>241.2</v>
      </c>
    </row>
    <row r="96" spans="2:10" ht="15.75" thickBot="1" x14ac:dyDescent="0.3">
      <c r="B96" s="124">
        <v>18</v>
      </c>
      <c r="C96" s="123" t="s">
        <v>245</v>
      </c>
      <c r="D96" s="122">
        <v>5</v>
      </c>
      <c r="E96" s="121">
        <v>566.32000000000005</v>
      </c>
      <c r="F96" s="120">
        <v>2831.6000000000004</v>
      </c>
      <c r="G96" s="115">
        <v>82</v>
      </c>
      <c r="H96" s="114">
        <v>5</v>
      </c>
      <c r="I96" s="119">
        <f t="shared" si="1"/>
        <v>566.32000000000005</v>
      </c>
    </row>
    <row r="97" spans="2:10" ht="15.75" thickBot="1" x14ac:dyDescent="0.3">
      <c r="B97" s="124">
        <v>19</v>
      </c>
      <c r="C97" s="123" t="s">
        <v>244</v>
      </c>
      <c r="D97" s="122">
        <v>5</v>
      </c>
      <c r="E97" s="121">
        <v>79</v>
      </c>
      <c r="F97" s="120">
        <v>395</v>
      </c>
      <c r="G97" s="115">
        <v>84</v>
      </c>
      <c r="H97" s="114">
        <v>10</v>
      </c>
      <c r="I97" s="119">
        <f t="shared" si="1"/>
        <v>39.5</v>
      </c>
    </row>
    <row r="98" spans="2:10" ht="15.75" thickBot="1" x14ac:dyDescent="0.3">
      <c r="B98" s="124">
        <v>20</v>
      </c>
      <c r="C98" s="123" t="s">
        <v>243</v>
      </c>
      <c r="D98" s="122">
        <v>5</v>
      </c>
      <c r="E98" s="121">
        <v>384.8</v>
      </c>
      <c r="F98" s="120">
        <v>1924</v>
      </c>
      <c r="G98" s="115">
        <v>84</v>
      </c>
      <c r="H98" s="114">
        <v>10</v>
      </c>
      <c r="I98" s="119">
        <f t="shared" si="1"/>
        <v>192.4</v>
      </c>
    </row>
    <row r="99" spans="2:10" ht="15.75" thickBot="1" x14ac:dyDescent="0.3">
      <c r="B99" s="124">
        <v>21</v>
      </c>
      <c r="C99" s="123" t="s">
        <v>242</v>
      </c>
      <c r="D99" s="122">
        <v>5</v>
      </c>
      <c r="E99" s="121">
        <v>8325</v>
      </c>
      <c r="F99" s="120">
        <v>41625</v>
      </c>
      <c r="G99" s="115"/>
      <c r="H99" s="114">
        <v>5</v>
      </c>
      <c r="I99" s="119">
        <f t="shared" si="1"/>
        <v>8325</v>
      </c>
    </row>
    <row r="100" spans="2:10" ht="15.75" thickBot="1" x14ac:dyDescent="0.3">
      <c r="B100" s="124">
        <v>22</v>
      </c>
      <c r="C100" s="123" t="s">
        <v>241</v>
      </c>
      <c r="D100" s="122">
        <v>5</v>
      </c>
      <c r="E100" s="121">
        <v>2953</v>
      </c>
      <c r="F100" s="120">
        <v>14765</v>
      </c>
      <c r="G100" s="115"/>
      <c r="H100" s="114">
        <v>5</v>
      </c>
      <c r="I100" s="119">
        <f t="shared" si="1"/>
        <v>2953</v>
      </c>
    </row>
    <row r="101" spans="2:10" ht="15.75" thickBot="1" x14ac:dyDescent="0.3">
      <c r="B101" s="124">
        <v>23</v>
      </c>
      <c r="C101" s="123" t="s">
        <v>240</v>
      </c>
      <c r="D101" s="122">
        <v>5</v>
      </c>
      <c r="E101" s="121">
        <v>18466.29</v>
      </c>
      <c r="F101" s="120">
        <v>92331.450000000012</v>
      </c>
      <c r="G101" s="115"/>
      <c r="H101" s="114">
        <v>5</v>
      </c>
      <c r="I101" s="119">
        <f t="shared" si="1"/>
        <v>18466.29</v>
      </c>
      <c r="J101" s="125">
        <f>F101/$D$7</f>
        <v>0.12225188163386119</v>
      </c>
    </row>
    <row r="102" spans="2:10" ht="15.75" thickBot="1" x14ac:dyDescent="0.3">
      <c r="B102" s="124">
        <v>24</v>
      </c>
      <c r="C102" s="123" t="s">
        <v>239</v>
      </c>
      <c r="D102" s="122">
        <v>5</v>
      </c>
      <c r="E102" s="121">
        <v>972.91</v>
      </c>
      <c r="F102" s="120">
        <v>4864.55</v>
      </c>
      <c r="G102" s="115">
        <v>82</v>
      </c>
      <c r="H102" s="114">
        <v>5</v>
      </c>
      <c r="I102" s="119">
        <f t="shared" si="1"/>
        <v>972.91000000000008</v>
      </c>
    </row>
    <row r="103" spans="2:10" ht="15.75" thickBot="1" x14ac:dyDescent="0.3">
      <c r="B103" s="124">
        <v>25</v>
      </c>
      <c r="C103" s="123" t="s">
        <v>238</v>
      </c>
      <c r="D103" s="122">
        <v>5</v>
      </c>
      <c r="E103" s="121">
        <v>317.14</v>
      </c>
      <c r="F103" s="120">
        <v>1585.6999999999998</v>
      </c>
      <c r="G103" s="115"/>
      <c r="H103" s="114">
        <v>5</v>
      </c>
      <c r="I103" s="119">
        <f t="shared" si="1"/>
        <v>317.14</v>
      </c>
    </row>
    <row r="104" spans="2:10" ht="15.75" thickBot="1" x14ac:dyDescent="0.3">
      <c r="B104" s="124">
        <v>26</v>
      </c>
      <c r="C104" s="123" t="s">
        <v>237</v>
      </c>
      <c r="D104" s="122">
        <v>28</v>
      </c>
      <c r="E104" s="121">
        <v>8000</v>
      </c>
      <c r="F104" s="121">
        <f>D104*E104</f>
        <v>224000</v>
      </c>
      <c r="G104" s="115">
        <v>84</v>
      </c>
      <c r="H104" s="114">
        <v>10</v>
      </c>
      <c r="I104" s="119">
        <f t="shared" si="1"/>
        <v>22400</v>
      </c>
      <c r="J104" s="125">
        <f>F104/$D$7</f>
        <v>0.29658823170203547</v>
      </c>
    </row>
    <row r="105" spans="2:10" ht="15.75" thickBot="1" x14ac:dyDescent="0.3">
      <c r="B105" s="124">
        <v>27</v>
      </c>
      <c r="C105" s="123" t="s">
        <v>236</v>
      </c>
      <c r="D105" s="122">
        <v>5</v>
      </c>
      <c r="E105" s="121">
        <v>979.99</v>
      </c>
      <c r="F105" s="120">
        <v>4899.95</v>
      </c>
      <c r="G105" s="115"/>
      <c r="H105" s="114">
        <v>5</v>
      </c>
      <c r="I105" s="119">
        <f t="shared" si="1"/>
        <v>979.99</v>
      </c>
    </row>
    <row r="106" spans="2:10" ht="15.75" thickBot="1" x14ac:dyDescent="0.3">
      <c r="B106" s="124">
        <v>28</v>
      </c>
      <c r="C106" s="123" t="s">
        <v>235</v>
      </c>
      <c r="D106" s="122">
        <v>5</v>
      </c>
      <c r="E106" s="121">
        <v>603.99</v>
      </c>
      <c r="F106" s="120">
        <v>3019.95</v>
      </c>
      <c r="G106" s="115"/>
      <c r="H106" s="114">
        <v>5</v>
      </c>
      <c r="I106" s="119">
        <f t="shared" si="1"/>
        <v>603.99</v>
      </c>
    </row>
    <row r="107" spans="2:10" ht="15.75" thickBot="1" x14ac:dyDescent="0.3">
      <c r="B107" s="124">
        <v>29</v>
      </c>
      <c r="C107" s="123" t="s">
        <v>234</v>
      </c>
      <c r="D107" s="122">
        <v>5</v>
      </c>
      <c r="E107" s="121">
        <v>1100</v>
      </c>
      <c r="F107" s="120">
        <v>5500</v>
      </c>
      <c r="G107" s="115">
        <v>90</v>
      </c>
      <c r="H107" s="114">
        <v>10</v>
      </c>
      <c r="I107" s="119">
        <f t="shared" si="1"/>
        <v>550</v>
      </c>
    </row>
    <row r="108" spans="2:10" ht="15.75" thickBot="1" x14ac:dyDescent="0.3">
      <c r="B108" s="124">
        <v>30</v>
      </c>
      <c r="C108" s="123" t="s">
        <v>233</v>
      </c>
      <c r="D108" s="122">
        <v>5</v>
      </c>
      <c r="E108" s="121">
        <v>209.9</v>
      </c>
      <c r="F108" s="120">
        <v>1049.5</v>
      </c>
      <c r="G108" s="115">
        <v>90</v>
      </c>
      <c r="H108" s="114">
        <v>10</v>
      </c>
      <c r="I108" s="119">
        <f t="shared" si="1"/>
        <v>104.95</v>
      </c>
    </row>
    <row r="109" spans="2:10" ht="15.75" thickBot="1" x14ac:dyDescent="0.3">
      <c r="B109" s="124">
        <v>31</v>
      </c>
      <c r="C109" s="123" t="s">
        <v>232</v>
      </c>
      <c r="D109" s="122">
        <v>5</v>
      </c>
      <c r="E109" s="121">
        <v>420</v>
      </c>
      <c r="F109" s="120">
        <v>2100</v>
      </c>
      <c r="G109" s="115">
        <v>90</v>
      </c>
      <c r="H109" s="114">
        <v>10</v>
      </c>
      <c r="I109" s="119">
        <f t="shared" si="1"/>
        <v>210</v>
      </c>
    </row>
    <row r="110" spans="2:10" ht="15.75" thickBot="1" x14ac:dyDescent="0.3">
      <c r="B110" s="124">
        <v>32</v>
      </c>
      <c r="C110" s="123" t="s">
        <v>231</v>
      </c>
      <c r="D110" s="122">
        <v>5</v>
      </c>
      <c r="E110" s="121">
        <v>1214.72</v>
      </c>
      <c r="F110" s="120">
        <v>6073.6</v>
      </c>
      <c r="G110" s="115">
        <v>84</v>
      </c>
      <c r="H110" s="114">
        <v>10</v>
      </c>
      <c r="I110" s="119">
        <f t="shared" si="1"/>
        <v>607.36</v>
      </c>
    </row>
    <row r="111" spans="2:10" ht="15.75" thickBot="1" x14ac:dyDescent="0.3">
      <c r="B111" s="124">
        <v>33</v>
      </c>
      <c r="C111" s="123" t="s">
        <v>230</v>
      </c>
      <c r="D111" s="122">
        <v>5</v>
      </c>
      <c r="E111" s="121">
        <v>169.1</v>
      </c>
      <c r="F111" s="120">
        <v>845.5</v>
      </c>
      <c r="G111" s="115">
        <v>90</v>
      </c>
      <c r="H111" s="114">
        <v>10</v>
      </c>
      <c r="I111" s="119">
        <f t="shared" si="1"/>
        <v>84.55</v>
      </c>
    </row>
    <row r="112" spans="2:10" ht="15.75" thickBot="1" x14ac:dyDescent="0.3">
      <c r="B112" s="124">
        <v>34</v>
      </c>
      <c r="C112" s="123" t="s">
        <v>229</v>
      </c>
      <c r="D112" s="122">
        <v>5</v>
      </c>
      <c r="E112" s="121">
        <v>1857.99</v>
      </c>
      <c r="F112" s="120">
        <v>9289.9500000000007</v>
      </c>
      <c r="G112" s="115">
        <v>84</v>
      </c>
      <c r="H112" s="114">
        <v>10</v>
      </c>
      <c r="I112" s="119">
        <f t="shared" si="1"/>
        <v>928.99500000000012</v>
      </c>
    </row>
    <row r="113" spans="2:9" ht="15.75" thickBot="1" x14ac:dyDescent="0.3">
      <c r="B113" s="124">
        <v>35</v>
      </c>
      <c r="C113" s="123" t="s">
        <v>228</v>
      </c>
      <c r="D113" s="122">
        <v>5</v>
      </c>
      <c r="E113" s="121">
        <v>1081.79</v>
      </c>
      <c r="F113" s="120">
        <v>5408.95</v>
      </c>
      <c r="G113" s="115">
        <v>84</v>
      </c>
      <c r="H113" s="114">
        <v>10</v>
      </c>
      <c r="I113" s="119">
        <f t="shared" si="1"/>
        <v>540.89499999999998</v>
      </c>
    </row>
    <row r="114" spans="2:9" ht="15.75" thickBot="1" x14ac:dyDescent="0.3">
      <c r="B114" s="814" t="s">
        <v>227</v>
      </c>
      <c r="C114" s="815"/>
      <c r="D114" s="815"/>
      <c r="E114" s="816"/>
      <c r="F114" s="118">
        <f>SUM(F79:F113)</f>
        <v>701737.89999999979</v>
      </c>
      <c r="G114" s="787" t="s">
        <v>116</v>
      </c>
      <c r="H114" s="788"/>
      <c r="I114" s="117">
        <f>SUM(I79:I113)</f>
        <v>82156.172500000015</v>
      </c>
    </row>
    <row r="115" spans="2:9" ht="15.75" thickBot="1" x14ac:dyDescent="0.3">
      <c r="B115" s="832" t="s">
        <v>226</v>
      </c>
      <c r="C115" s="833"/>
      <c r="D115" s="833"/>
      <c r="E115" s="834"/>
      <c r="F115" s="116">
        <f>F78+F114</f>
        <v>746251.84999999974</v>
      </c>
      <c r="G115" s="115"/>
      <c r="H115" s="114"/>
      <c r="I115" s="113"/>
    </row>
    <row r="116" spans="2:9" x14ac:dyDescent="0.25">
      <c r="B116" s="92" t="s">
        <v>114</v>
      </c>
      <c r="C116" s="112" t="s">
        <v>225</v>
      </c>
    </row>
  </sheetData>
  <mergeCells count="31">
    <mergeCell ref="B115:E115"/>
    <mergeCell ref="G76:G78"/>
    <mergeCell ref="H76:H78"/>
    <mergeCell ref="I76:I78"/>
    <mergeCell ref="B78:E78"/>
    <mergeCell ref="B114:E114"/>
    <mergeCell ref="G114:H114"/>
    <mergeCell ref="G50:H50"/>
    <mergeCell ref="B51:E51"/>
    <mergeCell ref="B54:F54"/>
    <mergeCell ref="G54:I75"/>
    <mergeCell ref="B55:B56"/>
    <mergeCell ref="C55:C56"/>
    <mergeCell ref="D55:D56"/>
    <mergeCell ref="B50:E50"/>
    <mergeCell ref="G10:I20"/>
    <mergeCell ref="B11:B12"/>
    <mergeCell ref="C11:C12"/>
    <mergeCell ref="D11:D12"/>
    <mergeCell ref="G21:G23"/>
    <mergeCell ref="H21:H23"/>
    <mergeCell ref="I21:I23"/>
    <mergeCell ref="B23:E23"/>
    <mergeCell ref="D2:E2"/>
    <mergeCell ref="D3:E3"/>
    <mergeCell ref="D6:E6"/>
    <mergeCell ref="D7:E7"/>
    <mergeCell ref="B10:F10"/>
    <mergeCell ref="D4:E4"/>
    <mergeCell ref="D5:E5"/>
    <mergeCell ref="D8:E8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"/>
  <sheetViews>
    <sheetView showGridLines="0" workbookViewId="0">
      <selection activeCell="I13" sqref="I13"/>
    </sheetView>
  </sheetViews>
  <sheetFormatPr defaultColWidth="12.5703125" defaultRowHeight="15" x14ac:dyDescent="0.25"/>
  <cols>
    <col min="1" max="1" width="26" bestFit="1" customWidth="1"/>
    <col min="3" max="3" width="47.5703125" customWidth="1"/>
  </cols>
  <sheetData>
    <row r="1" spans="2:8" x14ac:dyDescent="0.25">
      <c r="C1" s="164" t="s">
        <v>469</v>
      </c>
      <c r="D1" s="163" t="s">
        <v>2</v>
      </c>
    </row>
    <row r="2" spans="2:8" x14ac:dyDescent="0.25">
      <c r="C2" s="20" t="s">
        <v>468</v>
      </c>
      <c r="D2" s="162">
        <f>G34</f>
        <v>230356</v>
      </c>
    </row>
    <row r="3" spans="2:8" x14ac:dyDescent="0.25">
      <c r="C3" s="21" t="s">
        <v>467</v>
      </c>
      <c r="D3" s="161">
        <f>G68</f>
        <v>369152</v>
      </c>
    </row>
    <row r="4" spans="2:8" x14ac:dyDescent="0.25">
      <c r="C4" s="160" t="s">
        <v>146</v>
      </c>
      <c r="D4" s="159">
        <f>SUM(D2:D3)</f>
        <v>599508</v>
      </c>
    </row>
    <row r="6" spans="2:8" ht="16.5" thickBot="1" x14ac:dyDescent="0.3">
      <c r="B6" s="158" t="s">
        <v>466</v>
      </c>
    </row>
    <row r="7" spans="2:8" x14ac:dyDescent="0.25">
      <c r="B7" s="798" t="s">
        <v>141</v>
      </c>
      <c r="C7" s="800" t="s">
        <v>140</v>
      </c>
      <c r="D7" s="800" t="s">
        <v>216</v>
      </c>
      <c r="E7" s="800" t="s">
        <v>139</v>
      </c>
      <c r="F7" s="157" t="s">
        <v>39</v>
      </c>
      <c r="G7" s="157" t="s">
        <v>39</v>
      </c>
      <c r="H7" t="s">
        <v>465</v>
      </c>
    </row>
    <row r="8" spans="2:8" ht="15.75" thickBot="1" x14ac:dyDescent="0.3">
      <c r="B8" s="799"/>
      <c r="C8" s="801"/>
      <c r="D8" s="801"/>
      <c r="E8" s="801"/>
      <c r="F8" s="69" t="s">
        <v>38</v>
      </c>
      <c r="G8" s="69" t="s">
        <v>138</v>
      </c>
    </row>
    <row r="9" spans="2:8" ht="15.75" thickBot="1" x14ac:dyDescent="0.3">
      <c r="B9" s="71">
        <v>1</v>
      </c>
      <c r="C9" s="70" t="s">
        <v>459</v>
      </c>
      <c r="D9" s="69" t="s">
        <v>455</v>
      </c>
      <c r="E9" s="69">
        <v>1800</v>
      </c>
      <c r="F9" s="153">
        <v>30</v>
      </c>
      <c r="G9" s="67">
        <f t="shared" ref="G9:G33" si="0">E9*F9</f>
        <v>54000</v>
      </c>
    </row>
    <row r="10" spans="2:8" ht="15.75" thickBot="1" x14ac:dyDescent="0.3">
      <c r="B10" s="71">
        <v>2</v>
      </c>
      <c r="C10" s="70" t="s">
        <v>458</v>
      </c>
      <c r="D10" s="69" t="s">
        <v>457</v>
      </c>
      <c r="E10" s="69">
        <v>1800</v>
      </c>
      <c r="F10" s="153">
        <v>12</v>
      </c>
      <c r="G10" s="67">
        <f t="shared" si="0"/>
        <v>21600</v>
      </c>
    </row>
    <row r="11" spans="2:8" ht="15.75" thickBot="1" x14ac:dyDescent="0.3">
      <c r="B11" s="71">
        <v>3</v>
      </c>
      <c r="C11" s="70" t="s">
        <v>456</v>
      </c>
      <c r="D11" s="69" t="s">
        <v>455</v>
      </c>
      <c r="E11" s="69">
        <v>100</v>
      </c>
      <c r="F11" s="153">
        <v>10</v>
      </c>
      <c r="G11" s="67">
        <f t="shared" si="0"/>
        <v>1000</v>
      </c>
    </row>
    <row r="12" spans="2:8" ht="15.75" thickBot="1" x14ac:dyDescent="0.3">
      <c r="B12" s="71">
        <v>4</v>
      </c>
      <c r="C12" s="70" t="s">
        <v>454</v>
      </c>
      <c r="D12" s="69" t="s">
        <v>464</v>
      </c>
      <c r="E12" s="69">
        <v>200</v>
      </c>
      <c r="F12" s="153">
        <v>21</v>
      </c>
      <c r="G12" s="67">
        <f t="shared" si="0"/>
        <v>4200</v>
      </c>
    </row>
    <row r="13" spans="2:8" ht="15.75" thickBot="1" x14ac:dyDescent="0.3">
      <c r="B13" s="71">
        <v>5</v>
      </c>
      <c r="C13" s="70" t="s">
        <v>463</v>
      </c>
      <c r="D13" s="69" t="s">
        <v>155</v>
      </c>
      <c r="E13" s="69">
        <v>90</v>
      </c>
      <c r="F13" s="153">
        <v>15</v>
      </c>
      <c r="G13" s="67">
        <f t="shared" si="0"/>
        <v>1350</v>
      </c>
    </row>
    <row r="14" spans="2:8" ht="15.75" thickBot="1" x14ac:dyDescent="0.3">
      <c r="B14" s="71">
        <v>6</v>
      </c>
      <c r="C14" s="70" t="s">
        <v>452</v>
      </c>
      <c r="D14" s="69" t="s">
        <v>155</v>
      </c>
      <c r="E14" s="69">
        <v>90</v>
      </c>
      <c r="F14" s="153">
        <v>18</v>
      </c>
      <c r="G14" s="67">
        <f t="shared" si="0"/>
        <v>1620</v>
      </c>
    </row>
    <row r="15" spans="2:8" ht="15.75" thickBot="1" x14ac:dyDescent="0.3">
      <c r="B15" s="71">
        <v>7</v>
      </c>
      <c r="C15" s="70" t="s">
        <v>451</v>
      </c>
      <c r="D15" s="69" t="s">
        <v>155</v>
      </c>
      <c r="E15" s="69">
        <v>90</v>
      </c>
      <c r="F15" s="153">
        <v>22</v>
      </c>
      <c r="G15" s="67">
        <f t="shared" si="0"/>
        <v>1980</v>
      </c>
    </row>
    <row r="16" spans="2:8" ht="15.75" thickBot="1" x14ac:dyDescent="0.3">
      <c r="B16" s="71">
        <v>8</v>
      </c>
      <c r="C16" s="70" t="s">
        <v>450</v>
      </c>
      <c r="D16" s="69" t="s">
        <v>155</v>
      </c>
      <c r="E16" s="69">
        <v>90</v>
      </c>
      <c r="F16" s="153">
        <v>35</v>
      </c>
      <c r="G16" s="67">
        <f t="shared" si="0"/>
        <v>3150</v>
      </c>
    </row>
    <row r="17" spans="2:7" ht="15.75" thickBot="1" x14ac:dyDescent="0.3">
      <c r="B17" s="71">
        <v>9</v>
      </c>
      <c r="C17" s="70" t="s">
        <v>449</v>
      </c>
      <c r="D17" s="69" t="s">
        <v>155</v>
      </c>
      <c r="E17" s="69">
        <v>90</v>
      </c>
      <c r="F17" s="153">
        <v>25</v>
      </c>
      <c r="G17" s="67">
        <f t="shared" si="0"/>
        <v>2250</v>
      </c>
    </row>
    <row r="18" spans="2:7" ht="15.75" thickBot="1" x14ac:dyDescent="0.3">
      <c r="B18" s="71">
        <v>10</v>
      </c>
      <c r="C18" s="70" t="s">
        <v>448</v>
      </c>
      <c r="D18" s="69" t="s">
        <v>155</v>
      </c>
      <c r="E18" s="69">
        <v>90</v>
      </c>
      <c r="F18" s="153">
        <v>20</v>
      </c>
      <c r="G18" s="67">
        <f t="shared" si="0"/>
        <v>1800</v>
      </c>
    </row>
    <row r="19" spans="2:7" ht="15.75" thickBot="1" x14ac:dyDescent="0.3">
      <c r="B19" s="71">
        <v>11</v>
      </c>
      <c r="C19" s="70" t="s">
        <v>447</v>
      </c>
      <c r="D19" s="69" t="s">
        <v>155</v>
      </c>
      <c r="E19" s="69">
        <v>90</v>
      </c>
      <c r="F19" s="153">
        <v>40</v>
      </c>
      <c r="G19" s="67">
        <f t="shared" si="0"/>
        <v>3600</v>
      </c>
    </row>
    <row r="20" spans="2:7" ht="15.75" thickBot="1" x14ac:dyDescent="0.3">
      <c r="B20" s="71">
        <v>12</v>
      </c>
      <c r="C20" s="70" t="s">
        <v>446</v>
      </c>
      <c r="D20" s="69" t="s">
        <v>155</v>
      </c>
      <c r="E20" s="69">
        <v>270</v>
      </c>
      <c r="F20" s="153">
        <v>0.3</v>
      </c>
      <c r="G20" s="67">
        <f t="shared" si="0"/>
        <v>81</v>
      </c>
    </row>
    <row r="21" spans="2:7" ht="15.75" thickBot="1" x14ac:dyDescent="0.3">
      <c r="B21" s="71">
        <v>13</v>
      </c>
      <c r="C21" s="70" t="s">
        <v>445</v>
      </c>
      <c r="D21" s="69" t="s">
        <v>155</v>
      </c>
      <c r="E21" s="69">
        <v>270</v>
      </c>
      <c r="F21" s="153">
        <v>0.45</v>
      </c>
      <c r="G21" s="67">
        <f t="shared" si="0"/>
        <v>121.5</v>
      </c>
    </row>
    <row r="22" spans="2:7" ht="15.75" thickBot="1" x14ac:dyDescent="0.3">
      <c r="B22" s="71">
        <v>14</v>
      </c>
      <c r="C22" s="70" t="s">
        <v>444</v>
      </c>
      <c r="D22" s="69" t="s">
        <v>155</v>
      </c>
      <c r="E22" s="69">
        <v>270</v>
      </c>
      <c r="F22" s="153">
        <v>0.45</v>
      </c>
      <c r="G22" s="67">
        <f t="shared" si="0"/>
        <v>121.5</v>
      </c>
    </row>
    <row r="23" spans="2:7" ht="15.75" thickBot="1" x14ac:dyDescent="0.3">
      <c r="B23" s="71">
        <v>15</v>
      </c>
      <c r="C23" s="70" t="s">
        <v>443</v>
      </c>
      <c r="D23" s="69" t="s">
        <v>155</v>
      </c>
      <c r="E23" s="69">
        <v>90</v>
      </c>
      <c r="F23" s="153">
        <v>50</v>
      </c>
      <c r="G23" s="67">
        <f t="shared" si="0"/>
        <v>4500</v>
      </c>
    </row>
    <row r="24" spans="2:7" ht="15.75" thickBot="1" x14ac:dyDescent="0.3">
      <c r="B24" s="71">
        <v>16</v>
      </c>
      <c r="C24" s="70" t="s">
        <v>442</v>
      </c>
      <c r="D24" s="69" t="s">
        <v>155</v>
      </c>
      <c r="E24" s="69">
        <v>18</v>
      </c>
      <c r="F24" s="153">
        <v>85</v>
      </c>
      <c r="G24" s="67">
        <f t="shared" si="0"/>
        <v>1530</v>
      </c>
    </row>
    <row r="25" spans="2:7" ht="15.75" thickBot="1" x14ac:dyDescent="0.3">
      <c r="B25" s="71">
        <v>17</v>
      </c>
      <c r="C25" s="70" t="s">
        <v>441</v>
      </c>
      <c r="D25" s="69" t="s">
        <v>155</v>
      </c>
      <c r="E25" s="69">
        <v>24</v>
      </c>
      <c r="F25" s="153">
        <v>58</v>
      </c>
      <c r="G25" s="67">
        <f t="shared" si="0"/>
        <v>1392</v>
      </c>
    </row>
    <row r="26" spans="2:7" ht="15.75" thickBot="1" x14ac:dyDescent="0.3">
      <c r="B26" s="71">
        <v>18</v>
      </c>
      <c r="C26" s="70" t="s">
        <v>440</v>
      </c>
      <c r="D26" s="69" t="s">
        <v>155</v>
      </c>
      <c r="E26" s="69">
        <v>24</v>
      </c>
      <c r="F26" s="153">
        <v>984</v>
      </c>
      <c r="G26" s="67">
        <f t="shared" si="0"/>
        <v>23616</v>
      </c>
    </row>
    <row r="27" spans="2:7" ht="15.75" thickBot="1" x14ac:dyDescent="0.3">
      <c r="B27" s="71">
        <v>19</v>
      </c>
      <c r="C27" s="70" t="s">
        <v>439</v>
      </c>
      <c r="D27" s="69" t="s">
        <v>155</v>
      </c>
      <c r="E27" s="69">
        <v>24</v>
      </c>
      <c r="F27" s="153">
        <v>116</v>
      </c>
      <c r="G27" s="67">
        <f t="shared" si="0"/>
        <v>2784</v>
      </c>
    </row>
    <row r="28" spans="2:7" ht="15.75" thickBot="1" x14ac:dyDescent="0.3">
      <c r="B28" s="71">
        <v>20</v>
      </c>
      <c r="C28" s="70" t="s">
        <v>438</v>
      </c>
      <c r="D28" s="69" t="s">
        <v>155</v>
      </c>
      <c r="E28" s="69">
        <v>10</v>
      </c>
      <c r="F28" s="153">
        <v>54</v>
      </c>
      <c r="G28" s="67">
        <f t="shared" si="0"/>
        <v>540</v>
      </c>
    </row>
    <row r="29" spans="2:7" ht="15.75" thickBot="1" x14ac:dyDescent="0.3">
      <c r="B29" s="71">
        <v>21</v>
      </c>
      <c r="C29" s="70" t="s">
        <v>437</v>
      </c>
      <c r="D29" s="69" t="s">
        <v>155</v>
      </c>
      <c r="E29" s="69">
        <v>270</v>
      </c>
      <c r="F29" s="153">
        <v>21</v>
      </c>
      <c r="G29" s="67">
        <f t="shared" si="0"/>
        <v>5670</v>
      </c>
    </row>
    <row r="30" spans="2:7" ht="15.75" thickBot="1" x14ac:dyDescent="0.3">
      <c r="B30" s="71">
        <v>22</v>
      </c>
      <c r="C30" s="70" t="s">
        <v>436</v>
      </c>
      <c r="D30" s="69" t="s">
        <v>435</v>
      </c>
      <c r="E30" s="69">
        <v>900</v>
      </c>
      <c r="F30" s="153">
        <v>35</v>
      </c>
      <c r="G30" s="67">
        <f t="shared" si="0"/>
        <v>31500</v>
      </c>
    </row>
    <row r="31" spans="2:7" ht="15.75" thickBot="1" x14ac:dyDescent="0.3">
      <c r="B31" s="71">
        <v>23</v>
      </c>
      <c r="C31" s="70" t="s">
        <v>434</v>
      </c>
      <c r="D31" s="69" t="s">
        <v>155</v>
      </c>
      <c r="E31" s="69">
        <v>90</v>
      </c>
      <c r="F31" s="153">
        <v>40</v>
      </c>
      <c r="G31" s="67">
        <f t="shared" si="0"/>
        <v>3600</v>
      </c>
    </row>
    <row r="32" spans="2:7" ht="15.75" thickBot="1" x14ac:dyDescent="0.3">
      <c r="B32" s="71">
        <v>24</v>
      </c>
      <c r="C32" s="70" t="s">
        <v>433</v>
      </c>
      <c r="D32" s="69" t="s">
        <v>432</v>
      </c>
      <c r="E32" s="69">
        <v>27</v>
      </c>
      <c r="F32" s="67">
        <v>2000</v>
      </c>
      <c r="G32" s="67">
        <f t="shared" si="0"/>
        <v>54000</v>
      </c>
    </row>
    <row r="33" spans="2:8" ht="15.75" thickBot="1" x14ac:dyDescent="0.3">
      <c r="B33" s="71">
        <v>25</v>
      </c>
      <c r="C33" s="70" t="s">
        <v>462</v>
      </c>
      <c r="D33" s="69" t="s">
        <v>461</v>
      </c>
      <c r="E33" s="69">
        <v>50</v>
      </c>
      <c r="F33" s="153">
        <v>87</v>
      </c>
      <c r="G33" s="67">
        <f t="shared" si="0"/>
        <v>4350</v>
      </c>
    </row>
    <row r="34" spans="2:8" ht="15.75" thickBot="1" x14ac:dyDescent="0.3">
      <c r="B34" s="835" t="s">
        <v>146</v>
      </c>
      <c r="C34" s="836"/>
      <c r="D34" s="836"/>
      <c r="E34" s="837"/>
      <c r="F34" s="153">
        <f>SUM(F9:F33)</f>
        <v>3779.2</v>
      </c>
      <c r="G34" s="67">
        <f>SUM(G9:G33)</f>
        <v>230356</v>
      </c>
    </row>
    <row r="36" spans="2:8" ht="16.5" thickBot="1" x14ac:dyDescent="0.3">
      <c r="B36" s="158" t="s">
        <v>460</v>
      </c>
    </row>
    <row r="37" spans="2:8" x14ac:dyDescent="0.25">
      <c r="B37" s="798" t="s">
        <v>141</v>
      </c>
      <c r="C37" s="800" t="s">
        <v>140</v>
      </c>
      <c r="D37" s="800" t="s">
        <v>216</v>
      </c>
      <c r="E37" s="800" t="s">
        <v>139</v>
      </c>
      <c r="F37" s="157" t="s">
        <v>39</v>
      </c>
      <c r="G37" s="157" t="s">
        <v>39</v>
      </c>
    </row>
    <row r="38" spans="2:8" ht="15.75" thickBot="1" x14ac:dyDescent="0.3">
      <c r="B38" s="799"/>
      <c r="C38" s="801"/>
      <c r="D38" s="801"/>
      <c r="E38" s="801"/>
      <c r="F38" s="69" t="s">
        <v>38</v>
      </c>
      <c r="G38" s="69" t="s">
        <v>138</v>
      </c>
    </row>
    <row r="39" spans="2:8" ht="15.75" thickBot="1" x14ac:dyDescent="0.3">
      <c r="B39" s="71">
        <v>1</v>
      </c>
      <c r="C39" s="70" t="s">
        <v>459</v>
      </c>
      <c r="D39" s="69" t="s">
        <v>455</v>
      </c>
      <c r="E39" s="69">
        <v>1800</v>
      </c>
      <c r="F39" s="153">
        <v>30</v>
      </c>
      <c r="G39" s="156">
        <f t="shared" ref="G39:G67" si="1">E39*F39</f>
        <v>54000</v>
      </c>
      <c r="H39">
        <v>19.82</v>
      </c>
    </row>
    <row r="40" spans="2:8" ht="15.75" thickBot="1" x14ac:dyDescent="0.3">
      <c r="B40" s="71">
        <v>2</v>
      </c>
      <c r="C40" s="70" t="s">
        <v>458</v>
      </c>
      <c r="D40" s="69" t="s">
        <v>457</v>
      </c>
      <c r="E40" s="69">
        <v>1800</v>
      </c>
      <c r="F40" s="153">
        <v>12</v>
      </c>
      <c r="G40" s="155">
        <f t="shared" si="1"/>
        <v>21600</v>
      </c>
      <c r="H40">
        <v>13.5</v>
      </c>
    </row>
    <row r="41" spans="2:8" ht="15.75" thickBot="1" x14ac:dyDescent="0.3">
      <c r="B41" s="71">
        <v>3</v>
      </c>
      <c r="C41" s="70" t="s">
        <v>456</v>
      </c>
      <c r="D41" s="69" t="s">
        <v>455</v>
      </c>
      <c r="E41" s="69">
        <v>100</v>
      </c>
      <c r="F41" s="153">
        <v>10</v>
      </c>
      <c r="G41" s="155">
        <f t="shared" si="1"/>
        <v>1000</v>
      </c>
    </row>
    <row r="42" spans="2:8" ht="15.75" thickBot="1" x14ac:dyDescent="0.3">
      <c r="B42" s="71">
        <v>4</v>
      </c>
      <c r="C42" s="70" t="s">
        <v>454</v>
      </c>
      <c r="D42" s="69" t="s">
        <v>155</v>
      </c>
      <c r="E42" s="69">
        <v>200</v>
      </c>
      <c r="F42" s="153">
        <v>21</v>
      </c>
      <c r="G42" s="155">
        <f t="shared" si="1"/>
        <v>4200</v>
      </c>
    </row>
    <row r="43" spans="2:8" ht="15.75" thickBot="1" x14ac:dyDescent="0.3">
      <c r="B43" s="71">
        <v>5</v>
      </c>
      <c r="C43" s="70" t="s">
        <v>453</v>
      </c>
      <c r="D43" s="69" t="s">
        <v>155</v>
      </c>
      <c r="E43" s="69">
        <v>90</v>
      </c>
      <c r="F43" s="153">
        <v>15</v>
      </c>
      <c r="G43" s="155">
        <f t="shared" si="1"/>
        <v>1350</v>
      </c>
    </row>
    <row r="44" spans="2:8" ht="15.75" thickBot="1" x14ac:dyDescent="0.3">
      <c r="B44" s="71">
        <v>6</v>
      </c>
      <c r="C44" s="70" t="s">
        <v>452</v>
      </c>
      <c r="D44" s="69" t="s">
        <v>155</v>
      </c>
      <c r="E44" s="69">
        <v>90</v>
      </c>
      <c r="F44" s="153">
        <v>18</v>
      </c>
      <c r="G44" s="155">
        <f t="shared" si="1"/>
        <v>1620</v>
      </c>
    </row>
    <row r="45" spans="2:8" ht="15.75" thickBot="1" x14ac:dyDescent="0.3">
      <c r="B45" s="71">
        <v>7</v>
      </c>
      <c r="C45" s="70" t="s">
        <v>451</v>
      </c>
      <c r="D45" s="69" t="s">
        <v>155</v>
      </c>
      <c r="E45" s="69">
        <v>90</v>
      </c>
      <c r="F45" s="153">
        <v>22</v>
      </c>
      <c r="G45" s="155">
        <f t="shared" si="1"/>
        <v>1980</v>
      </c>
    </row>
    <row r="46" spans="2:8" ht="15.75" thickBot="1" x14ac:dyDescent="0.3">
      <c r="B46" s="71">
        <v>8</v>
      </c>
      <c r="C46" s="70" t="s">
        <v>450</v>
      </c>
      <c r="D46" s="69" t="s">
        <v>155</v>
      </c>
      <c r="E46" s="69">
        <v>90</v>
      </c>
      <c r="F46" s="153">
        <v>35</v>
      </c>
      <c r="G46" s="155">
        <f t="shared" si="1"/>
        <v>3150</v>
      </c>
    </row>
    <row r="47" spans="2:8" ht="15.75" thickBot="1" x14ac:dyDescent="0.3">
      <c r="B47" s="71">
        <v>9</v>
      </c>
      <c r="C47" s="70" t="s">
        <v>449</v>
      </c>
      <c r="D47" s="69" t="s">
        <v>155</v>
      </c>
      <c r="E47" s="69">
        <v>90</v>
      </c>
      <c r="F47" s="153">
        <v>25</v>
      </c>
      <c r="G47" s="155">
        <f t="shared" si="1"/>
        <v>2250</v>
      </c>
    </row>
    <row r="48" spans="2:8" ht="15.75" thickBot="1" x14ac:dyDescent="0.3">
      <c r="B48" s="71">
        <v>10</v>
      </c>
      <c r="C48" s="70" t="s">
        <v>448</v>
      </c>
      <c r="D48" s="69" t="s">
        <v>155</v>
      </c>
      <c r="E48" s="69">
        <v>90</v>
      </c>
      <c r="F48" s="153">
        <v>20</v>
      </c>
      <c r="G48" s="155">
        <f t="shared" si="1"/>
        <v>1800</v>
      </c>
    </row>
    <row r="49" spans="2:8" ht="15.75" thickBot="1" x14ac:dyDescent="0.3">
      <c r="B49" s="71">
        <v>11</v>
      </c>
      <c r="C49" s="70" t="s">
        <v>447</v>
      </c>
      <c r="D49" s="69" t="s">
        <v>155</v>
      </c>
      <c r="E49" s="69">
        <v>90</v>
      </c>
      <c r="F49" s="153">
        <v>40</v>
      </c>
      <c r="G49" s="155">
        <f t="shared" si="1"/>
        <v>3600</v>
      </c>
    </row>
    <row r="50" spans="2:8" ht="15.75" thickBot="1" x14ac:dyDescent="0.3">
      <c r="B50" s="71">
        <v>12</v>
      </c>
      <c r="C50" s="70" t="s">
        <v>446</v>
      </c>
      <c r="D50" s="69" t="s">
        <v>155</v>
      </c>
      <c r="E50" s="69">
        <v>270</v>
      </c>
      <c r="F50" s="153">
        <v>0.3</v>
      </c>
      <c r="G50" s="155">
        <f t="shared" si="1"/>
        <v>81</v>
      </c>
    </row>
    <row r="51" spans="2:8" ht="15.75" thickBot="1" x14ac:dyDescent="0.3">
      <c r="B51" s="71">
        <v>13</v>
      </c>
      <c r="C51" s="70" t="s">
        <v>445</v>
      </c>
      <c r="D51" s="69" t="s">
        <v>155</v>
      </c>
      <c r="E51" s="69">
        <v>270</v>
      </c>
      <c r="F51" s="153">
        <v>0.45</v>
      </c>
      <c r="G51" s="155">
        <f t="shared" si="1"/>
        <v>121.5</v>
      </c>
    </row>
    <row r="52" spans="2:8" ht="15.75" thickBot="1" x14ac:dyDescent="0.3">
      <c r="B52" s="71">
        <v>14</v>
      </c>
      <c r="C52" s="70" t="s">
        <v>444</v>
      </c>
      <c r="D52" s="69" t="s">
        <v>155</v>
      </c>
      <c r="E52" s="69">
        <v>270</v>
      </c>
      <c r="F52" s="153">
        <v>0.45</v>
      </c>
      <c r="G52" s="155">
        <f t="shared" si="1"/>
        <v>121.5</v>
      </c>
    </row>
    <row r="53" spans="2:8" ht="15.75" thickBot="1" x14ac:dyDescent="0.3">
      <c r="B53" s="71">
        <v>15</v>
      </c>
      <c r="C53" s="70" t="s">
        <v>443</v>
      </c>
      <c r="D53" s="69" t="s">
        <v>155</v>
      </c>
      <c r="E53" s="69">
        <v>90</v>
      </c>
      <c r="F53" s="153">
        <v>50</v>
      </c>
      <c r="G53" s="155">
        <f t="shared" si="1"/>
        <v>4500</v>
      </c>
    </row>
    <row r="54" spans="2:8" ht="15.75" thickBot="1" x14ac:dyDescent="0.3">
      <c r="B54" s="71">
        <v>16</v>
      </c>
      <c r="C54" s="70" t="s">
        <v>442</v>
      </c>
      <c r="D54" s="69" t="s">
        <v>155</v>
      </c>
      <c r="E54" s="69">
        <v>18</v>
      </c>
      <c r="F54" s="153">
        <v>85</v>
      </c>
      <c r="G54" s="155">
        <f t="shared" si="1"/>
        <v>1530</v>
      </c>
    </row>
    <row r="55" spans="2:8" ht="15.75" thickBot="1" x14ac:dyDescent="0.3">
      <c r="B55" s="71">
        <v>17</v>
      </c>
      <c r="C55" s="70" t="s">
        <v>441</v>
      </c>
      <c r="D55" s="69" t="s">
        <v>155</v>
      </c>
      <c r="E55" s="69">
        <v>24</v>
      </c>
      <c r="F55" s="153">
        <v>58</v>
      </c>
      <c r="G55" s="155">
        <f t="shared" si="1"/>
        <v>1392</v>
      </c>
    </row>
    <row r="56" spans="2:8" ht="15.75" thickBot="1" x14ac:dyDescent="0.3">
      <c r="B56" s="71">
        <v>18</v>
      </c>
      <c r="C56" s="70" t="s">
        <v>440</v>
      </c>
      <c r="D56" s="69" t="s">
        <v>155</v>
      </c>
      <c r="E56" s="69">
        <v>24</v>
      </c>
      <c r="F56" s="153">
        <v>984</v>
      </c>
      <c r="G56" s="155">
        <f t="shared" si="1"/>
        <v>23616</v>
      </c>
    </row>
    <row r="57" spans="2:8" ht="15.75" thickBot="1" x14ac:dyDescent="0.3">
      <c r="B57" s="71">
        <v>19</v>
      </c>
      <c r="C57" s="70" t="s">
        <v>439</v>
      </c>
      <c r="D57" s="69" t="s">
        <v>155</v>
      </c>
      <c r="E57" s="69">
        <v>24</v>
      </c>
      <c r="F57" s="153">
        <v>116</v>
      </c>
      <c r="G57" s="155">
        <f t="shared" si="1"/>
        <v>2784</v>
      </c>
    </row>
    <row r="58" spans="2:8" ht="15.75" thickBot="1" x14ac:dyDescent="0.3">
      <c r="B58" s="71">
        <v>20</v>
      </c>
      <c r="C58" s="70" t="s">
        <v>438</v>
      </c>
      <c r="D58" s="69" t="s">
        <v>155</v>
      </c>
      <c r="E58" s="69">
        <v>9</v>
      </c>
      <c r="F58" s="153">
        <v>54</v>
      </c>
      <c r="G58" s="155">
        <f t="shared" si="1"/>
        <v>486</v>
      </c>
    </row>
    <row r="59" spans="2:8" ht="15.75" thickBot="1" x14ac:dyDescent="0.3">
      <c r="B59" s="71">
        <v>21</v>
      </c>
      <c r="C59" s="70" t="s">
        <v>437</v>
      </c>
      <c r="D59" s="69" t="s">
        <v>155</v>
      </c>
      <c r="E59" s="69">
        <v>270</v>
      </c>
      <c r="F59" s="153">
        <v>21</v>
      </c>
      <c r="G59" s="155">
        <f t="shared" si="1"/>
        <v>5670</v>
      </c>
    </row>
    <row r="60" spans="2:8" ht="15.75" thickBot="1" x14ac:dyDescent="0.3">
      <c r="B60" s="71">
        <v>22</v>
      </c>
      <c r="C60" s="70" t="s">
        <v>436</v>
      </c>
      <c r="D60" s="69" t="s">
        <v>435</v>
      </c>
      <c r="E60" s="69">
        <v>900</v>
      </c>
      <c r="F60" s="153">
        <v>35</v>
      </c>
      <c r="G60" s="155">
        <f t="shared" si="1"/>
        <v>31500</v>
      </c>
      <c r="H60">
        <v>127.74</v>
      </c>
    </row>
    <row r="61" spans="2:8" ht="15.75" thickBot="1" x14ac:dyDescent="0.3">
      <c r="B61" s="71">
        <v>23</v>
      </c>
      <c r="C61" s="70" t="s">
        <v>434</v>
      </c>
      <c r="D61" s="69" t="s">
        <v>155</v>
      </c>
      <c r="E61" s="69">
        <v>90</v>
      </c>
      <c r="F61" s="153">
        <v>40</v>
      </c>
      <c r="G61" s="155">
        <f t="shared" si="1"/>
        <v>3600</v>
      </c>
    </row>
    <row r="62" spans="2:8" ht="15.75" thickBot="1" x14ac:dyDescent="0.3">
      <c r="B62" s="71">
        <v>24</v>
      </c>
      <c r="C62" s="70" t="s">
        <v>433</v>
      </c>
      <c r="D62" s="69" t="s">
        <v>432</v>
      </c>
      <c r="E62" s="69">
        <v>27</v>
      </c>
      <c r="F62" s="67">
        <v>2000</v>
      </c>
      <c r="G62" s="155">
        <f t="shared" si="1"/>
        <v>54000</v>
      </c>
    </row>
    <row r="63" spans="2:8" ht="15.75" thickBot="1" x14ac:dyDescent="0.3">
      <c r="B63" s="71">
        <v>25</v>
      </c>
      <c r="C63" s="70" t="s">
        <v>431</v>
      </c>
      <c r="D63" s="69" t="s">
        <v>429</v>
      </c>
      <c r="E63" s="69">
        <v>1200</v>
      </c>
      <c r="F63" s="153">
        <v>35</v>
      </c>
      <c r="G63" s="155">
        <f t="shared" si="1"/>
        <v>42000</v>
      </c>
      <c r="H63">
        <v>50</v>
      </c>
    </row>
    <row r="64" spans="2:8" ht="15.75" thickBot="1" x14ac:dyDescent="0.3">
      <c r="B64" s="71">
        <v>26</v>
      </c>
      <c r="C64" s="70" t="s">
        <v>430</v>
      </c>
      <c r="D64" s="69" t="s">
        <v>429</v>
      </c>
      <c r="E64" s="69">
        <v>600</v>
      </c>
      <c r="F64" s="153">
        <v>56</v>
      </c>
      <c r="G64" s="155">
        <f t="shared" si="1"/>
        <v>33600</v>
      </c>
      <c r="H64">
        <v>60.52</v>
      </c>
    </row>
    <row r="65" spans="2:8" ht="15.75" thickBot="1" x14ac:dyDescent="0.3">
      <c r="B65" s="71">
        <v>27</v>
      </c>
      <c r="C65" s="70" t="s">
        <v>428</v>
      </c>
      <c r="D65" s="69" t="s">
        <v>427</v>
      </c>
      <c r="E65" s="69">
        <v>500</v>
      </c>
      <c r="F65" s="153">
        <v>23</v>
      </c>
      <c r="G65" s="155">
        <f t="shared" si="1"/>
        <v>11500</v>
      </c>
    </row>
    <row r="66" spans="2:8" ht="15.75" thickBot="1" x14ac:dyDescent="0.3">
      <c r="B66" s="71">
        <v>28</v>
      </c>
      <c r="C66" s="70" t="s">
        <v>426</v>
      </c>
      <c r="D66" s="69" t="s">
        <v>425</v>
      </c>
      <c r="E66" s="69">
        <v>300</v>
      </c>
      <c r="F66" s="153">
        <v>130</v>
      </c>
      <c r="G66" s="155">
        <f t="shared" si="1"/>
        <v>39000</v>
      </c>
      <c r="H66">
        <f>40.43*3.6</f>
        <v>145.548</v>
      </c>
    </row>
    <row r="67" spans="2:8" ht="15.75" thickBot="1" x14ac:dyDescent="0.3">
      <c r="B67" s="71">
        <v>29</v>
      </c>
      <c r="C67" s="70" t="s">
        <v>424</v>
      </c>
      <c r="D67" s="69" t="s">
        <v>423</v>
      </c>
      <c r="E67" s="69">
        <v>3000</v>
      </c>
      <c r="F67" s="153">
        <v>5.7</v>
      </c>
      <c r="G67" s="155">
        <f t="shared" si="1"/>
        <v>17100</v>
      </c>
    </row>
    <row r="68" spans="2:8" ht="15.75" thickBot="1" x14ac:dyDescent="0.3">
      <c r="B68" s="835" t="s">
        <v>146</v>
      </c>
      <c r="C68" s="836"/>
      <c r="D68" s="836"/>
      <c r="E68" s="837"/>
      <c r="F68" s="155">
        <f>SUM(F39:F67)</f>
        <v>3941.8999999999996</v>
      </c>
      <c r="G68" s="62">
        <f>SUM(G39:G67)</f>
        <v>369152</v>
      </c>
    </row>
  </sheetData>
  <mergeCells count="10">
    <mergeCell ref="B68:E68"/>
    <mergeCell ref="B7:B8"/>
    <mergeCell ref="C7:C8"/>
    <mergeCell ref="D7:D8"/>
    <mergeCell ref="E7:E8"/>
    <mergeCell ref="B34:E34"/>
    <mergeCell ref="B37:B38"/>
    <mergeCell ref="C37:C38"/>
    <mergeCell ref="D37:D38"/>
    <mergeCell ref="E37:E3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H24" sqref="H24"/>
    </sheetView>
  </sheetViews>
  <sheetFormatPr defaultRowHeight="15" x14ac:dyDescent="0.25"/>
  <cols>
    <col min="1" max="1" width="93.42578125" customWidth="1"/>
    <col min="2" max="2" width="12.140625" customWidth="1"/>
    <col min="3" max="3" width="13.85546875" bestFit="1" customWidth="1"/>
  </cols>
  <sheetData>
    <row r="1" spans="1:5" ht="15" customHeight="1" x14ac:dyDescent="0.25">
      <c r="A1" s="172" t="s">
        <v>476</v>
      </c>
      <c r="B1" s="172"/>
      <c r="C1" s="172"/>
      <c r="D1" s="172"/>
      <c r="E1" s="171"/>
    </row>
    <row r="2" spans="1:5" x14ac:dyDescent="0.25">
      <c r="E2" s="146"/>
    </row>
    <row r="3" spans="1:5" x14ac:dyDescent="0.25">
      <c r="A3" s="164" t="s">
        <v>475</v>
      </c>
      <c r="B3" s="481">
        <v>47949.98</v>
      </c>
      <c r="C3" s="164" t="s">
        <v>473</v>
      </c>
    </row>
    <row r="4" spans="1:5" x14ac:dyDescent="0.25">
      <c r="A4" s="164" t="s">
        <v>474</v>
      </c>
      <c r="B4" s="481">
        <f>B3*E9</f>
        <v>52180.019155415939</v>
      </c>
      <c r="C4" s="164" t="s">
        <v>473</v>
      </c>
    </row>
    <row r="5" spans="1:5" x14ac:dyDescent="0.25">
      <c r="A5" s="7" t="s">
        <v>146</v>
      </c>
      <c r="B5" s="481">
        <f>B4/2</f>
        <v>26090.00957770797</v>
      </c>
      <c r="C5" s="164" t="s">
        <v>472</v>
      </c>
    </row>
    <row r="6" spans="1:5" x14ac:dyDescent="0.25">
      <c r="D6" s="24" t="s">
        <v>471</v>
      </c>
    </row>
    <row r="7" spans="1:5" x14ac:dyDescent="0.25">
      <c r="D7" s="170">
        <v>41456</v>
      </c>
      <c r="E7" s="169">
        <v>189.39500000000001</v>
      </c>
    </row>
    <row r="8" spans="1:5" x14ac:dyDescent="0.25">
      <c r="D8" s="168">
        <v>42401</v>
      </c>
      <c r="E8" s="167">
        <v>206.10300000000001</v>
      </c>
    </row>
    <row r="9" spans="1:5" x14ac:dyDescent="0.25">
      <c r="D9" s="166" t="s">
        <v>470</v>
      </c>
      <c r="E9" s="165">
        <f>E8/E7</f>
        <v>1.0882177459806226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K24" sqref="K24"/>
    </sheetView>
  </sheetViews>
  <sheetFormatPr defaultRowHeight="15" x14ac:dyDescent="0.25"/>
  <cols>
    <col min="1" max="1" width="51" bestFit="1" customWidth="1"/>
    <col min="2" max="2" width="13.28515625" bestFit="1" customWidth="1"/>
    <col min="5" max="6" width="12" bestFit="1" customWidth="1"/>
    <col min="7" max="7" width="11.5703125" customWidth="1"/>
    <col min="8" max="8" width="13.28515625" customWidth="1"/>
  </cols>
  <sheetData>
    <row r="1" spans="1:8" x14ac:dyDescent="0.25">
      <c r="A1" s="838" t="s">
        <v>490</v>
      </c>
      <c r="B1" s="838"/>
      <c r="C1" s="838"/>
      <c r="D1" s="838"/>
    </row>
    <row r="2" spans="1:8" ht="15.75" thickBot="1" x14ac:dyDescent="0.3"/>
    <row r="3" spans="1:8" x14ac:dyDescent="0.25">
      <c r="A3" s="47" t="s">
        <v>489</v>
      </c>
      <c r="B3" s="46"/>
      <c r="C3" s="46"/>
      <c r="D3" s="46"/>
      <c r="E3" s="46"/>
      <c r="F3" s="46"/>
      <c r="G3" s="46"/>
      <c r="H3" s="190"/>
    </row>
    <row r="4" spans="1:8" x14ac:dyDescent="0.25">
      <c r="A4" s="44" t="s">
        <v>488</v>
      </c>
      <c r="B4" s="187">
        <v>500000</v>
      </c>
      <c r="C4" s="18" t="s">
        <v>487</v>
      </c>
      <c r="D4" s="18"/>
      <c r="E4" s="18"/>
      <c r="F4" s="189" t="s">
        <v>10</v>
      </c>
      <c r="G4" s="189" t="s">
        <v>11</v>
      </c>
      <c r="H4" s="188" t="s">
        <v>24</v>
      </c>
    </row>
    <row r="5" spans="1:8" x14ac:dyDescent="0.25">
      <c r="A5" s="44" t="s">
        <v>486</v>
      </c>
      <c r="B5" s="187">
        <v>9</v>
      </c>
      <c r="C5" s="18" t="s">
        <v>485</v>
      </c>
      <c r="D5" s="18"/>
      <c r="E5" s="18"/>
      <c r="F5" s="26" t="s">
        <v>2</v>
      </c>
      <c r="G5" s="26" t="s">
        <v>2</v>
      </c>
      <c r="H5" s="176" t="s">
        <v>2</v>
      </c>
    </row>
    <row r="6" spans="1:8" x14ac:dyDescent="0.25">
      <c r="A6" s="186" t="s">
        <v>484</v>
      </c>
      <c r="B6" s="185">
        <f>B4*B5</f>
        <v>4500000</v>
      </c>
      <c r="C6" s="18"/>
      <c r="D6" s="18"/>
      <c r="E6" s="18"/>
      <c r="F6" s="184">
        <f>B8*(6/9)</f>
        <v>300000</v>
      </c>
      <c r="G6" s="184">
        <f>B8*(3/9)</f>
        <v>150000</v>
      </c>
      <c r="H6" s="183">
        <f>F6+G6</f>
        <v>450000</v>
      </c>
    </row>
    <row r="7" spans="1:8" x14ac:dyDescent="0.25">
      <c r="A7" s="44" t="s">
        <v>483</v>
      </c>
      <c r="B7" s="182">
        <v>0.1</v>
      </c>
      <c r="C7" s="18" t="s">
        <v>482</v>
      </c>
      <c r="D7" s="18"/>
      <c r="E7" s="18"/>
      <c r="F7" s="18"/>
      <c r="G7" s="18"/>
      <c r="H7" s="48"/>
    </row>
    <row r="8" spans="1:8" ht="15.75" thickBot="1" x14ac:dyDescent="0.3">
      <c r="A8" s="42" t="s">
        <v>481</v>
      </c>
      <c r="B8" s="175">
        <f>B7*B6</f>
        <v>450000</v>
      </c>
      <c r="C8" s="41" t="s">
        <v>2</v>
      </c>
      <c r="D8" s="41"/>
      <c r="E8" s="41"/>
      <c r="F8" s="41"/>
      <c r="G8" s="41"/>
      <c r="H8" s="181"/>
    </row>
    <row r="10" spans="1:8" ht="15.75" thickBot="1" x14ac:dyDescent="0.3"/>
    <row r="11" spans="1:8" x14ac:dyDescent="0.25">
      <c r="A11" s="180" t="s">
        <v>480</v>
      </c>
      <c r="B11" s="46"/>
      <c r="C11" s="46"/>
      <c r="D11" s="46"/>
      <c r="E11" s="46"/>
      <c r="F11" s="179" t="s">
        <v>10</v>
      </c>
      <c r="G11" s="179" t="s">
        <v>11</v>
      </c>
      <c r="H11" s="178" t="s">
        <v>24</v>
      </c>
    </row>
    <row r="12" spans="1:8" x14ac:dyDescent="0.25">
      <c r="A12" s="44" t="s">
        <v>479</v>
      </c>
      <c r="B12" s="177">
        <v>20</v>
      </c>
      <c r="C12" s="18" t="s">
        <v>478</v>
      </c>
      <c r="D12" s="18"/>
      <c r="E12" s="18"/>
      <c r="F12" s="26" t="s">
        <v>2</v>
      </c>
      <c r="G12" s="26" t="s">
        <v>2</v>
      </c>
      <c r="H12" s="176" t="s">
        <v>2</v>
      </c>
    </row>
    <row r="13" spans="1:8" ht="15.75" thickBot="1" x14ac:dyDescent="0.3">
      <c r="A13" s="42" t="s">
        <v>477</v>
      </c>
      <c r="B13" s="175">
        <f>B6/B12</f>
        <v>225000</v>
      </c>
      <c r="C13" s="41" t="s">
        <v>2</v>
      </c>
      <c r="D13" s="41"/>
      <c r="E13" s="41"/>
      <c r="F13" s="174">
        <f>B13*(6/9)</f>
        <v>150000</v>
      </c>
      <c r="G13" s="174">
        <f>B13*(3/9)</f>
        <v>75000</v>
      </c>
      <c r="H13" s="173">
        <f>F13+G13</f>
        <v>225000</v>
      </c>
    </row>
    <row r="14" spans="1:8" x14ac:dyDescent="0.25">
      <c r="B14" s="3"/>
    </row>
  </sheetData>
  <mergeCells count="1">
    <mergeCell ref="A1:D1"/>
  </mergeCells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8"/>
  <sheetViews>
    <sheetView showGridLines="0" topLeftCell="E1" workbookViewId="0">
      <selection activeCell="Q32" sqref="Q32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1:8" x14ac:dyDescent="0.25">
      <c r="A2" s="18"/>
      <c r="B2" s="18"/>
      <c r="C2" s="145"/>
      <c r="D2" s="18"/>
      <c r="E2" s="18"/>
      <c r="F2" s="189" t="s">
        <v>10</v>
      </c>
      <c r="G2" s="189" t="s">
        <v>11</v>
      </c>
      <c r="H2" s="214" t="s">
        <v>24</v>
      </c>
    </row>
    <row r="3" spans="1:8" x14ac:dyDescent="0.25">
      <c r="F3" s="16" t="s">
        <v>2</v>
      </c>
      <c r="G3" s="16" t="s">
        <v>2</v>
      </c>
      <c r="H3" s="16" t="s">
        <v>2</v>
      </c>
    </row>
    <row r="4" spans="1:8" x14ac:dyDescent="0.25">
      <c r="B4" s="838" t="s">
        <v>505</v>
      </c>
      <c r="C4" s="838"/>
      <c r="D4" s="838"/>
      <c r="E4" s="838"/>
      <c r="F4" s="213"/>
      <c r="G4" s="213"/>
      <c r="H4" s="213">
        <f>C15</f>
        <v>859552.22661190142</v>
      </c>
    </row>
    <row r="7" spans="1:8" x14ac:dyDescent="0.25">
      <c r="B7" t="s">
        <v>504</v>
      </c>
      <c r="C7" s="145">
        <f>2720000*G11</f>
        <v>4810662.6674575554</v>
      </c>
    </row>
    <row r="8" spans="1:8" x14ac:dyDescent="0.25">
      <c r="B8" t="s">
        <v>503</v>
      </c>
      <c r="C8" s="145">
        <f>780000*G11</f>
        <v>1379528.2649326813</v>
      </c>
      <c r="F8" t="s">
        <v>502</v>
      </c>
    </row>
    <row r="9" spans="1:8" x14ac:dyDescent="0.25">
      <c r="B9" t="s">
        <v>501</v>
      </c>
      <c r="C9">
        <v>7.5</v>
      </c>
      <c r="D9" t="s">
        <v>478</v>
      </c>
      <c r="F9" s="170">
        <v>39295</v>
      </c>
      <c r="G9" s="169">
        <v>357.404</v>
      </c>
    </row>
    <row r="10" spans="1:8" x14ac:dyDescent="0.25">
      <c r="B10" t="s">
        <v>500</v>
      </c>
      <c r="C10">
        <v>6</v>
      </c>
      <c r="D10" t="s">
        <v>478</v>
      </c>
      <c r="F10" s="168">
        <v>42401</v>
      </c>
      <c r="G10" s="167">
        <v>632.11400000000003</v>
      </c>
    </row>
    <row r="11" spans="1:8" x14ac:dyDescent="0.25">
      <c r="B11" t="s">
        <v>499</v>
      </c>
      <c r="C11" s="5">
        <v>0.15</v>
      </c>
      <c r="D11" t="s">
        <v>497</v>
      </c>
      <c r="F11" s="166" t="s">
        <v>470</v>
      </c>
      <c r="G11" s="212">
        <f>G10/G9</f>
        <v>1.7686259806829248</v>
      </c>
    </row>
    <row r="12" spans="1:8" x14ac:dyDescent="0.25">
      <c r="B12" t="s">
        <v>498</v>
      </c>
      <c r="C12" s="5">
        <v>0.1</v>
      </c>
      <c r="D12" t="s">
        <v>497</v>
      </c>
    </row>
    <row r="13" spans="1:8" x14ac:dyDescent="0.25">
      <c r="B13" t="s">
        <v>496</v>
      </c>
      <c r="C13" s="145">
        <f>C7*C11</f>
        <v>721599.40011863329</v>
      </c>
      <c r="D13" t="s">
        <v>2</v>
      </c>
    </row>
    <row r="14" spans="1:8" x14ac:dyDescent="0.25">
      <c r="B14" t="s">
        <v>495</v>
      </c>
      <c r="C14" s="145">
        <f>C8*C12</f>
        <v>137952.82649326813</v>
      </c>
      <c r="D14" t="s">
        <v>2</v>
      </c>
    </row>
    <row r="15" spans="1:8" x14ac:dyDescent="0.25">
      <c r="B15" s="18" t="s">
        <v>494</v>
      </c>
      <c r="C15" s="145">
        <f>C13+C14</f>
        <v>859552.22661190142</v>
      </c>
      <c r="D15" t="s">
        <v>2</v>
      </c>
    </row>
    <row r="16" spans="1:8" x14ac:dyDescent="0.25">
      <c r="B16" s="49" t="s">
        <v>493</v>
      </c>
      <c r="C16" s="145">
        <f>C7/C9</f>
        <v>641421.68899434071</v>
      </c>
      <c r="D16" t="s">
        <v>2</v>
      </c>
      <c r="E16" t="s">
        <v>491</v>
      </c>
    </row>
    <row r="17" spans="1:11" x14ac:dyDescent="0.25">
      <c r="B17" s="49" t="s">
        <v>492</v>
      </c>
      <c r="C17" s="145">
        <f>C8/C10</f>
        <v>229921.37748878021</v>
      </c>
      <c r="D17" t="s">
        <v>2</v>
      </c>
      <c r="E17" t="s">
        <v>491</v>
      </c>
    </row>
    <row r="18" spans="1:11" x14ac:dyDescent="0.25">
      <c r="C18" s="4"/>
    </row>
    <row r="19" spans="1:11" x14ac:dyDescent="0.25">
      <c r="A19" s="19"/>
      <c r="B19" s="19"/>
      <c r="C19" s="211"/>
      <c r="D19" s="19"/>
      <c r="E19" s="19"/>
      <c r="F19" s="19"/>
      <c r="G19" s="19"/>
      <c r="H19" s="19"/>
    </row>
    <row r="24" spans="1:11" x14ac:dyDescent="0.25">
      <c r="F24" s="4">
        <f>1730895.29-C15</f>
        <v>871343.06338809861</v>
      </c>
    </row>
    <row r="29" spans="1:11" x14ac:dyDescent="0.25">
      <c r="A29" s="18"/>
      <c r="B29" s="49"/>
      <c r="C29" s="49"/>
      <c r="D29" s="49"/>
      <c r="E29" s="49"/>
      <c r="F29" s="49"/>
      <c r="G29" s="49"/>
      <c r="H29" s="49"/>
      <c r="I29" s="18"/>
      <c r="J29" s="18"/>
      <c r="K29" s="18"/>
    </row>
    <row r="30" spans="1:11" x14ac:dyDescent="0.25">
      <c r="A30" s="18"/>
      <c r="B30" s="49"/>
      <c r="C30" s="49"/>
      <c r="D30" s="49"/>
      <c r="E30" s="49"/>
      <c r="F30" s="49"/>
      <c r="G30" s="49"/>
      <c r="H30" s="49"/>
      <c r="I30" s="18"/>
      <c r="J30" s="18"/>
      <c r="K30" s="18"/>
    </row>
    <row r="31" spans="1:11" x14ac:dyDescent="0.25">
      <c r="A31" s="18"/>
      <c r="B31" s="49"/>
      <c r="C31" s="49"/>
      <c r="D31" s="49"/>
      <c r="E31" s="49"/>
      <c r="F31" s="49"/>
      <c r="G31" s="49"/>
      <c r="H31" s="49"/>
      <c r="I31" s="18"/>
      <c r="J31" s="18"/>
      <c r="K31" s="18"/>
    </row>
    <row r="32" spans="1:11" x14ac:dyDescent="0.25">
      <c r="A32" s="18"/>
      <c r="B32" s="49"/>
      <c r="C32" s="49"/>
      <c r="D32" s="49"/>
      <c r="E32" s="49"/>
      <c r="F32" s="49"/>
      <c r="G32" s="49"/>
      <c r="H32" s="49"/>
      <c r="I32" s="18"/>
      <c r="J32" s="18"/>
      <c r="K32" s="18"/>
    </row>
    <row r="33" spans="1:11" x14ac:dyDescent="0.25">
      <c r="A33" s="18"/>
      <c r="B33" s="49"/>
      <c r="C33" s="49"/>
      <c r="D33" s="49"/>
      <c r="E33" s="49"/>
      <c r="F33" s="49"/>
      <c r="G33" s="49"/>
      <c r="H33" s="49"/>
      <c r="I33" s="18"/>
      <c r="J33" s="18"/>
      <c r="K33" s="18"/>
    </row>
    <row r="34" spans="1:11" x14ac:dyDescent="0.25">
      <c r="A34" s="18"/>
      <c r="B34" s="49"/>
      <c r="C34" s="49"/>
      <c r="D34" s="49"/>
      <c r="E34" s="49"/>
      <c r="F34" s="49"/>
      <c r="G34" s="49"/>
      <c r="H34" s="49"/>
      <c r="I34" s="18"/>
      <c r="J34" s="18"/>
      <c r="K34" s="18"/>
    </row>
    <row r="35" spans="1:11" x14ac:dyDescent="0.25">
      <c r="A35" s="18"/>
      <c r="B35" s="49"/>
      <c r="C35" s="49"/>
      <c r="D35" s="49"/>
      <c r="E35" s="49"/>
      <c r="F35" s="49"/>
      <c r="G35" s="49"/>
      <c r="H35" s="49"/>
      <c r="I35" s="18"/>
      <c r="J35" s="18"/>
      <c r="K35" s="18"/>
    </row>
    <row r="36" spans="1:11" x14ac:dyDescent="0.25">
      <c r="A36" s="18"/>
      <c r="B36" s="49"/>
      <c r="C36" s="49"/>
      <c r="D36" s="49"/>
      <c r="E36" s="49"/>
      <c r="F36" s="49"/>
      <c r="G36" s="49"/>
      <c r="H36" s="49"/>
      <c r="I36" s="18"/>
      <c r="J36" s="18"/>
      <c r="K36" s="18"/>
    </row>
    <row r="37" spans="1:11" x14ac:dyDescent="0.25">
      <c r="A37" s="18"/>
      <c r="B37" s="49"/>
      <c r="C37" s="49"/>
      <c r="D37" s="49"/>
      <c r="E37" s="49"/>
      <c r="F37" s="208"/>
      <c r="G37" s="208"/>
      <c r="H37" s="208"/>
      <c r="I37" s="18"/>
      <c r="J37" s="18"/>
      <c r="K37" s="18"/>
    </row>
    <row r="38" spans="1:11" x14ac:dyDescent="0.25">
      <c r="A38" s="18"/>
      <c r="B38" s="49"/>
      <c r="C38" s="49"/>
      <c r="D38" s="49"/>
      <c r="E38" s="49"/>
      <c r="F38" s="205"/>
      <c r="G38" s="205"/>
      <c r="H38" s="205"/>
      <c r="I38" s="18"/>
      <c r="J38" s="18"/>
      <c r="K38" s="18"/>
    </row>
    <row r="39" spans="1:11" x14ac:dyDescent="0.25">
      <c r="A39" s="18"/>
      <c r="B39" s="840"/>
      <c r="C39" s="840"/>
      <c r="D39" s="840"/>
      <c r="E39" s="840"/>
      <c r="F39" s="144"/>
      <c r="G39" s="144"/>
      <c r="H39" s="144"/>
      <c r="I39" s="18"/>
      <c r="J39" s="18"/>
      <c r="K39" s="18"/>
    </row>
    <row r="40" spans="1:11" x14ac:dyDescent="0.25">
      <c r="A40" s="18"/>
      <c r="B40" s="49"/>
      <c r="C40" s="49"/>
      <c r="D40" s="49"/>
      <c r="E40" s="49"/>
      <c r="F40" s="49"/>
      <c r="G40" s="49"/>
      <c r="H40" s="49"/>
      <c r="I40" s="18"/>
      <c r="J40" s="18"/>
      <c r="K40" s="18"/>
    </row>
    <row r="41" spans="1:11" x14ac:dyDescent="0.25">
      <c r="A41" s="18"/>
      <c r="B41" s="49"/>
      <c r="C41" s="49"/>
      <c r="D41" s="49"/>
      <c r="E41" s="49"/>
      <c r="F41" s="49"/>
      <c r="G41" s="49"/>
      <c r="H41" s="49"/>
      <c r="I41" s="18"/>
      <c r="J41" s="18"/>
      <c r="K41" s="18"/>
    </row>
    <row r="42" spans="1:11" x14ac:dyDescent="0.25">
      <c r="A42" s="18"/>
      <c r="B42" s="192"/>
      <c r="C42" s="49"/>
      <c r="D42" s="49"/>
      <c r="E42" s="49"/>
      <c r="F42" s="49"/>
      <c r="G42" s="49"/>
      <c r="H42" s="49"/>
      <c r="I42" s="18"/>
      <c r="J42" s="18"/>
      <c r="K42" s="18"/>
    </row>
    <row r="43" spans="1:11" x14ac:dyDescent="0.25">
      <c r="A43" s="18"/>
      <c r="B43" s="49"/>
      <c r="C43" s="49"/>
      <c r="D43" s="49"/>
      <c r="E43" s="49"/>
      <c r="F43" s="49"/>
      <c r="G43" s="49"/>
      <c r="H43" s="49"/>
      <c r="I43" s="18"/>
      <c r="J43" s="18"/>
      <c r="K43" s="18"/>
    </row>
    <row r="44" spans="1:11" x14ac:dyDescent="0.25">
      <c r="A44" s="18"/>
      <c r="B44" s="49"/>
      <c r="C44" s="49"/>
      <c r="D44" s="49"/>
      <c r="E44" s="49"/>
      <c r="F44" s="49"/>
      <c r="G44" s="49"/>
      <c r="H44" s="49"/>
      <c r="I44" s="18"/>
      <c r="J44" s="18"/>
      <c r="K44" s="18"/>
    </row>
    <row r="45" spans="1:11" x14ac:dyDescent="0.25">
      <c r="A45" s="18"/>
      <c r="B45" s="49"/>
      <c r="C45" s="185"/>
      <c r="D45" s="49"/>
      <c r="E45" s="49"/>
      <c r="F45" s="49"/>
      <c r="G45" s="49"/>
      <c r="H45" s="49"/>
      <c r="I45" s="18"/>
      <c r="J45" s="18"/>
      <c r="K45" s="18"/>
    </row>
    <row r="46" spans="1:11" x14ac:dyDescent="0.25">
      <c r="A46" s="18"/>
      <c r="B46" s="49"/>
      <c r="C46" s="185"/>
      <c r="D46" s="49"/>
      <c r="E46" s="49"/>
      <c r="F46" s="49"/>
      <c r="G46" s="49"/>
      <c r="H46" s="49"/>
      <c r="I46" s="18"/>
      <c r="J46" s="18"/>
      <c r="K46" s="18"/>
    </row>
    <row r="47" spans="1:11" x14ac:dyDescent="0.25">
      <c r="A47" s="18"/>
      <c r="B47" s="49"/>
      <c r="C47" s="49"/>
      <c r="D47" s="49"/>
      <c r="E47" s="49"/>
      <c r="F47" s="49"/>
      <c r="G47" s="49"/>
      <c r="H47" s="49"/>
      <c r="I47" s="18"/>
      <c r="J47" s="18"/>
      <c r="K47" s="18"/>
    </row>
    <row r="48" spans="1:11" x14ac:dyDescent="0.25">
      <c r="A48" s="18"/>
      <c r="B48" s="49"/>
      <c r="C48" s="185"/>
      <c r="D48" s="49"/>
      <c r="E48" s="49"/>
      <c r="F48" s="49"/>
      <c r="G48" s="49"/>
      <c r="H48" s="49"/>
      <c r="I48" s="18"/>
      <c r="J48" s="18"/>
      <c r="K48" s="18"/>
    </row>
    <row r="49" spans="1:11" x14ac:dyDescent="0.25">
      <c r="A49" s="18"/>
      <c r="B49" s="49"/>
      <c r="C49" s="185"/>
      <c r="D49" s="49"/>
      <c r="E49" s="49"/>
      <c r="F49" s="49"/>
      <c r="G49" s="49"/>
      <c r="H49" s="49"/>
      <c r="I49" s="18"/>
      <c r="J49" s="18"/>
      <c r="K49" s="18"/>
    </row>
    <row r="50" spans="1:11" x14ac:dyDescent="0.25">
      <c r="A50" s="18"/>
      <c r="B50" s="49"/>
      <c r="C50" s="49"/>
      <c r="D50" s="49"/>
      <c r="E50" s="49"/>
      <c r="F50" s="49"/>
      <c r="G50" s="49"/>
      <c r="H50" s="49"/>
      <c r="I50" s="18"/>
      <c r="J50" s="18"/>
      <c r="K50" s="18"/>
    </row>
    <row r="51" spans="1:11" x14ac:dyDescent="0.25">
      <c r="A51" s="18"/>
      <c r="B51" s="49"/>
      <c r="C51" s="185"/>
      <c r="D51" s="49"/>
      <c r="E51" s="49"/>
      <c r="F51" s="49"/>
      <c r="G51" s="49"/>
      <c r="H51" s="49"/>
      <c r="I51" s="18"/>
      <c r="J51" s="18"/>
      <c r="K51" s="18"/>
    </row>
    <row r="52" spans="1:11" x14ac:dyDescent="0.25">
      <c r="A52" s="18"/>
      <c r="B52" s="209"/>
      <c r="C52" s="185"/>
      <c r="D52" s="49"/>
      <c r="E52" s="49"/>
      <c r="F52" s="49"/>
      <c r="G52" s="49"/>
      <c r="H52" s="49"/>
      <c r="I52" s="18"/>
      <c r="J52" s="18"/>
      <c r="K52" s="18"/>
    </row>
    <row r="53" spans="1:11" x14ac:dyDescent="0.25">
      <c r="A53" s="18"/>
      <c r="B53" s="49"/>
      <c r="C53" s="210"/>
      <c r="D53" s="49"/>
      <c r="E53" s="49"/>
      <c r="F53" s="49"/>
      <c r="G53" s="49"/>
      <c r="H53" s="49"/>
      <c r="I53" s="18"/>
      <c r="J53" s="18"/>
      <c r="K53" s="18"/>
    </row>
    <row r="54" spans="1:11" x14ac:dyDescent="0.25">
      <c r="A54" s="18"/>
      <c r="B54" s="49"/>
      <c r="C54" s="210"/>
      <c r="D54" s="49"/>
      <c r="E54" s="49"/>
      <c r="F54" s="49"/>
      <c r="G54" s="49"/>
      <c r="H54" s="49"/>
      <c r="I54" s="18"/>
      <c r="J54" s="18"/>
      <c r="K54" s="18"/>
    </row>
    <row r="55" spans="1:11" x14ac:dyDescent="0.25">
      <c r="A55" s="18"/>
      <c r="B55" s="49"/>
      <c r="C55" s="185"/>
      <c r="D55" s="49"/>
      <c r="E55" s="49"/>
      <c r="F55" s="49"/>
      <c r="G55" s="49"/>
      <c r="H55" s="49"/>
      <c r="I55" s="18"/>
      <c r="J55" s="18"/>
      <c r="K55" s="18"/>
    </row>
    <row r="56" spans="1:11" x14ac:dyDescent="0.25">
      <c r="A56" s="18"/>
      <c r="B56" s="49"/>
      <c r="C56" s="185"/>
      <c r="D56" s="49"/>
      <c r="E56" s="49"/>
      <c r="F56" s="49"/>
      <c r="G56" s="49"/>
      <c r="H56" s="49"/>
      <c r="I56" s="18"/>
      <c r="J56" s="18"/>
      <c r="K56" s="18"/>
    </row>
    <row r="57" spans="1:11" x14ac:dyDescent="0.25">
      <c r="A57" s="18"/>
      <c r="B57" s="49"/>
      <c r="C57" s="185"/>
      <c r="D57" s="49"/>
      <c r="E57" s="49"/>
      <c r="F57" s="49"/>
      <c r="G57" s="49"/>
      <c r="H57" s="49"/>
      <c r="I57" s="18"/>
      <c r="J57" s="18"/>
      <c r="K57" s="18"/>
    </row>
    <row r="58" spans="1:11" x14ac:dyDescent="0.25">
      <c r="A58" s="18"/>
      <c r="B58" s="49"/>
      <c r="C58" s="185"/>
      <c r="D58" s="49"/>
      <c r="E58" s="49"/>
      <c r="F58" s="208"/>
      <c r="G58" s="208"/>
      <c r="H58" s="208"/>
      <c r="I58" s="18"/>
      <c r="J58" s="18"/>
      <c r="K58" s="18"/>
    </row>
    <row r="59" spans="1:11" x14ac:dyDescent="0.25">
      <c r="A59" s="18"/>
      <c r="B59" s="49"/>
      <c r="C59" s="185"/>
      <c r="D59" s="49"/>
      <c r="E59" s="49"/>
      <c r="F59" s="49"/>
      <c r="G59" s="49"/>
      <c r="H59" s="49"/>
      <c r="I59" s="18"/>
      <c r="J59" s="18"/>
      <c r="K59" s="18"/>
    </row>
    <row r="60" spans="1:11" x14ac:dyDescent="0.25">
      <c r="A60" s="18"/>
      <c r="B60" s="49"/>
      <c r="C60" s="49"/>
      <c r="D60" s="49"/>
      <c r="E60" s="49"/>
      <c r="F60" s="49"/>
      <c r="G60" s="49"/>
      <c r="H60" s="49"/>
      <c r="I60" s="18"/>
      <c r="J60" s="18"/>
      <c r="K60" s="18"/>
    </row>
    <row r="61" spans="1:11" x14ac:dyDescent="0.25">
      <c r="A61" s="18"/>
      <c r="B61" s="209"/>
      <c r="C61" s="185"/>
      <c r="D61" s="49"/>
      <c r="E61" s="49"/>
      <c r="F61" s="49"/>
      <c r="G61" s="49"/>
      <c r="H61" s="49"/>
      <c r="I61" s="18"/>
      <c r="J61" s="18"/>
      <c r="K61" s="18"/>
    </row>
    <row r="62" spans="1:11" x14ac:dyDescent="0.25">
      <c r="A62" s="18"/>
      <c r="B62" s="49"/>
      <c r="C62" s="185"/>
      <c r="D62" s="49"/>
      <c r="E62" s="49"/>
      <c r="F62" s="49"/>
      <c r="G62" s="49"/>
      <c r="H62" s="49"/>
      <c r="I62" s="18"/>
      <c r="J62" s="18"/>
      <c r="K62" s="18"/>
    </row>
    <row r="63" spans="1:11" x14ac:dyDescent="0.25">
      <c r="A63" s="18"/>
      <c r="B63" s="49"/>
      <c r="C63" s="185"/>
      <c r="D63" s="49"/>
      <c r="E63" s="49"/>
      <c r="F63" s="49"/>
      <c r="G63" s="49"/>
      <c r="H63" s="49"/>
      <c r="I63" s="18"/>
      <c r="J63" s="18"/>
      <c r="K63" s="18"/>
    </row>
    <row r="64" spans="1:11" x14ac:dyDescent="0.25">
      <c r="A64" s="18"/>
      <c r="B64" s="49"/>
      <c r="C64" s="185"/>
      <c r="D64" s="49"/>
      <c r="E64" s="49"/>
      <c r="F64" s="49"/>
      <c r="G64" s="49"/>
      <c r="H64" s="49"/>
      <c r="I64" s="18"/>
      <c r="J64" s="18"/>
      <c r="K64" s="18"/>
    </row>
    <row r="65" spans="1:11" x14ac:dyDescent="0.25">
      <c r="A65" s="18"/>
      <c r="B65" s="49"/>
      <c r="C65" s="185"/>
      <c r="D65" s="49"/>
      <c r="E65" s="49"/>
      <c r="F65" s="49"/>
      <c r="G65" s="49"/>
      <c r="H65" s="49"/>
      <c r="I65" s="18"/>
      <c r="J65" s="18"/>
      <c r="K65" s="18"/>
    </row>
    <row r="66" spans="1:11" x14ac:dyDescent="0.25">
      <c r="A66" s="18"/>
      <c r="B66" s="49"/>
      <c r="C66" s="185"/>
      <c r="D66" s="49"/>
      <c r="E66" s="49"/>
      <c r="F66" s="49"/>
      <c r="G66" s="49"/>
      <c r="H66" s="49"/>
      <c r="I66" s="18"/>
      <c r="J66" s="18"/>
      <c r="K66" s="18"/>
    </row>
    <row r="67" spans="1:11" x14ac:dyDescent="0.25">
      <c r="A67" s="18"/>
      <c r="B67" s="49"/>
      <c r="C67" s="185"/>
      <c r="D67" s="49"/>
      <c r="E67" s="49"/>
      <c r="F67" s="49"/>
      <c r="G67" s="49"/>
      <c r="H67" s="49"/>
      <c r="I67" s="18"/>
      <c r="J67" s="18"/>
      <c r="K67" s="18"/>
    </row>
    <row r="68" spans="1:11" x14ac:dyDescent="0.25">
      <c r="A68" s="18"/>
      <c r="B68" s="49"/>
      <c r="C68" s="185"/>
      <c r="D68" s="49"/>
      <c r="E68" s="49"/>
      <c r="F68" s="49"/>
      <c r="G68" s="49"/>
      <c r="H68" s="49"/>
      <c r="I68" s="18"/>
      <c r="J68" s="18"/>
      <c r="K68" s="18"/>
    </row>
    <row r="69" spans="1:11" x14ac:dyDescent="0.25">
      <c r="A69" s="18"/>
      <c r="B69" s="49"/>
      <c r="C69" s="185"/>
      <c r="D69" s="49"/>
      <c r="E69" s="49"/>
      <c r="F69" s="49"/>
      <c r="G69" s="49"/>
      <c r="H69" s="49"/>
      <c r="I69" s="18"/>
      <c r="J69" s="18"/>
      <c r="K69" s="18"/>
    </row>
    <row r="70" spans="1:11" x14ac:dyDescent="0.25">
      <c r="A70" s="18"/>
      <c r="B70" s="49"/>
      <c r="C70" s="185"/>
      <c r="D70" s="49"/>
      <c r="E70" s="49"/>
      <c r="F70" s="49"/>
      <c r="G70" s="49"/>
      <c r="H70" s="49"/>
      <c r="I70" s="18"/>
      <c r="J70" s="18"/>
      <c r="K70" s="18"/>
    </row>
    <row r="71" spans="1:11" x14ac:dyDescent="0.25">
      <c r="A71" s="18"/>
      <c r="B71" s="49"/>
      <c r="C71" s="185"/>
      <c r="D71" s="49"/>
      <c r="E71" s="49"/>
      <c r="F71" s="49"/>
      <c r="G71" s="49"/>
      <c r="H71" s="49"/>
      <c r="I71" s="18"/>
      <c r="J71" s="18"/>
      <c r="K71" s="18"/>
    </row>
    <row r="72" spans="1:11" x14ac:dyDescent="0.25">
      <c r="A72" s="18"/>
      <c r="B72" s="209"/>
      <c r="C72" s="185"/>
      <c r="D72" s="49"/>
      <c r="E72" s="49"/>
      <c r="F72" s="49"/>
      <c r="G72" s="49"/>
      <c r="H72" s="49"/>
      <c r="I72" s="18"/>
      <c r="J72" s="18"/>
      <c r="K72" s="18"/>
    </row>
    <row r="73" spans="1:11" x14ac:dyDescent="0.25">
      <c r="A73" s="18"/>
      <c r="B73" s="49"/>
      <c r="C73" s="185"/>
      <c r="D73" s="49"/>
      <c r="E73" s="49"/>
      <c r="F73" s="49"/>
      <c r="G73" s="49"/>
      <c r="H73" s="49"/>
      <c r="I73" s="18"/>
      <c r="J73" s="18"/>
      <c r="K73" s="18"/>
    </row>
    <row r="74" spans="1:11" x14ac:dyDescent="0.25">
      <c r="A74" s="18"/>
      <c r="B74" s="49"/>
      <c r="C74" s="185"/>
      <c r="D74" s="49"/>
      <c r="E74" s="49"/>
      <c r="F74" s="49"/>
      <c r="G74" s="49"/>
      <c r="H74" s="49"/>
      <c r="I74" s="18"/>
      <c r="J74" s="18"/>
      <c r="K74" s="18"/>
    </row>
    <row r="75" spans="1:11" x14ac:dyDescent="0.25">
      <c r="A75" s="18"/>
      <c r="B75" s="49"/>
      <c r="C75" s="185"/>
      <c r="D75" s="49"/>
      <c r="E75" s="49"/>
      <c r="F75" s="49"/>
      <c r="G75" s="49"/>
      <c r="H75" s="49"/>
      <c r="I75" s="18"/>
      <c r="J75" s="18"/>
      <c r="K75" s="18"/>
    </row>
    <row r="76" spans="1:11" x14ac:dyDescent="0.25">
      <c r="A76" s="18"/>
      <c r="B76" s="49"/>
      <c r="C76" s="185"/>
      <c r="D76" s="49"/>
      <c r="E76" s="49"/>
      <c r="F76" s="49"/>
      <c r="G76" s="49"/>
      <c r="H76" s="49"/>
      <c r="I76" s="18"/>
      <c r="J76" s="18"/>
      <c r="K76" s="18"/>
    </row>
    <row r="77" spans="1:11" x14ac:dyDescent="0.25">
      <c r="A77" s="18"/>
      <c r="B77" s="49"/>
      <c r="C77" s="185"/>
      <c r="D77" s="49"/>
      <c r="E77" s="49"/>
      <c r="F77" s="49"/>
      <c r="G77" s="49"/>
      <c r="H77" s="49"/>
      <c r="I77" s="18"/>
      <c r="J77" s="18"/>
      <c r="K77" s="18"/>
    </row>
    <row r="78" spans="1:11" x14ac:dyDescent="0.25">
      <c r="A78" s="18"/>
      <c r="B78" s="49"/>
      <c r="C78" s="185"/>
      <c r="D78" s="49"/>
      <c r="E78" s="49"/>
      <c r="F78" s="49"/>
      <c r="G78" s="49"/>
      <c r="H78" s="49"/>
      <c r="I78" s="18"/>
      <c r="J78" s="18"/>
      <c r="K78" s="18"/>
    </row>
    <row r="79" spans="1:11" x14ac:dyDescent="0.25">
      <c r="A79" s="18"/>
      <c r="B79" s="49"/>
      <c r="C79" s="185"/>
      <c r="D79" s="49"/>
      <c r="E79" s="49"/>
      <c r="F79" s="49"/>
      <c r="G79" s="49"/>
      <c r="H79" s="49"/>
      <c r="I79" s="18"/>
      <c r="J79" s="18"/>
      <c r="K79" s="18"/>
    </row>
    <row r="80" spans="1:11" x14ac:dyDescent="0.25">
      <c r="A80" s="18"/>
      <c r="B80" s="49"/>
      <c r="C80" s="185"/>
      <c r="D80" s="49"/>
      <c r="E80" s="49"/>
      <c r="F80" s="49"/>
      <c r="G80" s="49"/>
      <c r="H80" s="49"/>
      <c r="I80" s="18"/>
      <c r="J80" s="18"/>
      <c r="K80" s="18"/>
    </row>
    <row r="81" spans="1:11" x14ac:dyDescent="0.25">
      <c r="A81" s="18"/>
      <c r="B81" s="49"/>
      <c r="C81" s="49"/>
      <c r="D81" s="49"/>
      <c r="E81" s="49"/>
      <c r="F81" s="208"/>
      <c r="G81" s="208"/>
      <c r="H81" s="208"/>
      <c r="I81" s="18"/>
      <c r="J81" s="18"/>
      <c r="K81" s="18"/>
    </row>
    <row r="82" spans="1:11" x14ac:dyDescent="0.25">
      <c r="A82" s="18"/>
      <c r="B82" s="49"/>
      <c r="C82" s="49"/>
      <c r="D82" s="49"/>
      <c r="E82" s="49"/>
      <c r="F82" s="205"/>
      <c r="G82" s="205"/>
      <c r="H82" s="205"/>
      <c r="I82" s="18"/>
      <c r="J82" s="18"/>
      <c r="K82" s="18"/>
    </row>
    <row r="83" spans="1:11" x14ac:dyDescent="0.25">
      <c r="A83" s="18"/>
      <c r="B83" s="840"/>
      <c r="C83" s="840"/>
      <c r="D83" s="840"/>
      <c r="E83" s="840"/>
      <c r="F83" s="144"/>
      <c r="G83" s="144"/>
      <c r="H83" s="144"/>
      <c r="I83" s="18"/>
      <c r="J83" s="18"/>
      <c r="K83" s="18"/>
    </row>
    <row r="84" spans="1:11" x14ac:dyDescent="0.25">
      <c r="A84" s="18"/>
      <c r="B84" s="49"/>
      <c r="C84" s="49"/>
      <c r="D84" s="49"/>
      <c r="E84" s="49"/>
      <c r="F84" s="49"/>
      <c r="G84" s="49"/>
      <c r="H84" s="49"/>
      <c r="I84" s="18"/>
      <c r="J84" s="18"/>
      <c r="K84" s="18"/>
    </row>
    <row r="85" spans="1:11" x14ac:dyDescent="0.25">
      <c r="A85" s="18"/>
      <c r="B85" s="49"/>
      <c r="C85" s="185"/>
      <c r="D85" s="49"/>
      <c r="E85" s="49"/>
      <c r="F85" s="49"/>
      <c r="G85" s="49"/>
      <c r="H85" s="49"/>
      <c r="I85" s="18"/>
      <c r="J85" s="18"/>
      <c r="K85" s="18"/>
    </row>
    <row r="86" spans="1:11" x14ac:dyDescent="0.25">
      <c r="A86" s="18"/>
      <c r="B86" s="49"/>
      <c r="C86" s="185"/>
      <c r="D86" s="49"/>
      <c r="E86" s="49"/>
      <c r="F86" s="49"/>
      <c r="G86" s="49"/>
      <c r="H86" s="49"/>
      <c r="I86" s="18"/>
      <c r="J86" s="18"/>
      <c r="K86" s="18"/>
    </row>
    <row r="87" spans="1:11" x14ac:dyDescent="0.25">
      <c r="A87" s="18"/>
      <c r="B87" s="49"/>
      <c r="C87" s="207"/>
      <c r="D87" s="49"/>
      <c r="E87" s="49"/>
      <c r="F87" s="49"/>
      <c r="G87" s="49"/>
      <c r="H87" s="49"/>
      <c r="I87" s="18"/>
      <c r="J87" s="18"/>
      <c r="K87" s="18"/>
    </row>
    <row r="88" spans="1:11" x14ac:dyDescent="0.25">
      <c r="A88" s="18"/>
      <c r="B88" s="49"/>
      <c r="C88" s="185"/>
      <c r="D88" s="49"/>
      <c r="E88" s="49"/>
      <c r="F88" s="49"/>
      <c r="G88" s="49"/>
      <c r="H88" s="49"/>
      <c r="I88" s="18"/>
      <c r="J88" s="18"/>
      <c r="K88" s="18"/>
    </row>
    <row r="89" spans="1:11" x14ac:dyDescent="0.25">
      <c r="A89" s="18"/>
      <c r="B89" s="49"/>
      <c r="C89" s="206"/>
      <c r="D89" s="49"/>
      <c r="E89" s="49"/>
      <c r="F89" s="49"/>
      <c r="G89" s="49"/>
      <c r="H89" s="49"/>
      <c r="I89" s="18"/>
      <c r="J89" s="18"/>
      <c r="K89" s="18"/>
    </row>
    <row r="90" spans="1:11" x14ac:dyDescent="0.25">
      <c r="A90" s="18"/>
      <c r="B90" s="49"/>
      <c r="C90" s="185"/>
      <c r="D90" s="49"/>
      <c r="E90" s="49"/>
      <c r="F90" s="49"/>
      <c r="G90" s="49"/>
      <c r="H90" s="49"/>
      <c r="I90" s="18"/>
      <c r="J90" s="18"/>
      <c r="K90" s="18"/>
    </row>
    <row r="91" spans="1:11" x14ac:dyDescent="0.25">
      <c r="A91" s="18"/>
      <c r="B91" s="49"/>
      <c r="C91" s="185"/>
      <c r="D91" s="49"/>
      <c r="E91" s="49"/>
      <c r="F91" s="49"/>
      <c r="G91" s="49"/>
      <c r="H91" s="49"/>
      <c r="I91" s="18"/>
      <c r="J91" s="18"/>
      <c r="K91" s="18"/>
    </row>
    <row r="92" spans="1:11" x14ac:dyDescent="0.25">
      <c r="A92" s="18"/>
      <c r="B92" s="49"/>
      <c r="C92" s="49"/>
      <c r="D92" s="49"/>
      <c r="E92" s="49"/>
      <c r="F92" s="205"/>
      <c r="G92" s="205"/>
      <c r="H92" s="205"/>
      <c r="I92" s="18"/>
      <c r="J92" s="18"/>
      <c r="K92" s="18"/>
    </row>
    <row r="93" spans="1:11" x14ac:dyDescent="0.25">
      <c r="A93" s="18"/>
      <c r="B93" s="840"/>
      <c r="C93" s="840"/>
      <c r="D93" s="840"/>
      <c r="E93" s="840"/>
      <c r="F93" s="144"/>
      <c r="G93" s="144"/>
      <c r="H93" s="144"/>
      <c r="I93" s="18"/>
      <c r="J93" s="18"/>
      <c r="K93" s="18"/>
    </row>
    <row r="94" spans="1:11" x14ac:dyDescent="0.25">
      <c r="A94" s="18"/>
      <c r="B94" s="49"/>
      <c r="C94" s="144"/>
      <c r="D94" s="49"/>
      <c r="E94" s="49"/>
      <c r="F94" s="49"/>
      <c r="G94" s="49"/>
      <c r="H94" s="49"/>
      <c r="I94" s="18"/>
      <c r="J94" s="18"/>
      <c r="K94" s="18"/>
    </row>
    <row r="95" spans="1:11" x14ac:dyDescent="0.25">
      <c r="A95" s="18"/>
      <c r="B95" s="49"/>
      <c r="C95" s="49"/>
      <c r="D95" s="49"/>
      <c r="E95" s="49"/>
      <c r="F95" s="49"/>
      <c r="G95" s="49"/>
      <c r="H95" s="49"/>
      <c r="I95" s="18"/>
      <c r="J95" s="18"/>
      <c r="K95" s="18"/>
    </row>
    <row r="96" spans="1:11" x14ac:dyDescent="0.25">
      <c r="A96" s="18"/>
      <c r="B96" s="49"/>
      <c r="C96" s="197"/>
      <c r="D96" s="49"/>
      <c r="E96" s="49"/>
      <c r="F96" s="49"/>
      <c r="G96" s="49"/>
      <c r="H96" s="49"/>
      <c r="I96" s="18"/>
      <c r="J96" s="18"/>
      <c r="K96" s="18"/>
    </row>
    <row r="97" spans="1:11" x14ac:dyDescent="0.25">
      <c r="A97" s="18"/>
      <c r="B97" s="49"/>
      <c r="C97" s="197"/>
      <c r="D97" s="49"/>
      <c r="E97" s="49"/>
      <c r="F97" s="49"/>
      <c r="G97" s="49"/>
      <c r="H97" s="49"/>
      <c r="I97" s="18"/>
      <c r="J97" s="18"/>
      <c r="K97" s="18"/>
    </row>
    <row r="98" spans="1:11" x14ac:dyDescent="0.25">
      <c r="A98" s="18"/>
      <c r="B98" s="49"/>
      <c r="C98" s="199"/>
      <c r="D98" s="49"/>
      <c r="E98" s="49"/>
      <c r="F98" s="199"/>
      <c r="G98" s="194"/>
      <c r="H98" s="49"/>
      <c r="I98" s="18"/>
      <c r="J98" s="18"/>
      <c r="K98" s="18"/>
    </row>
    <row r="99" spans="1:11" x14ac:dyDescent="0.25">
      <c r="A99" s="18"/>
      <c r="B99" s="49"/>
      <c r="C99" s="199"/>
      <c r="D99" s="49"/>
      <c r="E99" s="49"/>
      <c r="F99" s="49"/>
      <c r="G99" s="49"/>
      <c r="H99" s="49"/>
      <c r="I99" s="18"/>
      <c r="J99" s="18"/>
      <c r="K99" s="18"/>
    </row>
    <row r="100" spans="1:11" x14ac:dyDescent="0.25">
      <c r="A100" s="18"/>
      <c r="B100" s="49"/>
      <c r="C100" s="49"/>
      <c r="D100" s="49"/>
      <c r="E100" s="49"/>
      <c r="F100" s="49"/>
      <c r="G100" s="49"/>
      <c r="H100" s="49"/>
      <c r="I100" s="18"/>
      <c r="J100" s="18"/>
      <c r="K100" s="18"/>
    </row>
    <row r="101" spans="1:11" x14ac:dyDescent="0.25">
      <c r="A101" s="18"/>
      <c r="B101" s="49"/>
      <c r="C101" s="49"/>
      <c r="D101" s="49"/>
      <c r="E101" s="49"/>
      <c r="F101" s="49"/>
      <c r="G101" s="49"/>
      <c r="H101" s="49"/>
      <c r="I101" s="18"/>
      <c r="J101" s="18"/>
      <c r="K101" s="18"/>
    </row>
    <row r="102" spans="1:11" x14ac:dyDescent="0.25">
      <c r="A102" s="18"/>
      <c r="B102" s="49"/>
      <c r="C102" s="199"/>
      <c r="D102" s="49"/>
      <c r="E102" s="49"/>
      <c r="F102" s="49"/>
      <c r="G102" s="49"/>
      <c r="H102" s="49"/>
      <c r="I102" s="18"/>
      <c r="J102" s="18"/>
      <c r="K102" s="18"/>
    </row>
    <row r="103" spans="1:11" x14ac:dyDescent="0.25">
      <c r="A103" s="18"/>
      <c r="B103" s="49"/>
      <c r="C103" s="199"/>
      <c r="D103" s="49"/>
      <c r="E103" s="49"/>
      <c r="F103" s="49"/>
      <c r="G103" s="49"/>
      <c r="H103" s="49"/>
      <c r="I103" s="18"/>
      <c r="J103" s="18"/>
      <c r="K103" s="18"/>
    </row>
    <row r="104" spans="1:11" x14ac:dyDescent="0.25">
      <c r="A104" s="18"/>
      <c r="B104" s="49"/>
      <c r="C104" s="199"/>
      <c r="D104" s="49"/>
      <c r="E104" s="49"/>
      <c r="F104" s="49"/>
      <c r="G104" s="49"/>
      <c r="H104" s="49"/>
      <c r="I104" s="18"/>
      <c r="J104" s="18"/>
      <c r="K104" s="18"/>
    </row>
    <row r="105" spans="1:11" x14ac:dyDescent="0.25">
      <c r="A105" s="18"/>
      <c r="B105" s="49"/>
      <c r="C105" s="144"/>
      <c r="D105" s="49"/>
      <c r="E105" s="49"/>
      <c r="F105" s="49"/>
      <c r="G105" s="49"/>
      <c r="H105" s="49"/>
      <c r="I105" s="18"/>
      <c r="J105" s="18"/>
      <c r="K105" s="18"/>
    </row>
    <row r="106" spans="1:11" x14ac:dyDescent="0.25">
      <c r="A106" s="18"/>
      <c r="B106" s="49"/>
      <c r="C106" s="144"/>
      <c r="D106" s="49"/>
      <c r="E106" s="49"/>
      <c r="F106" s="49"/>
      <c r="G106" s="49"/>
      <c r="H106" s="49"/>
      <c r="I106" s="18"/>
      <c r="J106" s="18"/>
      <c r="K106" s="18"/>
    </row>
    <row r="107" spans="1:11" x14ac:dyDescent="0.25">
      <c r="A107" s="18"/>
      <c r="B107" s="49"/>
      <c r="C107" s="144"/>
      <c r="D107" s="49"/>
      <c r="E107" s="49"/>
      <c r="F107" s="49"/>
      <c r="G107" s="49"/>
      <c r="H107" s="49"/>
      <c r="I107" s="18"/>
      <c r="J107" s="18"/>
      <c r="K107" s="18"/>
    </row>
    <row r="108" spans="1:11" x14ac:dyDescent="0.25">
      <c r="A108" s="18"/>
      <c r="B108" s="49"/>
      <c r="C108" s="144"/>
      <c r="D108" s="49"/>
      <c r="E108" s="49"/>
      <c r="F108" s="49"/>
      <c r="G108" s="49"/>
      <c r="H108" s="49"/>
      <c r="I108" s="18"/>
      <c r="J108" s="18"/>
      <c r="K108" s="18"/>
    </row>
    <row r="109" spans="1:11" x14ac:dyDescent="0.25">
      <c r="A109" s="18"/>
      <c r="B109" s="49"/>
      <c r="C109" s="49"/>
      <c r="D109" s="49"/>
      <c r="E109" s="49"/>
      <c r="F109" s="49"/>
      <c r="G109" s="49"/>
      <c r="H109" s="49"/>
      <c r="I109" s="18"/>
      <c r="J109" s="18"/>
      <c r="K109" s="18"/>
    </row>
    <row r="110" spans="1:11" x14ac:dyDescent="0.25">
      <c r="A110" s="18"/>
      <c r="B110" s="840"/>
      <c r="C110" s="840"/>
      <c r="D110" s="840"/>
      <c r="E110" s="840"/>
      <c r="F110" s="205"/>
      <c r="G110" s="205"/>
      <c r="H110" s="205"/>
      <c r="I110" s="198"/>
      <c r="J110" s="18"/>
      <c r="K110" s="18"/>
    </row>
    <row r="111" spans="1:11" x14ac:dyDescent="0.25">
      <c r="A111" s="18"/>
      <c r="B111" s="49"/>
      <c r="C111" s="49"/>
      <c r="D111" s="49"/>
      <c r="E111" s="49"/>
      <c r="F111" s="144"/>
      <c r="G111" s="144"/>
      <c r="H111" s="144"/>
      <c r="I111" s="198"/>
      <c r="J111" s="18"/>
      <c r="K111" s="18"/>
    </row>
    <row r="112" spans="1:11" x14ac:dyDescent="0.25">
      <c r="A112" s="18"/>
      <c r="B112" s="49"/>
      <c r="C112" s="49"/>
      <c r="D112" s="49"/>
      <c r="E112" s="49"/>
      <c r="F112" s="49"/>
      <c r="G112" s="49"/>
      <c r="H112" s="49"/>
      <c r="I112" s="198"/>
      <c r="J112" s="18"/>
      <c r="K112" s="18"/>
    </row>
    <row r="113" spans="1:11" x14ac:dyDescent="0.25">
      <c r="A113" s="18"/>
      <c r="B113" s="204"/>
      <c r="C113" s="49"/>
      <c r="D113" s="49"/>
      <c r="E113" s="49"/>
      <c r="F113" s="49"/>
      <c r="G113" s="49"/>
      <c r="H113" s="49"/>
      <c r="I113" s="203"/>
      <c r="J113" s="18"/>
      <c r="K113" s="18"/>
    </row>
    <row r="114" spans="1:11" x14ac:dyDescent="0.25">
      <c r="A114" s="18"/>
      <c r="B114" s="194"/>
      <c r="C114" s="49"/>
      <c r="D114" s="194"/>
      <c r="E114" s="49"/>
      <c r="F114" s="49"/>
      <c r="G114" s="49"/>
      <c r="H114" s="49"/>
      <c r="I114" s="198"/>
      <c r="J114" s="18"/>
      <c r="K114" s="18"/>
    </row>
    <row r="115" spans="1:11" x14ac:dyDescent="0.25">
      <c r="A115" s="18"/>
      <c r="B115" s="194"/>
      <c r="C115" s="49"/>
      <c r="D115" s="194"/>
      <c r="E115" s="49"/>
      <c r="F115" s="49"/>
      <c r="G115" s="49"/>
      <c r="H115" s="49"/>
      <c r="I115" s="198"/>
      <c r="J115" s="18"/>
      <c r="K115" s="18"/>
    </row>
    <row r="116" spans="1:11" x14ac:dyDescent="0.25">
      <c r="A116" s="18"/>
      <c r="B116" s="200"/>
      <c r="C116" s="202"/>
      <c r="D116" s="49"/>
      <c r="E116" s="49"/>
      <c r="F116" s="49"/>
      <c r="G116" s="49"/>
      <c r="H116" s="49"/>
      <c r="I116" s="198"/>
      <c r="J116" s="18"/>
      <c r="K116" s="18"/>
    </row>
    <row r="117" spans="1:11" x14ac:dyDescent="0.25">
      <c r="A117" s="18"/>
      <c r="B117" s="200"/>
      <c r="C117" s="144"/>
      <c r="D117" s="194"/>
      <c r="E117" s="49"/>
      <c r="F117" s="49"/>
      <c r="G117" s="49"/>
      <c r="H117" s="49"/>
      <c r="I117" s="198"/>
      <c r="J117" s="18"/>
      <c r="K117" s="18"/>
    </row>
    <row r="118" spans="1:11" x14ac:dyDescent="0.25">
      <c r="A118" s="18"/>
      <c r="B118" s="200"/>
      <c r="C118" s="144"/>
      <c r="D118" s="194"/>
      <c r="E118" s="49"/>
      <c r="F118" s="49"/>
      <c r="G118" s="49"/>
      <c r="H118" s="49"/>
      <c r="I118" s="198"/>
      <c r="J118" s="18"/>
      <c r="K118" s="18"/>
    </row>
    <row r="119" spans="1:11" x14ac:dyDescent="0.25">
      <c r="A119" s="18"/>
      <c r="B119" s="200"/>
      <c r="C119" s="201"/>
      <c r="D119" s="194"/>
      <c r="E119" s="49"/>
      <c r="F119" s="49"/>
      <c r="G119" s="49"/>
      <c r="H119" s="49"/>
      <c r="I119" s="198"/>
      <c r="J119" s="18"/>
      <c r="K119" s="18"/>
    </row>
    <row r="120" spans="1:11" x14ac:dyDescent="0.25">
      <c r="A120" s="18"/>
      <c r="B120" s="200"/>
      <c r="C120" s="199"/>
      <c r="D120" s="194"/>
      <c r="E120" s="49"/>
      <c r="F120" s="49"/>
      <c r="G120" s="49"/>
      <c r="H120" s="49"/>
      <c r="I120" s="198"/>
      <c r="J120" s="18"/>
      <c r="K120" s="18"/>
    </row>
    <row r="121" spans="1:11" x14ac:dyDescent="0.25">
      <c r="A121" s="18"/>
      <c r="B121" s="194"/>
      <c r="C121" s="197"/>
      <c r="D121" s="49"/>
      <c r="E121" s="194"/>
      <c r="F121" s="49"/>
      <c r="G121" s="49"/>
      <c r="H121" s="49"/>
      <c r="I121" s="198"/>
      <c r="J121" s="18"/>
      <c r="K121" s="18"/>
    </row>
    <row r="122" spans="1:11" x14ac:dyDescent="0.25">
      <c r="A122" s="18"/>
      <c r="B122" s="194"/>
      <c r="C122" s="197"/>
      <c r="D122" s="49"/>
      <c r="E122" s="194"/>
      <c r="F122" s="49"/>
      <c r="G122" s="49"/>
      <c r="H122" s="49"/>
      <c r="I122" s="18"/>
      <c r="J122" s="18"/>
      <c r="K122" s="18"/>
    </row>
    <row r="123" spans="1:11" x14ac:dyDescent="0.25">
      <c r="A123" s="18"/>
      <c r="B123" s="194"/>
      <c r="C123" s="144"/>
      <c r="D123" s="194"/>
      <c r="E123" s="49"/>
      <c r="F123" s="49"/>
      <c r="G123" s="49"/>
      <c r="H123" s="49"/>
      <c r="I123" s="18"/>
      <c r="J123" s="18"/>
      <c r="K123" s="18"/>
    </row>
    <row r="124" spans="1:11" x14ac:dyDescent="0.25">
      <c r="A124" s="18"/>
      <c r="B124" s="194"/>
      <c r="C124" s="144"/>
      <c r="D124" s="194"/>
      <c r="E124" s="49"/>
      <c r="F124" s="49"/>
      <c r="G124" s="49"/>
      <c r="H124" s="49"/>
      <c r="I124" s="196"/>
      <c r="J124" s="18"/>
      <c r="K124" s="18"/>
    </row>
    <row r="125" spans="1:11" x14ac:dyDescent="0.25">
      <c r="A125" s="18"/>
      <c r="B125" s="49"/>
      <c r="C125" s="49"/>
      <c r="D125" s="49"/>
      <c r="E125" s="49"/>
      <c r="F125" s="49"/>
      <c r="G125" s="49"/>
      <c r="H125" s="49"/>
      <c r="I125" s="18"/>
      <c r="J125" s="18"/>
      <c r="K125" s="18"/>
    </row>
    <row r="126" spans="1:11" x14ac:dyDescent="0.25">
      <c r="A126" s="18"/>
      <c r="B126" s="839"/>
      <c r="C126" s="839"/>
      <c r="D126" s="839"/>
      <c r="E126" s="839"/>
      <c r="F126" s="195"/>
      <c r="G126" s="49"/>
      <c r="H126" s="49"/>
      <c r="I126" s="18"/>
      <c r="J126" s="18"/>
      <c r="K126" s="18"/>
    </row>
    <row r="127" spans="1:11" x14ac:dyDescent="0.25">
      <c r="A127" s="18"/>
      <c r="B127" s="49"/>
      <c r="C127" s="49"/>
      <c r="D127" s="49"/>
      <c r="E127" s="49"/>
      <c r="F127" s="144"/>
      <c r="G127" s="49"/>
      <c r="H127" s="49"/>
      <c r="I127" s="18"/>
      <c r="J127" s="18"/>
      <c r="K127" s="18"/>
    </row>
    <row r="128" spans="1:11" x14ac:dyDescent="0.25">
      <c r="A128" s="18"/>
      <c r="B128" s="194"/>
      <c r="C128" s="144"/>
      <c r="D128" s="194"/>
      <c r="E128" s="49"/>
      <c r="F128" s="49"/>
      <c r="G128" s="49"/>
      <c r="H128" s="49"/>
      <c r="I128" s="18"/>
      <c r="J128" s="18"/>
      <c r="K128" s="18"/>
    </row>
    <row r="129" spans="1:11" x14ac:dyDescent="0.25">
      <c r="A129" s="18"/>
      <c r="B129" s="194"/>
      <c r="C129" s="144"/>
      <c r="D129" s="194"/>
      <c r="E129" s="49"/>
      <c r="F129" s="49"/>
      <c r="G129" s="49"/>
      <c r="H129" s="49"/>
      <c r="I129" s="18"/>
      <c r="J129" s="18"/>
      <c r="K129" s="18"/>
    </row>
    <row r="130" spans="1:11" x14ac:dyDescent="0.25">
      <c r="A130" s="18"/>
      <c r="B130" s="49"/>
      <c r="C130" s="144"/>
      <c r="D130" s="194"/>
      <c r="E130" s="49"/>
      <c r="F130" s="49"/>
      <c r="G130" s="49"/>
      <c r="H130" s="49"/>
      <c r="I130" s="18"/>
      <c r="J130" s="18"/>
      <c r="K130" s="18"/>
    </row>
    <row r="131" spans="1:11" x14ac:dyDescent="0.25">
      <c r="A131" s="18"/>
      <c r="B131" s="49"/>
      <c r="C131" s="49"/>
      <c r="D131" s="49"/>
      <c r="E131" s="194"/>
      <c r="F131" s="49"/>
      <c r="G131" s="49"/>
      <c r="H131" s="49"/>
      <c r="I131" s="18"/>
      <c r="J131" s="18"/>
      <c r="K131" s="18"/>
    </row>
    <row r="132" spans="1:11" x14ac:dyDescent="0.25">
      <c r="A132" s="18"/>
      <c r="B132" s="49"/>
      <c r="C132" s="49"/>
      <c r="D132" s="49"/>
      <c r="E132" s="193"/>
      <c r="F132" s="49"/>
      <c r="G132" s="49"/>
      <c r="H132" s="49"/>
      <c r="I132" s="18"/>
      <c r="J132" s="18"/>
      <c r="K132" s="18"/>
    </row>
    <row r="133" spans="1:11" x14ac:dyDescent="0.25">
      <c r="A133" s="18"/>
      <c r="B133" s="49"/>
      <c r="C133" s="49"/>
      <c r="D133" s="49"/>
      <c r="E133" s="193"/>
      <c r="F133" s="49"/>
      <c r="G133" s="49"/>
      <c r="H133" s="49"/>
      <c r="I133" s="18"/>
      <c r="J133" s="18"/>
      <c r="K133" s="18"/>
    </row>
    <row r="134" spans="1:11" x14ac:dyDescent="0.25">
      <c r="A134" s="18"/>
      <c r="B134" s="49"/>
      <c r="C134" s="49"/>
      <c r="D134" s="49"/>
      <c r="E134" s="192"/>
      <c r="F134" s="191"/>
      <c r="G134" s="49"/>
      <c r="H134" s="49"/>
      <c r="I134" s="18"/>
      <c r="J134" s="18"/>
      <c r="K134" s="18"/>
    </row>
    <row r="135" spans="1:1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9"/>
  <sheetViews>
    <sheetView showGridLines="0" topLeftCell="B1" workbookViewId="0">
      <selection activeCell="B2" sqref="B2:H19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8" x14ac:dyDescent="0.25">
      <c r="B2" s="482" t="s">
        <v>522</v>
      </c>
      <c r="C2" s="482"/>
      <c r="D2" s="482"/>
      <c r="E2" s="482"/>
      <c r="F2" s="483" t="s">
        <v>10</v>
      </c>
      <c r="G2" s="483" t="s">
        <v>11</v>
      </c>
      <c r="H2" s="483" t="s">
        <v>24</v>
      </c>
    </row>
    <row r="3" spans="2:8" x14ac:dyDescent="0.25">
      <c r="B3" s="7"/>
      <c r="C3" s="7"/>
      <c r="D3" s="7"/>
      <c r="E3" s="7"/>
      <c r="F3" s="15" t="s">
        <v>2</v>
      </c>
      <c r="G3" s="15" t="s">
        <v>2</v>
      </c>
      <c r="H3" s="15" t="s">
        <v>2</v>
      </c>
    </row>
    <row r="4" spans="2:8" x14ac:dyDescent="0.25">
      <c r="B4" s="841" t="s">
        <v>521</v>
      </c>
      <c r="C4" s="841"/>
      <c r="D4" s="841"/>
      <c r="E4" s="841"/>
      <c r="F4" s="484">
        <f>C18</f>
        <v>544000</v>
      </c>
      <c r="G4" s="484">
        <f>C19</f>
        <v>630000</v>
      </c>
      <c r="H4" s="484">
        <f>F4+G4</f>
        <v>1174000</v>
      </c>
    </row>
    <row r="5" spans="2:8" x14ac:dyDescent="0.25">
      <c r="B5" s="7" t="s">
        <v>61</v>
      </c>
      <c r="C5" s="146">
        <f>20000/3</f>
        <v>6666.666666666667</v>
      </c>
      <c r="D5" s="7" t="s">
        <v>60</v>
      </c>
      <c r="E5" s="7"/>
      <c r="F5" s="7"/>
      <c r="G5" s="7"/>
      <c r="H5" s="7"/>
    </row>
    <row r="6" spans="2:8" x14ac:dyDescent="0.25">
      <c r="B6" s="7" t="s">
        <v>59</v>
      </c>
      <c r="C6" s="7">
        <v>80</v>
      </c>
      <c r="D6" s="7" t="s">
        <v>58</v>
      </c>
      <c r="E6" s="7"/>
      <c r="F6" s="164" t="s">
        <v>57</v>
      </c>
      <c r="G6" s="7"/>
      <c r="H6" s="7"/>
    </row>
    <row r="7" spans="2:8" x14ac:dyDescent="0.25">
      <c r="B7" s="7" t="s">
        <v>520</v>
      </c>
      <c r="C7" s="450">
        <f>(217*2)+(220/2)</f>
        <v>544</v>
      </c>
      <c r="D7" s="7" t="s">
        <v>55</v>
      </c>
      <c r="E7" s="7" t="s">
        <v>54</v>
      </c>
      <c r="F7" s="7"/>
      <c r="G7" s="7"/>
      <c r="H7" s="7"/>
    </row>
    <row r="8" spans="2:8" x14ac:dyDescent="0.25">
      <c r="B8" s="7" t="s">
        <v>519</v>
      </c>
      <c r="C8" s="450">
        <f>(260*2)+(220/2)</f>
        <v>630</v>
      </c>
      <c r="D8" s="7" t="s">
        <v>55</v>
      </c>
      <c r="E8" s="7" t="s">
        <v>54</v>
      </c>
      <c r="F8" s="485" t="s">
        <v>518</v>
      </c>
      <c r="G8" s="15"/>
      <c r="H8" s="7"/>
    </row>
    <row r="9" spans="2:8" x14ac:dyDescent="0.25">
      <c r="B9" s="7" t="s">
        <v>517</v>
      </c>
      <c r="C9" s="13">
        <f>C7/C6</f>
        <v>6.8</v>
      </c>
      <c r="D9" s="7" t="s">
        <v>51</v>
      </c>
      <c r="E9" s="7"/>
      <c r="F9" s="459">
        <f>C9+C10</f>
        <v>14.675000000000001</v>
      </c>
      <c r="G9" s="15">
        <f>F9*4</f>
        <v>58.7</v>
      </c>
      <c r="H9" s="7"/>
    </row>
    <row r="10" spans="2:8" x14ac:dyDescent="0.25">
      <c r="B10" s="7" t="s">
        <v>516</v>
      </c>
      <c r="C10" s="13">
        <f>C8/C6</f>
        <v>7.875</v>
      </c>
      <c r="D10" s="7" t="s">
        <v>51</v>
      </c>
      <c r="E10" s="7"/>
      <c r="F10" s="485" t="s">
        <v>515</v>
      </c>
      <c r="G10" s="485" t="s">
        <v>514</v>
      </c>
      <c r="H10" s="7"/>
    </row>
    <row r="11" spans="2:8" x14ac:dyDescent="0.25">
      <c r="B11" s="7" t="s">
        <v>513</v>
      </c>
      <c r="C11" s="7">
        <v>1</v>
      </c>
      <c r="D11" s="7" t="s">
        <v>49</v>
      </c>
      <c r="E11" s="7"/>
      <c r="F11" s="7"/>
      <c r="G11" s="7"/>
      <c r="H11" s="7"/>
    </row>
    <row r="12" spans="2:8" x14ac:dyDescent="0.25">
      <c r="B12" s="7" t="s">
        <v>512</v>
      </c>
      <c r="C12" s="7">
        <v>1</v>
      </c>
      <c r="D12" s="7" t="s">
        <v>49</v>
      </c>
      <c r="E12" s="7"/>
      <c r="F12" s="7"/>
      <c r="G12" s="7"/>
      <c r="H12" s="7"/>
    </row>
    <row r="13" spans="2:8" x14ac:dyDescent="0.25">
      <c r="B13" s="7" t="s">
        <v>48</v>
      </c>
      <c r="C13" s="486">
        <v>12</v>
      </c>
      <c r="D13" s="7" t="s">
        <v>47</v>
      </c>
      <c r="E13" s="7"/>
      <c r="F13" s="7"/>
      <c r="G13" s="7"/>
      <c r="H13" s="7"/>
    </row>
    <row r="14" spans="2:8" x14ac:dyDescent="0.25">
      <c r="B14" s="7" t="s">
        <v>511</v>
      </c>
      <c r="C14" s="486">
        <f>C11*C13</f>
        <v>12</v>
      </c>
      <c r="D14" s="7" t="s">
        <v>45</v>
      </c>
      <c r="E14" s="7"/>
      <c r="F14" s="7"/>
      <c r="G14" s="7"/>
      <c r="H14" s="7"/>
    </row>
    <row r="15" spans="2:8" x14ac:dyDescent="0.25">
      <c r="B15" s="7" t="s">
        <v>510</v>
      </c>
      <c r="C15" s="486">
        <f>C12*C13</f>
        <v>12</v>
      </c>
      <c r="D15" s="7" t="s">
        <v>45</v>
      </c>
      <c r="E15" s="7"/>
      <c r="F15" s="7"/>
      <c r="G15" s="7"/>
      <c r="H15" s="7"/>
    </row>
    <row r="16" spans="2:8" x14ac:dyDescent="0.25">
      <c r="B16" s="7" t="s">
        <v>509</v>
      </c>
      <c r="C16" s="146">
        <f>C9*C5</f>
        <v>45333.333333333336</v>
      </c>
      <c r="D16" s="7" t="s">
        <v>43</v>
      </c>
      <c r="E16" s="7"/>
      <c r="F16" s="7"/>
      <c r="G16" s="7"/>
      <c r="H16" s="7"/>
    </row>
    <row r="17" spans="1:8" x14ac:dyDescent="0.25">
      <c r="B17" s="7" t="s">
        <v>508</v>
      </c>
      <c r="C17" s="146">
        <f>C5*C10</f>
        <v>52500</v>
      </c>
      <c r="D17" s="7" t="s">
        <v>43</v>
      </c>
      <c r="E17" s="7"/>
      <c r="F17" s="7"/>
      <c r="G17" s="7"/>
      <c r="H17" s="7"/>
    </row>
    <row r="18" spans="1:8" x14ac:dyDescent="0.25">
      <c r="B18" s="7" t="s">
        <v>507</v>
      </c>
      <c r="C18" s="146">
        <f>C16*C14</f>
        <v>544000</v>
      </c>
      <c r="D18" s="7" t="s">
        <v>2</v>
      </c>
      <c r="E18" s="7"/>
      <c r="F18" s="7"/>
      <c r="G18" s="7"/>
      <c r="H18" s="7"/>
    </row>
    <row r="19" spans="1:8" x14ac:dyDescent="0.25">
      <c r="A19" s="19"/>
      <c r="B19" s="7" t="s">
        <v>506</v>
      </c>
      <c r="C19" s="146">
        <f>C17*C15</f>
        <v>630000</v>
      </c>
      <c r="D19" s="7" t="s">
        <v>2</v>
      </c>
      <c r="E19" s="7"/>
      <c r="F19" s="7"/>
      <c r="G19" s="7"/>
      <c r="H19" s="7"/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B1" sqref="B1:H1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15" t="s">
        <v>2</v>
      </c>
      <c r="G1" s="15" t="s">
        <v>2</v>
      </c>
      <c r="H1" s="15" t="s">
        <v>2</v>
      </c>
    </row>
    <row r="2" spans="2:8" x14ac:dyDescent="0.25">
      <c r="B2" s="841" t="s">
        <v>526</v>
      </c>
      <c r="C2" s="841"/>
      <c r="D2" s="841"/>
      <c r="E2" s="841"/>
      <c r="F2" s="484">
        <f>C16</f>
        <v>81600</v>
      </c>
      <c r="G2" s="484">
        <f>C17</f>
        <v>94500</v>
      </c>
      <c r="H2" s="484">
        <f>F2+G2</f>
        <v>176100</v>
      </c>
    </row>
    <row r="3" spans="2:8" x14ac:dyDescent="0.25">
      <c r="B3" s="7" t="s">
        <v>525</v>
      </c>
      <c r="C3" s="146">
        <f>3000/8</f>
        <v>375</v>
      </c>
      <c r="D3" s="7" t="s">
        <v>60</v>
      </c>
      <c r="E3" s="7"/>
      <c r="F3" s="7"/>
      <c r="G3" s="7"/>
      <c r="H3" s="7"/>
    </row>
    <row r="4" spans="2:8" x14ac:dyDescent="0.25">
      <c r="B4" s="7" t="s">
        <v>59</v>
      </c>
      <c r="C4" s="7">
        <v>30</v>
      </c>
      <c r="D4" s="7" t="s">
        <v>58</v>
      </c>
      <c r="E4" s="7"/>
      <c r="F4" s="7"/>
      <c r="G4" s="7"/>
      <c r="H4" s="7"/>
    </row>
    <row r="5" spans="2:8" x14ac:dyDescent="0.25">
      <c r="B5" s="7" t="s">
        <v>520</v>
      </c>
      <c r="C5" s="450">
        <f>(217*2)+(220/2)</f>
        <v>544</v>
      </c>
      <c r="D5" s="7" t="s">
        <v>55</v>
      </c>
      <c r="E5" s="7" t="s">
        <v>54</v>
      </c>
      <c r="F5" s="7"/>
      <c r="G5" s="7"/>
      <c r="H5" s="7"/>
    </row>
    <row r="6" spans="2:8" x14ac:dyDescent="0.25">
      <c r="B6" s="7" t="s">
        <v>519</v>
      </c>
      <c r="C6" s="450">
        <f>(260*2)+(220/2)</f>
        <v>630</v>
      </c>
      <c r="D6" s="7" t="s">
        <v>55</v>
      </c>
      <c r="E6" s="7" t="s">
        <v>54</v>
      </c>
      <c r="F6" s="7"/>
      <c r="G6" s="7"/>
      <c r="H6" s="7"/>
    </row>
    <row r="7" spans="2:8" x14ac:dyDescent="0.25">
      <c r="B7" s="7" t="s">
        <v>517</v>
      </c>
      <c r="C7" s="13">
        <f>C5/C4</f>
        <v>18.133333333333333</v>
      </c>
      <c r="D7" s="7" t="s">
        <v>51</v>
      </c>
      <c r="E7" s="7"/>
      <c r="F7" s="13">
        <f>C7+C8</f>
        <v>39.133333333333333</v>
      </c>
      <c r="G7" s="164" t="s">
        <v>524</v>
      </c>
      <c r="H7" s="7"/>
    </row>
    <row r="8" spans="2:8" x14ac:dyDescent="0.25">
      <c r="B8" s="7" t="s">
        <v>516</v>
      </c>
      <c r="C8" s="13">
        <f>C6/C4</f>
        <v>21</v>
      </c>
      <c r="D8" s="7" t="s">
        <v>51</v>
      </c>
      <c r="E8" s="7"/>
      <c r="F8" s="7"/>
      <c r="G8" s="7"/>
      <c r="H8" s="7"/>
    </row>
    <row r="9" spans="2:8" x14ac:dyDescent="0.25">
      <c r="B9" s="7" t="s">
        <v>513</v>
      </c>
      <c r="C9" s="7">
        <v>1</v>
      </c>
      <c r="D9" s="7" t="s">
        <v>49</v>
      </c>
      <c r="E9" s="7"/>
      <c r="F9" s="7"/>
      <c r="G9" s="7"/>
      <c r="H9" s="7"/>
    </row>
    <row r="10" spans="2:8" x14ac:dyDescent="0.25">
      <c r="B10" s="7" t="s">
        <v>512</v>
      </c>
      <c r="C10" s="7">
        <v>1</v>
      </c>
      <c r="D10" s="7" t="s">
        <v>49</v>
      </c>
      <c r="E10" s="7"/>
      <c r="F10" s="7"/>
      <c r="G10" s="7"/>
      <c r="H10" s="7"/>
    </row>
    <row r="11" spans="2:8" x14ac:dyDescent="0.25">
      <c r="B11" s="7" t="s">
        <v>523</v>
      </c>
      <c r="C11" s="486">
        <v>12</v>
      </c>
      <c r="D11" s="7" t="s">
        <v>47</v>
      </c>
      <c r="E11" s="7"/>
      <c r="F11" s="7"/>
      <c r="G11" s="7"/>
      <c r="H11" s="7"/>
    </row>
    <row r="12" spans="2:8" x14ac:dyDescent="0.25">
      <c r="B12" s="7" t="s">
        <v>511</v>
      </c>
      <c r="C12" s="13">
        <f>C9*C11</f>
        <v>12</v>
      </c>
      <c r="D12" s="7" t="s">
        <v>45</v>
      </c>
      <c r="E12" s="7"/>
      <c r="F12" s="7"/>
      <c r="G12" s="7"/>
      <c r="H12" s="7"/>
    </row>
    <row r="13" spans="2:8" x14ac:dyDescent="0.25">
      <c r="B13" s="7" t="s">
        <v>510</v>
      </c>
      <c r="C13" s="13">
        <f>C10*C11</f>
        <v>12</v>
      </c>
      <c r="D13" s="7" t="s">
        <v>45</v>
      </c>
      <c r="E13" s="7"/>
      <c r="F13" s="7"/>
      <c r="G13" s="7"/>
      <c r="H13" s="7"/>
    </row>
    <row r="14" spans="2:8" x14ac:dyDescent="0.25">
      <c r="B14" s="7" t="s">
        <v>509</v>
      </c>
      <c r="C14" s="146">
        <f>C7*C3</f>
        <v>6800</v>
      </c>
      <c r="D14" s="7" t="s">
        <v>43</v>
      </c>
      <c r="E14" s="7"/>
      <c r="F14" s="7"/>
      <c r="G14" s="7"/>
      <c r="H14" s="7"/>
    </row>
    <row r="15" spans="2:8" x14ac:dyDescent="0.25">
      <c r="B15" s="7" t="s">
        <v>508</v>
      </c>
      <c r="C15" s="146">
        <f>C3*C8</f>
        <v>7875</v>
      </c>
      <c r="D15" s="7" t="s">
        <v>43</v>
      </c>
      <c r="E15" s="7"/>
      <c r="F15" s="7"/>
      <c r="G15" s="7"/>
      <c r="H15" s="7"/>
    </row>
    <row r="16" spans="2:8" x14ac:dyDescent="0.25">
      <c r="B16" s="7" t="s">
        <v>507</v>
      </c>
      <c r="C16" s="146">
        <f>C14*C12</f>
        <v>81600</v>
      </c>
      <c r="D16" s="7" t="s">
        <v>2</v>
      </c>
      <c r="E16" s="7"/>
      <c r="F16" s="7"/>
      <c r="G16" s="7"/>
      <c r="H16" s="7"/>
    </row>
    <row r="17" spans="2:8" x14ac:dyDescent="0.25">
      <c r="B17" s="7" t="s">
        <v>506</v>
      </c>
      <c r="C17" s="146">
        <f>C15*C13</f>
        <v>94500</v>
      </c>
      <c r="D17" s="7" t="s">
        <v>2</v>
      </c>
      <c r="E17" s="7"/>
      <c r="F17" s="7"/>
      <c r="G17" s="7"/>
      <c r="H17" s="7"/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workbookViewId="0">
      <selection activeCell="E11" sqref="E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842" t="s">
        <v>545</v>
      </c>
      <c r="C2" s="842"/>
      <c r="D2" s="842"/>
      <c r="E2" s="842"/>
      <c r="F2" s="487" t="s">
        <v>2</v>
      </c>
      <c r="G2" s="487" t="s">
        <v>2</v>
      </c>
      <c r="H2" s="487" t="s">
        <v>2</v>
      </c>
      <c r="I2" s="14"/>
    </row>
    <row r="3" spans="2:9" x14ac:dyDescent="0.25">
      <c r="B3" s="488"/>
      <c r="C3" s="488"/>
      <c r="D3" s="488"/>
      <c r="E3" s="488"/>
      <c r="F3" s="481">
        <f>C15</f>
        <v>893676.41938252386</v>
      </c>
      <c r="G3" s="481">
        <f>C16</f>
        <v>1070764.3734537151</v>
      </c>
      <c r="H3" s="481">
        <f>F3+G3</f>
        <v>1964440.7928362391</v>
      </c>
      <c r="I3" s="14"/>
    </row>
    <row r="4" spans="2:9" x14ac:dyDescent="0.25">
      <c r="B4" s="488"/>
      <c r="C4" s="488"/>
      <c r="D4" s="488"/>
      <c r="E4" s="488"/>
      <c r="F4" s="488"/>
      <c r="G4" s="488"/>
      <c r="H4" s="488"/>
      <c r="I4" s="14"/>
    </row>
    <row r="5" spans="2:9" x14ac:dyDescent="0.25">
      <c r="B5" s="489" t="s">
        <v>544</v>
      </c>
      <c r="C5" s="488"/>
      <c r="D5" s="488"/>
      <c r="E5" s="488"/>
      <c r="F5" s="488"/>
      <c r="G5" s="488"/>
      <c r="H5" s="488">
        <f>((2295-126)*20-18)/1000</f>
        <v>43.362000000000002</v>
      </c>
      <c r="I5" s="215" t="s">
        <v>55</v>
      </c>
    </row>
    <row r="6" spans="2:9" x14ac:dyDescent="0.25">
      <c r="B6" s="490" t="s">
        <v>543</v>
      </c>
      <c r="C6" s="488">
        <v>17.22</v>
      </c>
      <c r="D6" s="490" t="s">
        <v>540</v>
      </c>
      <c r="E6" s="301">
        <v>35.520000000000003</v>
      </c>
      <c r="F6" s="301" t="s">
        <v>542</v>
      </c>
      <c r="G6" s="488"/>
      <c r="H6" s="488"/>
      <c r="I6" s="14"/>
    </row>
    <row r="7" spans="2:9" x14ac:dyDescent="0.25">
      <c r="B7" s="490" t="s">
        <v>541</v>
      </c>
      <c r="C7" s="488">
        <v>93.29</v>
      </c>
      <c r="D7" s="490" t="s">
        <v>540</v>
      </c>
      <c r="E7" s="488"/>
      <c r="F7" s="488"/>
      <c r="G7" s="488"/>
      <c r="H7" s="488"/>
      <c r="I7" s="14"/>
    </row>
    <row r="8" spans="2:9" x14ac:dyDescent="0.25">
      <c r="B8" s="491" t="s">
        <v>539</v>
      </c>
      <c r="C8" s="492">
        <v>0.01</v>
      </c>
      <c r="D8" s="7"/>
      <c r="E8" s="7"/>
      <c r="F8" s="7"/>
      <c r="G8" s="7"/>
      <c r="H8" s="7"/>
      <c r="I8" s="14"/>
    </row>
    <row r="9" spans="2:9" x14ac:dyDescent="0.25">
      <c r="B9" s="491" t="s">
        <v>538</v>
      </c>
      <c r="C9" s="481">
        <f>(1006826.53/H$5)</f>
        <v>23219.098058207648</v>
      </c>
      <c r="D9" s="490" t="s">
        <v>532</v>
      </c>
      <c r="E9" s="488" t="s">
        <v>537</v>
      </c>
      <c r="F9" s="488"/>
      <c r="G9" s="488"/>
      <c r="H9" s="488"/>
      <c r="I9" s="14"/>
    </row>
    <row r="10" spans="2:9" x14ac:dyDescent="0.25">
      <c r="B10" s="491" t="s">
        <v>536</v>
      </c>
      <c r="C10" s="481">
        <f>(5577.51/H$5)</f>
        <v>128.62667773626677</v>
      </c>
      <c r="D10" s="490" t="s">
        <v>532</v>
      </c>
      <c r="E10" s="7" t="s">
        <v>535</v>
      </c>
      <c r="F10" s="7"/>
      <c r="G10" s="7"/>
      <c r="H10" s="488"/>
      <c r="I10" s="14"/>
    </row>
    <row r="11" spans="2:9" x14ac:dyDescent="0.25">
      <c r="B11" s="491" t="s">
        <v>534</v>
      </c>
      <c r="C11" s="493">
        <f>C8*C9</f>
        <v>232.19098058207649</v>
      </c>
      <c r="D11" s="490" t="s">
        <v>532</v>
      </c>
      <c r="E11" s="488"/>
      <c r="F11" s="488"/>
      <c r="G11" s="488"/>
      <c r="H11" s="488"/>
      <c r="I11" s="14"/>
    </row>
    <row r="12" spans="2:9" x14ac:dyDescent="0.25">
      <c r="B12" s="491" t="s">
        <v>533</v>
      </c>
      <c r="C12" s="13">
        <f>C8*C10</f>
        <v>1.2862667773626677</v>
      </c>
      <c r="D12" s="490" t="s">
        <v>532</v>
      </c>
      <c r="E12" s="7"/>
      <c r="F12" s="7"/>
      <c r="G12" s="488"/>
      <c r="H12" s="488"/>
      <c r="I12" s="14"/>
    </row>
    <row r="13" spans="2:9" x14ac:dyDescent="0.25">
      <c r="B13" s="490" t="s">
        <v>531</v>
      </c>
      <c r="C13" s="494">
        <v>217</v>
      </c>
      <c r="D13" s="488" t="s">
        <v>55</v>
      </c>
      <c r="E13" s="490" t="s">
        <v>529</v>
      </c>
      <c r="F13" s="488"/>
      <c r="G13" s="488"/>
      <c r="H13" s="488"/>
      <c r="I13" s="14"/>
    </row>
    <row r="14" spans="2:9" x14ac:dyDescent="0.25">
      <c r="B14" s="490" t="s">
        <v>530</v>
      </c>
      <c r="C14" s="494">
        <v>260</v>
      </c>
      <c r="D14" s="488" t="s">
        <v>55</v>
      </c>
      <c r="E14" s="490" t="s">
        <v>529</v>
      </c>
      <c r="F14" s="488"/>
      <c r="G14" s="488"/>
      <c r="H14" s="488"/>
    </row>
    <row r="15" spans="2:9" x14ac:dyDescent="0.25">
      <c r="B15" s="490" t="s">
        <v>528</v>
      </c>
      <c r="C15" s="481">
        <f>(($C$6*$C$11)+($C$7*$C$12))*C13</f>
        <v>893676.41938252386</v>
      </c>
      <c r="D15" s="490" t="s">
        <v>472</v>
      </c>
      <c r="E15" s="488"/>
      <c r="F15" s="488"/>
      <c r="G15" s="488"/>
      <c r="H15" s="7"/>
    </row>
    <row r="16" spans="2:9" x14ac:dyDescent="0.25">
      <c r="B16" s="490" t="s">
        <v>527</v>
      </c>
      <c r="C16" s="481">
        <f>(($C$6*$C$11)+($C$7*$C$12))*C14</f>
        <v>1070764.3734537151</v>
      </c>
      <c r="D16" s="490" t="s">
        <v>472</v>
      </c>
      <c r="E16" s="488"/>
      <c r="F16" s="488"/>
      <c r="G16" s="7"/>
      <c r="H16" s="7"/>
      <c r="I16" s="25"/>
    </row>
    <row r="18" spans="2:6" x14ac:dyDescent="0.25">
      <c r="B18" s="839"/>
      <c r="C18" s="839"/>
      <c r="D18" s="839"/>
      <c r="E18" s="839"/>
      <c r="F18" s="195"/>
    </row>
    <row r="19" spans="2:6" x14ac:dyDescent="0.25">
      <c r="B19" s="49"/>
      <c r="C19" s="49"/>
      <c r="D19" s="49"/>
      <c r="E19" s="49"/>
      <c r="F19" s="144"/>
    </row>
    <row r="20" spans="2:6" x14ac:dyDescent="0.25">
      <c r="B20" s="194"/>
      <c r="C20" s="144"/>
      <c r="D20" s="194"/>
      <c r="E20" s="49"/>
      <c r="F20" s="49"/>
    </row>
    <row r="21" spans="2:6" x14ac:dyDescent="0.25">
      <c r="B21" s="194"/>
      <c r="C21" s="144"/>
      <c r="D21" s="194"/>
      <c r="E21" s="49"/>
      <c r="F21" s="49"/>
    </row>
    <row r="22" spans="2:6" x14ac:dyDescent="0.25">
      <c r="B22" s="49"/>
      <c r="C22" s="144"/>
      <c r="D22" s="194"/>
      <c r="E22" s="49"/>
      <c r="F22" s="49"/>
    </row>
    <row r="23" spans="2:6" x14ac:dyDescent="0.25">
      <c r="B23" s="49"/>
      <c r="C23" s="49"/>
      <c r="D23" s="49"/>
      <c r="E23" s="194"/>
      <c r="F23" s="49"/>
    </row>
    <row r="24" spans="2:6" x14ac:dyDescent="0.25">
      <c r="B24" s="49"/>
      <c r="C24" s="49"/>
      <c r="D24" s="49"/>
      <c r="E24" s="193"/>
      <c r="F24" s="49"/>
    </row>
    <row r="25" spans="2:6" x14ac:dyDescent="0.25">
      <c r="B25" s="49"/>
      <c r="C25" s="49"/>
      <c r="D25" s="49"/>
      <c r="E25" s="193"/>
      <c r="F25" s="49"/>
    </row>
    <row r="26" spans="2:6" x14ac:dyDescent="0.25">
      <c r="B26" s="49"/>
      <c r="C26" s="49"/>
      <c r="D26" s="49"/>
      <c r="E26" s="192"/>
      <c r="F26" s="191"/>
    </row>
    <row r="27" spans="2:6" x14ac:dyDescent="0.25">
      <c r="B27" s="49"/>
      <c r="C27" s="49"/>
      <c r="D27" s="49"/>
      <c r="E27" s="49"/>
      <c r="F27" s="49"/>
    </row>
    <row r="28" spans="2:6" x14ac:dyDescent="0.25">
      <c r="B28" s="49"/>
      <c r="C28" s="49"/>
      <c r="D28" s="49"/>
      <c r="E28" s="49"/>
      <c r="F28" s="49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showGridLines="0" zoomScaleNormal="100" workbookViewId="0">
      <selection activeCell="L4" sqref="L4"/>
    </sheetView>
  </sheetViews>
  <sheetFormatPr defaultRowHeight="15" x14ac:dyDescent="0.25"/>
  <cols>
    <col min="1" max="1" width="13.28515625" customWidth="1"/>
    <col min="2" max="2" width="16.42578125" customWidth="1"/>
    <col min="3" max="3" width="17.42578125" customWidth="1"/>
    <col min="4" max="4" width="15.7109375" customWidth="1"/>
    <col min="5" max="5" width="15.5703125" customWidth="1"/>
    <col min="6" max="6" width="18" style="22" customWidth="1"/>
    <col min="7" max="7" width="13.7109375" customWidth="1"/>
    <col min="8" max="8" width="17.5703125" customWidth="1"/>
    <col min="9" max="9" width="14.5703125" customWidth="1"/>
    <col min="10" max="10" width="17.7109375" customWidth="1"/>
    <col min="11" max="11" width="16" customWidth="1"/>
    <col min="12" max="12" width="15.5703125" customWidth="1"/>
    <col min="13" max="13" width="19.5703125" customWidth="1"/>
    <col min="14" max="14" width="14.42578125" customWidth="1"/>
    <col min="15" max="15" width="21.28515625" customWidth="1"/>
    <col min="16" max="16" width="23" customWidth="1"/>
    <col min="17" max="17" width="15.140625" customWidth="1"/>
    <col min="18" max="18" width="17.42578125" customWidth="1"/>
  </cols>
  <sheetData>
    <row r="1" spans="1:20" x14ac:dyDescent="0.25">
      <c r="A1" t="s">
        <v>1210</v>
      </c>
      <c r="I1" t="s">
        <v>1211</v>
      </c>
    </row>
    <row r="2" spans="1:20" ht="45" x14ac:dyDescent="0.25">
      <c r="A2" s="7" t="s">
        <v>41</v>
      </c>
      <c r="B2" s="506" t="s">
        <v>1173</v>
      </c>
      <c r="C2" s="506" t="s">
        <v>1174</v>
      </c>
      <c r="D2" s="506" t="s">
        <v>1213</v>
      </c>
      <c r="I2" s="506" t="s">
        <v>1176</v>
      </c>
      <c r="J2" s="506" t="s">
        <v>1177</v>
      </c>
      <c r="K2" s="506" t="s">
        <v>1178</v>
      </c>
      <c r="L2" s="506" t="s">
        <v>1179</v>
      </c>
      <c r="M2" s="506" t="s">
        <v>1180</v>
      </c>
      <c r="N2" s="506" t="s">
        <v>1181</v>
      </c>
      <c r="O2" s="506" t="s">
        <v>1182</v>
      </c>
      <c r="P2" s="506" t="s">
        <v>1183</v>
      </c>
      <c r="Q2" s="506" t="s">
        <v>1184</v>
      </c>
      <c r="R2" s="506" t="s">
        <v>1185</v>
      </c>
    </row>
    <row r="3" spans="1:20" x14ac:dyDescent="0.25">
      <c r="A3" s="7" t="s">
        <v>1154</v>
      </c>
      <c r="B3" s="12">
        <f>F10</f>
        <v>1487622.996040181</v>
      </c>
      <c r="C3" s="12">
        <f>B3/12*1.1</f>
        <v>136365.44130368327</v>
      </c>
      <c r="D3" s="457">
        <f>B3+C3</f>
        <v>1623988.4373438642</v>
      </c>
      <c r="I3" s="457">
        <f>I35</f>
        <v>708787.81866201479</v>
      </c>
      <c r="J3" s="458">
        <v>5.7299999999999997E-2</v>
      </c>
      <c r="K3" s="507">
        <f>I3*(1+J3)</f>
        <v>749401.36067134817</v>
      </c>
      <c r="L3" s="667">
        <v>174.82</v>
      </c>
      <c r="M3" s="507">
        <f>K3*L3</f>
        <v>131010345.87256508</v>
      </c>
      <c r="N3" s="507">
        <f>M3/(1-0.25)-M3</f>
        <v>43670115.290855035</v>
      </c>
      <c r="O3" s="457">
        <f>O7*K3</f>
        <v>5920270.749303651</v>
      </c>
      <c r="P3" s="457">
        <f>P7*K3</f>
        <v>6984420.6814569654</v>
      </c>
      <c r="Q3" s="457">
        <f>Q7*I3</f>
        <v>1771969.546655037</v>
      </c>
      <c r="R3" s="456">
        <f>SUM(M3:Q3)</f>
        <v>189357122.14083573</v>
      </c>
    </row>
    <row r="4" spans="1:20" x14ac:dyDescent="0.25">
      <c r="H4" s="508"/>
      <c r="I4" s="509"/>
      <c r="J4" s="510"/>
      <c r="K4" s="510"/>
      <c r="L4" s="510"/>
      <c r="M4" s="510"/>
      <c r="N4" s="510"/>
      <c r="O4" s="509"/>
      <c r="P4" s="509"/>
      <c r="Q4" s="509"/>
      <c r="R4" s="511"/>
    </row>
    <row r="5" spans="1:20" x14ac:dyDescent="0.25">
      <c r="A5" t="s">
        <v>1206</v>
      </c>
      <c r="H5" s="508"/>
      <c r="I5" s="509"/>
      <c r="J5" s="510"/>
      <c r="K5" s="510"/>
      <c r="L5" s="510"/>
      <c r="M5" s="509"/>
      <c r="N5" s="510"/>
      <c r="O5" s="509"/>
      <c r="P5" s="509"/>
      <c r="Q5" s="509"/>
      <c r="R5" s="511"/>
    </row>
    <row r="6" spans="1:20" x14ac:dyDescent="0.25">
      <c r="A6" s="15"/>
      <c r="B6" s="701" t="s">
        <v>1186</v>
      </c>
      <c r="C6" s="702"/>
      <c r="D6" s="701" t="s">
        <v>1187</v>
      </c>
      <c r="E6" s="702"/>
      <c r="F6" s="703" t="s">
        <v>1161</v>
      </c>
      <c r="O6" s="506" t="s">
        <v>1164</v>
      </c>
      <c r="P6" s="506" t="s">
        <v>1163</v>
      </c>
      <c r="Q6" s="506" t="s">
        <v>1162</v>
      </c>
    </row>
    <row r="7" spans="1:20" x14ac:dyDescent="0.25">
      <c r="A7" s="15"/>
      <c r="B7" s="15" t="s">
        <v>1188</v>
      </c>
      <c r="C7" s="15" t="s">
        <v>1189</v>
      </c>
      <c r="D7" s="15" t="s">
        <v>1188</v>
      </c>
      <c r="E7" s="15" t="s">
        <v>1189</v>
      </c>
      <c r="F7" s="704"/>
      <c r="N7" s="3"/>
      <c r="O7" s="457">
        <v>7.9</v>
      </c>
      <c r="P7" s="457">
        <v>9.32</v>
      </c>
      <c r="Q7" s="457">
        <v>2.5</v>
      </c>
      <c r="R7" s="18"/>
      <c r="S7" s="18"/>
    </row>
    <row r="8" spans="1:20" x14ac:dyDescent="0.25">
      <c r="A8" s="7" t="s">
        <v>1190</v>
      </c>
      <c r="B8" s="7">
        <v>1.008</v>
      </c>
      <c r="C8" s="7">
        <v>1.002</v>
      </c>
      <c r="D8" s="7">
        <v>0.91400000000000003</v>
      </c>
      <c r="E8" s="7">
        <v>0.92400000000000004</v>
      </c>
      <c r="F8" s="704"/>
      <c r="G8" s="512"/>
      <c r="H8" s="26"/>
      <c r="I8" s="26"/>
      <c r="J8" s="26"/>
      <c r="K8" s="26"/>
      <c r="L8" s="26"/>
      <c r="M8" s="509"/>
      <c r="N8" s="26"/>
      <c r="O8" s="513"/>
      <c r="P8" s="18"/>
      <c r="Q8" s="18"/>
      <c r="R8" s="18"/>
      <c r="S8" s="18"/>
      <c r="T8" s="18"/>
    </row>
    <row r="9" spans="1:20" x14ac:dyDescent="0.25">
      <c r="A9" s="7" t="s">
        <v>1191</v>
      </c>
      <c r="B9" s="515">
        <v>1000</v>
      </c>
      <c r="C9" s="516">
        <f>G61</f>
        <v>68328.9682469158</v>
      </c>
      <c r="D9" s="515">
        <v>2000</v>
      </c>
      <c r="E9" s="451">
        <f>G69</f>
        <v>56998.871017249767</v>
      </c>
      <c r="F9" s="705"/>
      <c r="G9" s="512"/>
      <c r="H9" s="26"/>
      <c r="I9" s="26"/>
      <c r="J9" s="26"/>
      <c r="K9" s="26"/>
      <c r="L9" s="26"/>
      <c r="M9" s="26"/>
      <c r="N9" s="26"/>
      <c r="O9" s="513"/>
      <c r="P9" s="18"/>
      <c r="Q9" s="18"/>
      <c r="R9" s="18"/>
      <c r="S9" s="18"/>
      <c r="T9" s="18"/>
    </row>
    <row r="10" spans="1:20" x14ac:dyDescent="0.25">
      <c r="A10" s="7" t="s">
        <v>1192</v>
      </c>
      <c r="B10" s="11">
        <f>B9*B8*12</f>
        <v>12096</v>
      </c>
      <c r="C10" s="11">
        <f t="shared" ref="C10:E10" si="0">C9*C8*12</f>
        <v>821587.51420091558</v>
      </c>
      <c r="D10" s="11">
        <f t="shared" si="0"/>
        <v>21936</v>
      </c>
      <c r="E10" s="11">
        <f t="shared" si="0"/>
        <v>632003.48183926544</v>
      </c>
      <c r="F10" s="527">
        <f>SUM(B10:E10)</f>
        <v>1487622.996040181</v>
      </c>
      <c r="G10" s="512"/>
      <c r="H10" s="508"/>
      <c r="I10" t="s">
        <v>1212</v>
      </c>
      <c r="J10" s="510"/>
      <c r="K10" s="510"/>
      <c r="L10" s="510"/>
      <c r="M10" s="510"/>
      <c r="N10" s="510"/>
      <c r="O10" s="514"/>
      <c r="P10" s="187"/>
      <c r="Q10" s="18"/>
      <c r="R10" s="18"/>
      <c r="S10" s="18"/>
      <c r="T10" s="18"/>
    </row>
    <row r="11" spans="1:20" ht="60" x14ac:dyDescent="0.25">
      <c r="G11" s="512"/>
      <c r="H11" s="508"/>
      <c r="I11" s="506" t="s">
        <v>1160</v>
      </c>
      <c r="J11" s="506" t="s">
        <v>1195</v>
      </c>
      <c r="K11" s="506" t="s">
        <v>1214</v>
      </c>
      <c r="L11" s="506" t="s">
        <v>1215</v>
      </c>
      <c r="M11" s="506" t="s">
        <v>1216</v>
      </c>
      <c r="N11" s="506" t="s">
        <v>1217</v>
      </c>
      <c r="O11" s="514"/>
      <c r="P11" s="18"/>
      <c r="Q11" s="18"/>
      <c r="R11" s="18"/>
      <c r="S11" s="18"/>
      <c r="T11" s="18"/>
    </row>
    <row r="12" spans="1:20" x14ac:dyDescent="0.25">
      <c r="A12" t="s">
        <v>1207</v>
      </c>
      <c r="G12" s="187"/>
      <c r="H12" s="508"/>
      <c r="I12" s="12">
        <f>D3</f>
        <v>1623988.4373438642</v>
      </c>
      <c r="J12" s="457">
        <f>C14</f>
        <v>305202.348</v>
      </c>
      <c r="K12" s="457">
        <v>120000</v>
      </c>
      <c r="L12" s="457">
        <f>(2500+700)*12</f>
        <v>38400</v>
      </c>
      <c r="M12" s="457">
        <f>(1352+400)*12</f>
        <v>21024</v>
      </c>
      <c r="N12" s="456">
        <f>SUM(I12:M12)</f>
        <v>2108614.785343864</v>
      </c>
      <c r="O12" s="514"/>
      <c r="P12" s="18"/>
      <c r="Q12" s="18"/>
      <c r="R12" s="18"/>
      <c r="S12" s="18"/>
      <c r="T12" s="18"/>
    </row>
    <row r="13" spans="1:20" ht="30" x14ac:dyDescent="0.25">
      <c r="A13" s="506" t="s">
        <v>1193</v>
      </c>
      <c r="B13" s="506" t="s">
        <v>1194</v>
      </c>
      <c r="C13" s="506" t="s">
        <v>1195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25">
      <c r="A14" s="12">
        <v>277456.68</v>
      </c>
      <c r="B14" s="457">
        <f>A14/12*1.2</f>
        <v>27745.667999999998</v>
      </c>
      <c r="C14" s="457">
        <f>SUM(A14:B14)</f>
        <v>305202.348</v>
      </c>
      <c r="F14" s="95"/>
      <c r="G14" s="3"/>
      <c r="H14" s="18"/>
      <c r="I14" s="532"/>
      <c r="J14" s="509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x14ac:dyDescent="0.25">
      <c r="A15" s="187"/>
      <c r="B15" s="509"/>
      <c r="C15" s="509"/>
      <c r="F15" s="95"/>
      <c r="G15" s="3"/>
      <c r="H15" s="18"/>
      <c r="I15" s="532"/>
      <c r="J15" s="510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x14ac:dyDescent="0.25">
      <c r="A16" s="187" t="s">
        <v>1209</v>
      </c>
      <c r="B16" s="509"/>
      <c r="C16" s="509"/>
      <c r="F16" s="95"/>
      <c r="G16" s="3"/>
      <c r="H16" s="18"/>
      <c r="I16" s="532"/>
      <c r="J16" s="53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0" x14ac:dyDescent="0.25">
      <c r="A17" s="7" t="s">
        <v>41</v>
      </c>
      <c r="B17" s="506" t="s">
        <v>1208</v>
      </c>
      <c r="C17" s="506" t="s">
        <v>1175</v>
      </c>
      <c r="D17" s="506" t="s">
        <v>9</v>
      </c>
      <c r="F17" s="95"/>
      <c r="G17" s="3"/>
      <c r="H17" s="18"/>
      <c r="I17" s="532"/>
      <c r="J17" s="50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18" customFormat="1" x14ac:dyDescent="0.25">
      <c r="A18" s="7" t="s">
        <v>1154</v>
      </c>
      <c r="B18" s="12">
        <f>1352.95*12</f>
        <v>16235.400000000001</v>
      </c>
      <c r="C18" s="12">
        <f>700*12</f>
        <v>8400</v>
      </c>
      <c r="D18" s="12">
        <f>SUM(B3:E3)</f>
        <v>3247976.8746877285</v>
      </c>
      <c r="F18" s="185"/>
      <c r="G18" s="187"/>
      <c r="I18" s="532"/>
      <c r="J18" s="187"/>
    </row>
    <row r="19" spans="1:20" s="18" customFormat="1" x14ac:dyDescent="0.25">
      <c r="A19" s="187"/>
      <c r="B19" s="509"/>
      <c r="C19" s="509"/>
      <c r="F19" s="185"/>
      <c r="G19" s="187"/>
      <c r="I19" s="532"/>
      <c r="J19" s="187"/>
    </row>
    <row r="20" spans="1:20" x14ac:dyDescent="0.25">
      <c r="B20" s="3" t="s">
        <v>1323</v>
      </c>
    </row>
    <row r="21" spans="1:20" ht="45" x14ac:dyDescent="0.25">
      <c r="B21" s="668" t="s">
        <v>587</v>
      </c>
      <c r="C21" s="669"/>
      <c r="D21" s="660" t="s">
        <v>1317</v>
      </c>
      <c r="E21" s="660" t="s">
        <v>1318</v>
      </c>
      <c r="F21" s="660" t="s">
        <v>1319</v>
      </c>
      <c r="G21" s="660" t="s">
        <v>1276</v>
      </c>
      <c r="H21" s="660" t="s">
        <v>1320</v>
      </c>
      <c r="I21" s="660" t="s">
        <v>1321</v>
      </c>
    </row>
    <row r="22" spans="1:20" x14ac:dyDescent="0.25">
      <c r="B22" s="668" t="s">
        <v>11</v>
      </c>
      <c r="C22" s="670"/>
      <c r="D22" s="670"/>
      <c r="E22" s="670"/>
      <c r="F22" s="670"/>
      <c r="G22" s="670"/>
      <c r="H22" s="670"/>
      <c r="I22" s="669"/>
    </row>
    <row r="23" spans="1:20" x14ac:dyDescent="0.25">
      <c r="B23" s="659" t="s">
        <v>1278</v>
      </c>
      <c r="C23" s="659" t="s">
        <v>1279</v>
      </c>
      <c r="D23" s="647">
        <v>0.8722876356897008</v>
      </c>
      <c r="E23" s="582">
        <v>16.399999999999999</v>
      </c>
      <c r="F23" s="12">
        <v>42508799.999999993</v>
      </c>
      <c r="G23" s="12">
        <v>476.12903225806446</v>
      </c>
      <c r="H23" s="12">
        <v>5497.6952746916568</v>
      </c>
      <c r="I23" s="12">
        <v>65972.343296299878</v>
      </c>
    </row>
    <row r="24" spans="1:20" x14ac:dyDescent="0.25">
      <c r="B24" s="659" t="s">
        <v>1280</v>
      </c>
      <c r="C24" s="659" t="s">
        <v>1279</v>
      </c>
      <c r="D24" s="647">
        <v>0.79564533035381746</v>
      </c>
      <c r="E24" s="582">
        <v>15.893000000000001</v>
      </c>
      <c r="F24" s="12">
        <v>41194656</v>
      </c>
      <c r="G24" s="12">
        <v>461.40967741935481</v>
      </c>
      <c r="H24" s="12">
        <v>10380.546344856486</v>
      </c>
      <c r="I24" s="12">
        <v>124566.55613827784</v>
      </c>
    </row>
    <row r="25" spans="1:20" x14ac:dyDescent="0.25">
      <c r="B25" s="659" t="s">
        <v>1281</v>
      </c>
      <c r="C25" s="659" t="s">
        <v>1279</v>
      </c>
      <c r="D25" s="647">
        <v>0.83141490047393352</v>
      </c>
      <c r="E25" s="582">
        <v>15.413</v>
      </c>
      <c r="F25" s="12">
        <v>39950496</v>
      </c>
      <c r="G25" s="12">
        <v>499.88108108108105</v>
      </c>
      <c r="H25" s="12">
        <v>15223.432928322643</v>
      </c>
      <c r="I25" s="12">
        <v>182681.19513987174</v>
      </c>
    </row>
    <row r="26" spans="1:20" x14ac:dyDescent="0.25">
      <c r="B26" s="671" t="s">
        <v>1322</v>
      </c>
      <c r="C26" s="672"/>
      <c r="D26" s="672"/>
      <c r="E26" s="672"/>
      <c r="F26" s="672"/>
      <c r="G26" s="673"/>
      <c r="H26" s="12">
        <v>14.58</v>
      </c>
      <c r="I26" s="12">
        <v>174.96</v>
      </c>
    </row>
    <row r="27" spans="1:20" x14ac:dyDescent="0.25">
      <c r="B27" s="674" t="s">
        <v>10</v>
      </c>
      <c r="C27" s="675"/>
      <c r="D27" s="675"/>
      <c r="E27" s="675"/>
      <c r="F27" s="675"/>
      <c r="G27" s="675"/>
      <c r="H27" s="675"/>
      <c r="I27" s="676"/>
    </row>
    <row r="28" spans="1:20" x14ac:dyDescent="0.25">
      <c r="B28" s="659" t="s">
        <v>1283</v>
      </c>
      <c r="C28" s="659" t="s">
        <v>1284</v>
      </c>
      <c r="D28" s="647">
        <v>0.86310232526608388</v>
      </c>
      <c r="E28" s="582">
        <v>10</v>
      </c>
      <c r="F28" s="12">
        <v>25920000</v>
      </c>
      <c r="G28" s="12">
        <v>514.28571428571422</v>
      </c>
      <c r="H28" s="12">
        <v>5859.6594705344496</v>
      </c>
      <c r="I28" s="12">
        <v>70315.913646413392</v>
      </c>
    </row>
    <row r="29" spans="1:20" x14ac:dyDescent="0.25">
      <c r="B29" s="659" t="s">
        <v>1285</v>
      </c>
      <c r="C29" s="659" t="s">
        <v>1284</v>
      </c>
      <c r="D29" s="647">
        <v>0.86341897271579759</v>
      </c>
      <c r="E29" s="582">
        <v>9.8659999999999997</v>
      </c>
      <c r="F29" s="12">
        <v>25572672</v>
      </c>
      <c r="G29" s="12">
        <v>507.39428571428573</v>
      </c>
      <c r="H29" s="12">
        <v>4034.8536177708029</v>
      </c>
      <c r="I29" s="12">
        <v>48418.243413249635</v>
      </c>
    </row>
    <row r="30" spans="1:20" x14ac:dyDescent="0.25">
      <c r="B30" s="659" t="s">
        <v>1286</v>
      </c>
      <c r="C30" s="659" t="s">
        <v>1284</v>
      </c>
      <c r="D30" s="647">
        <v>0.87449398942138168</v>
      </c>
      <c r="E30" s="582">
        <v>9.6760000000000002</v>
      </c>
      <c r="F30" s="12">
        <v>25080191.999999996</v>
      </c>
      <c r="G30" s="12">
        <v>497.62285714285707</v>
      </c>
      <c r="H30" s="12">
        <v>5680.3939983963028</v>
      </c>
      <c r="I30" s="12">
        <v>68164.727980755633</v>
      </c>
    </row>
    <row r="31" spans="1:20" x14ac:dyDescent="0.25">
      <c r="B31" s="659" t="s">
        <v>1287</v>
      </c>
      <c r="C31" s="659" t="s">
        <v>1284</v>
      </c>
      <c r="D31" s="647">
        <v>0.87410130810147146</v>
      </c>
      <c r="E31" s="582">
        <v>9.4459999999999997</v>
      </c>
      <c r="F31" s="12">
        <v>24484032</v>
      </c>
      <c r="G31" s="12">
        <v>485.79428571428571</v>
      </c>
      <c r="H31" s="12">
        <v>5178.2336580669962</v>
      </c>
      <c r="I31" s="12">
        <v>62138.803896803955</v>
      </c>
    </row>
    <row r="32" spans="1:20" x14ac:dyDescent="0.25">
      <c r="B32" s="659" t="s">
        <v>1288</v>
      </c>
      <c r="C32" s="659" t="s">
        <v>1284</v>
      </c>
      <c r="D32" s="647">
        <v>0.88036325051858799</v>
      </c>
      <c r="E32" s="582">
        <v>7.484</v>
      </c>
      <c r="F32" s="12">
        <v>19398528</v>
      </c>
      <c r="G32" s="527">
        <v>598.72</v>
      </c>
      <c r="H32" s="12">
        <v>2845.7661258852181</v>
      </c>
      <c r="I32" s="12">
        <v>34149.193510622616</v>
      </c>
    </row>
    <row r="33" spans="2:12" x14ac:dyDescent="0.25">
      <c r="B33" s="659" t="s">
        <v>1289</v>
      </c>
      <c r="C33" s="659" t="s">
        <v>1284</v>
      </c>
      <c r="D33" s="647">
        <v>0.87481026673376938</v>
      </c>
      <c r="E33" s="582">
        <v>7.39</v>
      </c>
      <c r="F33" s="12">
        <v>19154879.999999996</v>
      </c>
      <c r="G33" s="527">
        <v>591.19999999999982</v>
      </c>
      <c r="H33" s="12">
        <v>4297.0301366433323</v>
      </c>
      <c r="I33" s="12">
        <v>51564.361639719988</v>
      </c>
    </row>
    <row r="34" spans="2:12" x14ac:dyDescent="0.25">
      <c r="B34" s="671" t="s">
        <v>1322</v>
      </c>
      <c r="C34" s="672"/>
      <c r="D34" s="672"/>
      <c r="E34" s="672"/>
      <c r="F34" s="672"/>
      <c r="G34" s="673"/>
      <c r="H34" s="12">
        <v>53.46</v>
      </c>
      <c r="I34" s="12">
        <v>641.52</v>
      </c>
    </row>
    <row r="35" spans="2:12" x14ac:dyDescent="0.25">
      <c r="B35" s="677" t="s">
        <v>146</v>
      </c>
      <c r="C35" s="678"/>
      <c r="D35" s="678"/>
      <c r="E35" s="678"/>
      <c r="F35" s="678"/>
      <c r="G35" s="678"/>
      <c r="H35" s="679"/>
      <c r="I35" s="648">
        <v>708787.81866201479</v>
      </c>
    </row>
    <row r="39" spans="2:12" x14ac:dyDescent="0.25">
      <c r="B39" t="s">
        <v>1324</v>
      </c>
    </row>
    <row r="40" spans="2:12" x14ac:dyDescent="0.25">
      <c r="B40" s="7"/>
      <c r="C40" s="572" t="s">
        <v>1246</v>
      </c>
      <c r="D40" s="460"/>
      <c r="E40" s="460"/>
      <c r="F40" s="460"/>
      <c r="G40" s="460"/>
      <c r="H40" s="460"/>
      <c r="I40" s="460"/>
      <c r="J40" s="460"/>
      <c r="K40" s="460"/>
      <c r="L40" s="460"/>
    </row>
    <row r="41" spans="2:12" x14ac:dyDescent="0.25">
      <c r="B41" s="706" t="s">
        <v>1247</v>
      </c>
      <c r="C41" s="460" t="s">
        <v>617</v>
      </c>
      <c r="D41" s="460" t="s">
        <v>1248</v>
      </c>
      <c r="E41" s="460" t="s">
        <v>1249</v>
      </c>
      <c r="F41" s="460" t="s">
        <v>1250</v>
      </c>
      <c r="G41" s="460"/>
      <c r="H41" s="460" t="s">
        <v>1251</v>
      </c>
      <c r="I41" s="460" t="s">
        <v>1252</v>
      </c>
      <c r="J41" s="460" t="s">
        <v>1253</v>
      </c>
      <c r="K41" s="573" t="s">
        <v>1254</v>
      </c>
      <c r="L41" s="460" t="s">
        <v>1255</v>
      </c>
    </row>
    <row r="42" spans="2:12" x14ac:dyDescent="0.25">
      <c r="B42" s="706"/>
      <c r="C42" s="574">
        <v>41487</v>
      </c>
      <c r="D42" s="575">
        <v>117.3</v>
      </c>
      <c r="E42" s="575">
        <v>91476586.840000004</v>
      </c>
      <c r="F42" s="575">
        <f>E42/31/24/3600</f>
        <v>34.153444907407412</v>
      </c>
      <c r="G42" s="575"/>
      <c r="H42" s="575">
        <v>33210143.52</v>
      </c>
      <c r="I42" s="576">
        <v>0.88300000000000001</v>
      </c>
      <c r="J42" s="576"/>
      <c r="K42" s="653">
        <f>E42*D42*1000*0.736/3600/H42/75</f>
        <v>0.88074718090655346</v>
      </c>
      <c r="L42" s="654">
        <f>H42*100/E42/D42</f>
        <v>0.30950152155129568</v>
      </c>
    </row>
    <row r="43" spans="2:12" x14ac:dyDescent="0.25">
      <c r="B43" s="706"/>
      <c r="C43" s="574">
        <v>41852</v>
      </c>
      <c r="D43" s="575">
        <v>117.3</v>
      </c>
      <c r="E43" s="575">
        <v>57998340</v>
      </c>
      <c r="F43" s="575">
        <f t="shared" ref="F43:F44" si="1">E43/31/24/3600</f>
        <v>21.654099462365593</v>
      </c>
      <c r="G43" s="575"/>
      <c r="H43" s="575">
        <v>21745497.600000001</v>
      </c>
      <c r="I43" s="576">
        <v>0.81</v>
      </c>
      <c r="J43" s="576"/>
      <c r="K43" s="653">
        <f>E43*D43*1000*0.736/3600/H43/75</f>
        <v>0.85282176562379508</v>
      </c>
      <c r="L43" s="654">
        <f>H43*100/E43/D43</f>
        <v>0.31963606415838269</v>
      </c>
    </row>
    <row r="44" spans="2:12" x14ac:dyDescent="0.25">
      <c r="B44" s="706"/>
      <c r="C44" s="574">
        <v>42064</v>
      </c>
      <c r="D44" s="575">
        <v>117.3</v>
      </c>
      <c r="E44" s="575">
        <v>40578902.090000004</v>
      </c>
      <c r="F44" s="575">
        <f t="shared" si="1"/>
        <v>15.150426407556752</v>
      </c>
      <c r="G44" s="575"/>
      <c r="H44" s="575">
        <v>14479191.060000001</v>
      </c>
      <c r="I44" s="576">
        <v>0.89800000000000002</v>
      </c>
      <c r="J44" s="576"/>
      <c r="K44" s="653">
        <f>E44*D44*1000*0.736/3600/H44/75</f>
        <v>0.89612389098113676</v>
      </c>
      <c r="L44" s="654">
        <f>H44*100/E44/D44</f>
        <v>0.30419074341845737</v>
      </c>
    </row>
    <row r="45" spans="2:12" x14ac:dyDescent="0.25">
      <c r="B45" s="7"/>
      <c r="C45" s="460"/>
      <c r="D45" s="460"/>
      <c r="E45" s="460"/>
      <c r="F45" s="460"/>
      <c r="G45" s="460"/>
      <c r="H45" s="460"/>
      <c r="I45" s="460"/>
      <c r="J45" s="460"/>
      <c r="K45" s="655"/>
      <c r="L45" s="656"/>
    </row>
    <row r="46" spans="2:12" x14ac:dyDescent="0.25">
      <c r="B46" s="7"/>
      <c r="C46" s="572" t="s">
        <v>1256</v>
      </c>
      <c r="D46" s="460" t="s">
        <v>1248</v>
      </c>
      <c r="E46" s="460" t="s">
        <v>1257</v>
      </c>
      <c r="F46" s="460" t="s">
        <v>1258</v>
      </c>
      <c r="G46" s="460"/>
      <c r="H46" s="460"/>
      <c r="I46" s="460"/>
      <c r="J46" s="460"/>
      <c r="K46" s="655" t="s">
        <v>1254</v>
      </c>
      <c r="L46" s="656"/>
    </row>
    <row r="47" spans="2:12" x14ac:dyDescent="0.25">
      <c r="B47" s="7"/>
      <c r="C47" s="460" t="s">
        <v>1259</v>
      </c>
      <c r="D47" s="575">
        <v>242.22</v>
      </c>
      <c r="E47" s="575">
        <v>2.5788899999999999</v>
      </c>
      <c r="F47" s="575">
        <v>7736.48</v>
      </c>
      <c r="G47" s="575"/>
      <c r="H47" s="460"/>
      <c r="I47" s="460"/>
      <c r="J47" s="460"/>
      <c r="K47" s="653">
        <f>E47*D47*1000*0.736/F47/75</f>
        <v>0.79234799210803863</v>
      </c>
      <c r="L47" s="656"/>
    </row>
    <row r="48" spans="2:12" x14ac:dyDescent="0.25">
      <c r="B48" s="7"/>
      <c r="C48" s="460" t="s">
        <v>1260</v>
      </c>
      <c r="D48" s="575">
        <v>233.31</v>
      </c>
      <c r="E48" s="575">
        <v>1.3522000000000001</v>
      </c>
      <c r="F48" s="575">
        <v>3846.24</v>
      </c>
      <c r="G48" s="575"/>
      <c r="H48" s="460"/>
      <c r="I48" s="460"/>
      <c r="J48" s="460"/>
      <c r="K48" s="653">
        <f>E48*D48*1000*0.736/F48/75</f>
        <v>0.80492322043346232</v>
      </c>
      <c r="L48" s="656"/>
    </row>
    <row r="49" spans="2:18" x14ac:dyDescent="0.25">
      <c r="B49" s="7"/>
      <c r="C49" s="460" t="s">
        <v>1261</v>
      </c>
      <c r="D49" s="575">
        <v>240.42</v>
      </c>
      <c r="E49" s="575">
        <v>2.5923500000000002</v>
      </c>
      <c r="F49" s="575">
        <v>7576.38</v>
      </c>
      <c r="G49" s="575"/>
      <c r="H49" s="460"/>
      <c r="I49" s="460"/>
      <c r="J49" s="460"/>
      <c r="K49" s="653">
        <f>E49*D49*1000*0.736/F49/75</f>
        <v>0.80727040483185908</v>
      </c>
      <c r="L49" s="656"/>
      <c r="M49" s="577" t="s">
        <v>1262</v>
      </c>
      <c r="N49" s="577" t="s">
        <v>17</v>
      </c>
      <c r="O49" s="568" t="s">
        <v>19</v>
      </c>
      <c r="P49" s="568" t="s">
        <v>18</v>
      </c>
      <c r="Q49" s="568" t="s">
        <v>20</v>
      </c>
      <c r="R49" s="568" t="s">
        <v>1263</v>
      </c>
    </row>
    <row r="50" spans="2:18" x14ac:dyDescent="0.25">
      <c r="B50" s="7"/>
      <c r="C50" s="460" t="s">
        <v>1264</v>
      </c>
      <c r="D50" s="575">
        <v>233.51</v>
      </c>
      <c r="E50" s="575">
        <v>1.3401400000000001</v>
      </c>
      <c r="F50" s="575">
        <v>3786.38</v>
      </c>
      <c r="G50" s="575"/>
      <c r="H50" s="460"/>
      <c r="I50" s="460"/>
      <c r="J50" s="460"/>
      <c r="K50" s="653">
        <f>E50*D50*1000*0.736/F50/75</f>
        <v>0.81105070725565498</v>
      </c>
      <c r="L50" s="656"/>
      <c r="M50" s="577" t="s">
        <v>11</v>
      </c>
      <c r="N50" s="577">
        <v>11.41</v>
      </c>
      <c r="O50" s="577">
        <v>0.76</v>
      </c>
      <c r="P50" s="577">
        <v>1.28</v>
      </c>
      <c r="Q50" s="577">
        <v>2.95</v>
      </c>
      <c r="R50" s="578">
        <f>SUM(N50:Q50)</f>
        <v>16.399999999999999</v>
      </c>
    </row>
    <row r="51" spans="2:18" x14ac:dyDescent="0.25">
      <c r="B51" s="7"/>
      <c r="C51" s="460" t="s">
        <v>1265</v>
      </c>
      <c r="D51" s="575">
        <v>237.2</v>
      </c>
      <c r="E51" s="575">
        <v>2.5401400000000001</v>
      </c>
      <c r="F51" s="575">
        <v>7495.17</v>
      </c>
      <c r="G51" s="575"/>
      <c r="H51" s="460"/>
      <c r="I51" s="460"/>
      <c r="J51" s="460"/>
      <c r="K51" s="653">
        <f>E51*D51*1000*0.736/F51/75</f>
        <v>0.78887356184138135</v>
      </c>
      <c r="L51" s="656"/>
      <c r="M51" s="577" t="s">
        <v>10</v>
      </c>
      <c r="N51" s="577">
        <v>0</v>
      </c>
      <c r="O51" s="577">
        <v>5.33</v>
      </c>
      <c r="P51" s="577">
        <v>4.67</v>
      </c>
      <c r="Q51" s="577">
        <v>0</v>
      </c>
      <c r="R51" s="578">
        <f>SUM(N51:Q51)</f>
        <v>10</v>
      </c>
    </row>
    <row r="52" spans="2:18" x14ac:dyDescent="0.25">
      <c r="B52" s="7"/>
      <c r="C52" s="460"/>
      <c r="D52" s="575"/>
      <c r="E52" s="575"/>
      <c r="F52" s="575"/>
      <c r="G52" s="575"/>
      <c r="H52" s="460"/>
      <c r="I52" s="460"/>
      <c r="J52" s="460"/>
      <c r="K52" s="655"/>
      <c r="L52" s="656"/>
      <c r="M52" s="577" t="s">
        <v>9</v>
      </c>
      <c r="N52" s="577">
        <f>SUM(N50:N51)</f>
        <v>11.41</v>
      </c>
      <c r="O52" s="577">
        <f t="shared" ref="O52:Q52" si="2">SUM(O50:O51)</f>
        <v>6.09</v>
      </c>
      <c r="P52" s="577">
        <f t="shared" si="2"/>
        <v>5.95</v>
      </c>
      <c r="Q52" s="577">
        <f t="shared" si="2"/>
        <v>2.95</v>
      </c>
      <c r="R52" s="578">
        <f>SUM(R50:R51)</f>
        <v>26.4</v>
      </c>
    </row>
    <row r="53" spans="2:18" x14ac:dyDescent="0.25">
      <c r="B53" s="7"/>
      <c r="C53" s="572" t="s">
        <v>1266</v>
      </c>
      <c r="D53" s="575"/>
      <c r="E53" s="575"/>
      <c r="F53" s="575"/>
      <c r="G53" s="575"/>
      <c r="H53" s="460"/>
      <c r="I53" s="460"/>
      <c r="J53" s="460"/>
      <c r="K53" s="655"/>
      <c r="L53" s="656"/>
      <c r="N53" s="579"/>
      <c r="O53" s="579"/>
      <c r="P53" s="579"/>
      <c r="Q53" s="579"/>
      <c r="R53" s="579"/>
    </row>
    <row r="54" spans="2:18" x14ac:dyDescent="0.25">
      <c r="B54" s="7"/>
      <c r="C54" s="460" t="s">
        <v>1267</v>
      </c>
      <c r="D54" s="575">
        <v>234.35</v>
      </c>
      <c r="E54" s="575">
        <v>2.5992000000000002</v>
      </c>
      <c r="F54" s="575">
        <v>7878.06</v>
      </c>
      <c r="G54" s="575"/>
      <c r="H54" s="460"/>
      <c r="I54" s="460"/>
      <c r="J54" s="460"/>
      <c r="K54" s="653">
        <f>E54*D54*1000*0.736/F54/75</f>
        <v>0.75875562379570605</v>
      </c>
      <c r="L54" s="656"/>
      <c r="P54" s="644"/>
      <c r="Q54" s="644"/>
      <c r="R54" s="18"/>
    </row>
    <row r="55" spans="2:18" x14ac:dyDescent="0.25">
      <c r="F55"/>
      <c r="K55" s="2"/>
    </row>
    <row r="56" spans="2:18" ht="70.5" customHeight="1" x14ac:dyDescent="0.25">
      <c r="B56" s="573" t="s">
        <v>24</v>
      </c>
      <c r="C56" s="573" t="s">
        <v>744</v>
      </c>
      <c r="D56" s="573" t="s">
        <v>1268</v>
      </c>
      <c r="E56" s="573" t="s">
        <v>1269</v>
      </c>
      <c r="F56" s="573" t="s">
        <v>1258</v>
      </c>
      <c r="G56" s="573" t="s">
        <v>1270</v>
      </c>
      <c r="H56" s="573" t="s">
        <v>1271</v>
      </c>
      <c r="I56" s="573" t="s">
        <v>1272</v>
      </c>
      <c r="J56" s="573" t="s">
        <v>1253</v>
      </c>
      <c r="K56" s="580" t="s">
        <v>1273</v>
      </c>
      <c r="L56" s="573" t="s">
        <v>1255</v>
      </c>
      <c r="M56" s="660" t="s">
        <v>1274</v>
      </c>
      <c r="N56" s="660" t="s">
        <v>1275</v>
      </c>
      <c r="O56" s="573" t="s">
        <v>1276</v>
      </c>
      <c r="P56" s="573" t="s">
        <v>1277</v>
      </c>
      <c r="Q56" s="587"/>
    </row>
    <row r="57" spans="2:18" x14ac:dyDescent="0.25">
      <c r="B57" s="460" t="s">
        <v>1278</v>
      </c>
      <c r="C57" s="460" t="s">
        <v>1279</v>
      </c>
      <c r="D57" s="11">
        <v>36.1</v>
      </c>
      <c r="E57" s="11">
        <f>44640/3600</f>
        <v>12.4</v>
      </c>
      <c r="F57" s="11">
        <v>5036</v>
      </c>
      <c r="G57" s="11">
        <f>F57/K57*1.0573</f>
        <v>6104.1365051448556</v>
      </c>
      <c r="H57" s="549">
        <v>0.97</v>
      </c>
      <c r="I57" s="651">
        <v>0.87</v>
      </c>
      <c r="J57" s="651">
        <f>H57*I57</f>
        <v>0.84389999999999998</v>
      </c>
      <c r="K57" s="581">
        <f>E57*D57*1000*0.736/F57/75</f>
        <v>0.8722876356897008</v>
      </c>
      <c r="L57" s="536">
        <f>P57*1000/D57/N57*100</f>
        <v>0.35825694404639474</v>
      </c>
      <c r="M57" s="582">
        <v>16.399999999999999</v>
      </c>
      <c r="N57" s="12">
        <f>M57*24*30*3600</f>
        <v>42508799.999999993</v>
      </c>
      <c r="O57" s="12">
        <f>N57/E57/2/3600</f>
        <v>476.12903225806446</v>
      </c>
      <c r="P57" s="11">
        <f>O57*F57*2/1000/K57</f>
        <v>5497.6952746916568</v>
      </c>
      <c r="Q57" s="187"/>
    </row>
    <row r="58" spans="2:18" x14ac:dyDescent="0.25">
      <c r="B58" s="460" t="s">
        <v>1280</v>
      </c>
      <c r="C58" s="460" t="s">
        <v>1279</v>
      </c>
      <c r="D58" s="11">
        <v>58.52</v>
      </c>
      <c r="E58" s="11">
        <v>12.4</v>
      </c>
      <c r="F58" s="11">
        <v>8950</v>
      </c>
      <c r="G58" s="11">
        <f>F58/K58*1.0573</f>
        <v>11893.282897534193</v>
      </c>
      <c r="H58" s="549">
        <v>0.97</v>
      </c>
      <c r="I58" s="651">
        <v>0.87</v>
      </c>
      <c r="J58" s="651">
        <f t="shared" ref="J58:J59" si="3">H58*I58</f>
        <v>0.84389999999999998</v>
      </c>
      <c r="K58" s="581">
        <f>E58*D58*1000*0.736/F58/75</f>
        <v>0.79564533035381746</v>
      </c>
      <c r="L58" s="536">
        <f>P58*1000/D58/N58*100</f>
        <v>0.43060097979488743</v>
      </c>
      <c r="M58" s="582">
        <v>15.893000000000001</v>
      </c>
      <c r="N58" s="12">
        <f t="shared" ref="N58:N59" si="4">M58*24*30*3600</f>
        <v>41194656</v>
      </c>
      <c r="O58" s="12">
        <f>N58/E58/2/3600</f>
        <v>461.40967741935481</v>
      </c>
      <c r="P58" s="11">
        <f>O58*F58*2/1000/K58</f>
        <v>10380.546344856486</v>
      </c>
      <c r="Q58" s="187"/>
    </row>
    <row r="59" spans="2:18" x14ac:dyDescent="0.25">
      <c r="B59" s="460" t="s">
        <v>1281</v>
      </c>
      <c r="C59" s="460" t="s">
        <v>1279</v>
      </c>
      <c r="D59" s="11">
        <v>96.63</v>
      </c>
      <c r="E59" s="11">
        <v>11.1</v>
      </c>
      <c r="F59" s="11">
        <v>12660</v>
      </c>
      <c r="G59" s="11">
        <f>F59/K59*1.0573</f>
        <v>16099.56472077885</v>
      </c>
      <c r="H59" s="549">
        <v>0.97</v>
      </c>
      <c r="I59" s="651">
        <v>0.87</v>
      </c>
      <c r="J59" s="651">
        <f t="shared" si="3"/>
        <v>0.84389999999999998</v>
      </c>
      <c r="K59" s="581">
        <f>E59*D59*1000*0.736/F59/75</f>
        <v>0.83141490047393352</v>
      </c>
      <c r="L59" s="536">
        <f>P59*1000/D59/N59*100</f>
        <v>0.39434691076363276</v>
      </c>
      <c r="M59" s="582">
        <v>15.413</v>
      </c>
      <c r="N59" s="12">
        <f t="shared" si="4"/>
        <v>39950496</v>
      </c>
      <c r="O59" s="12">
        <f>N59/E59/2/3600</f>
        <v>499.88108108108105</v>
      </c>
      <c r="P59" s="11">
        <f>O59*F59*2/1000/K59</f>
        <v>15223.432928322643</v>
      </c>
      <c r="Q59" s="187"/>
    </row>
    <row r="60" spans="2:18" x14ac:dyDescent="0.25">
      <c r="B60" s="700" t="s">
        <v>1282</v>
      </c>
      <c r="C60" s="700"/>
      <c r="D60" s="11">
        <f>SUM(D57:D59)</f>
        <v>191.25</v>
      </c>
      <c r="E60" s="11"/>
      <c r="F60" s="11">
        <f>3*30+3*15</f>
        <v>135</v>
      </c>
      <c r="G60" s="11">
        <f>F60</f>
        <v>135</v>
      </c>
      <c r="H60" s="548"/>
      <c r="I60" s="651"/>
      <c r="J60" s="651"/>
      <c r="K60" s="581"/>
      <c r="L60" s="536"/>
      <c r="M60" s="582"/>
      <c r="N60" s="12"/>
      <c r="O60" s="12"/>
      <c r="P60" s="11">
        <f>F60*30*24*0.15/1000</f>
        <v>14.58</v>
      </c>
      <c r="Q60" s="187"/>
    </row>
    <row r="61" spans="2:18" x14ac:dyDescent="0.25">
      <c r="B61" s="460"/>
      <c r="C61" s="460"/>
      <c r="D61" s="11"/>
      <c r="E61" s="548" t="s">
        <v>146</v>
      </c>
      <c r="F61" s="548">
        <f>SUM(F57:F59)*2+F60</f>
        <v>53427</v>
      </c>
      <c r="G61" s="583">
        <f>SUM(G57:G59)*2+G60</f>
        <v>68328.9682469158</v>
      </c>
      <c r="H61" s="548"/>
      <c r="I61" s="651"/>
      <c r="J61" s="651"/>
      <c r="K61" s="581"/>
      <c r="L61" s="536"/>
      <c r="M61" s="582"/>
      <c r="N61" s="12"/>
      <c r="O61" s="12"/>
      <c r="P61" s="11"/>
      <c r="Q61" s="187"/>
    </row>
    <row r="62" spans="2:18" x14ac:dyDescent="0.25">
      <c r="B62" s="460" t="s">
        <v>1283</v>
      </c>
      <c r="C62" s="460" t="s">
        <v>1284</v>
      </c>
      <c r="D62" s="11">
        <v>61.78</v>
      </c>
      <c r="E62" s="548">
        <f>25200/3600</f>
        <v>7</v>
      </c>
      <c r="F62" s="548">
        <v>4917</v>
      </c>
      <c r="G62" s="11">
        <f t="shared" ref="G62:G67" si="5">F62/K62*1.0573</f>
        <v>6023.3230149128503</v>
      </c>
      <c r="H62" s="652">
        <v>0.97399999999999998</v>
      </c>
      <c r="I62" s="651">
        <v>0.86</v>
      </c>
      <c r="J62" s="651">
        <f t="shared" ref="J62:J67" si="6">H62*I62</f>
        <v>0.83763999999999994</v>
      </c>
      <c r="K62" s="581">
        <f t="shared" ref="K62:K67" si="7">E62*D62*1000*0.736/F62/75</f>
        <v>0.86310232526608388</v>
      </c>
      <c r="L62" s="536">
        <f t="shared" ref="L62:L67" si="8">P62*1000/D62/N62*100</f>
        <v>0.36592280544305272</v>
      </c>
      <c r="M62" s="582">
        <v>10</v>
      </c>
      <c r="N62" s="12">
        <f>M62*24*30*3600</f>
        <v>25920000</v>
      </c>
      <c r="O62" s="12">
        <f t="shared" ref="O62:O67" si="9">N62/E62/2/3600</f>
        <v>514.28571428571422</v>
      </c>
      <c r="P62" s="11">
        <f t="shared" ref="P62:P67" si="10">O62*F62*2/1000/K62</f>
        <v>5859.6594705344496</v>
      </c>
      <c r="Q62" s="187"/>
    </row>
    <row r="63" spans="2:18" x14ac:dyDescent="0.25">
      <c r="B63" s="460" t="s">
        <v>1285</v>
      </c>
      <c r="C63" s="460" t="s">
        <v>1284</v>
      </c>
      <c r="D63" s="11">
        <v>43.15</v>
      </c>
      <c r="E63" s="548">
        <f>25200/3600</f>
        <v>7</v>
      </c>
      <c r="F63" s="548">
        <v>3433</v>
      </c>
      <c r="G63" s="11">
        <f t="shared" si="5"/>
        <v>4203.8813307322962</v>
      </c>
      <c r="H63" s="652">
        <v>0.97199999999999998</v>
      </c>
      <c r="I63" s="651">
        <v>0.86</v>
      </c>
      <c r="J63" s="651">
        <f t="shared" si="6"/>
        <v>0.83592</v>
      </c>
      <c r="K63" s="581">
        <f t="shared" si="7"/>
        <v>0.86341897271579759</v>
      </c>
      <c r="L63" s="536">
        <f t="shared" si="8"/>
        <v>0.36565445999275603</v>
      </c>
      <c r="M63" s="582">
        <v>9.8659999999999997</v>
      </c>
      <c r="N63" s="12">
        <f t="shared" ref="N63:N67" si="11">M63*24*30*3600</f>
        <v>25572672</v>
      </c>
      <c r="O63" s="12">
        <f t="shared" si="9"/>
        <v>507.39428571428573</v>
      </c>
      <c r="P63" s="11">
        <f t="shared" si="10"/>
        <v>4034.8536177708029</v>
      </c>
      <c r="Q63" s="187"/>
    </row>
    <row r="64" spans="2:18" x14ac:dyDescent="0.25">
      <c r="B64" s="460" t="s">
        <v>1286</v>
      </c>
      <c r="C64" s="460" t="s">
        <v>1284</v>
      </c>
      <c r="D64" s="11">
        <v>63.54</v>
      </c>
      <c r="E64" s="548">
        <v>7</v>
      </c>
      <c r="F64" s="548">
        <v>4991.2</v>
      </c>
      <c r="G64" s="11">
        <f t="shared" si="5"/>
        <v>6034.5706475257912</v>
      </c>
      <c r="H64" s="652">
        <v>0.97599999999999998</v>
      </c>
      <c r="I64" s="651">
        <v>0.88</v>
      </c>
      <c r="J64" s="651">
        <f t="shared" si="6"/>
        <v>0.85887999999999998</v>
      </c>
      <c r="K64" s="581">
        <f t="shared" si="7"/>
        <v>0.87449398942138168</v>
      </c>
      <c r="L64" s="536">
        <f t="shared" si="8"/>
        <v>0.35645145559135949</v>
      </c>
      <c r="M64" s="582">
        <v>9.6760000000000002</v>
      </c>
      <c r="N64" s="12">
        <f t="shared" si="11"/>
        <v>25080191.999999996</v>
      </c>
      <c r="O64" s="12">
        <f t="shared" si="9"/>
        <v>497.62285714285707</v>
      </c>
      <c r="P64" s="11">
        <f t="shared" si="10"/>
        <v>5680.3939983963028</v>
      </c>
      <c r="Q64" s="187"/>
    </row>
    <row r="65" spans="2:18" x14ac:dyDescent="0.25">
      <c r="B65" s="460" t="s">
        <v>1287</v>
      </c>
      <c r="C65" s="460" t="s">
        <v>1284</v>
      </c>
      <c r="D65" s="11">
        <v>59.28</v>
      </c>
      <c r="E65" s="548">
        <v>7</v>
      </c>
      <c r="F65" s="527">
        <v>4658.66</v>
      </c>
      <c r="G65" s="11">
        <f t="shared" si="5"/>
        <v>5635.0461580915544</v>
      </c>
      <c r="H65" s="652">
        <v>0.97599999999999998</v>
      </c>
      <c r="I65" s="651">
        <v>0.88</v>
      </c>
      <c r="J65" s="651">
        <f t="shared" si="6"/>
        <v>0.85887999999999998</v>
      </c>
      <c r="K65" s="581">
        <f t="shared" si="7"/>
        <v>0.87410130810147146</v>
      </c>
      <c r="L65" s="536">
        <f t="shared" si="8"/>
        <v>0.35677179207236892</v>
      </c>
      <c r="M65" s="582">
        <v>9.4459999999999997</v>
      </c>
      <c r="N65" s="12">
        <f t="shared" si="11"/>
        <v>24484032</v>
      </c>
      <c r="O65" s="12">
        <f t="shared" si="9"/>
        <v>485.79428571428571</v>
      </c>
      <c r="P65" s="11">
        <f t="shared" si="10"/>
        <v>5178.2336580669962</v>
      </c>
      <c r="Q65" s="187"/>
    </row>
    <row r="66" spans="2:18" x14ac:dyDescent="0.25">
      <c r="B66" s="460" t="s">
        <v>1288</v>
      </c>
      <c r="C66" s="460" t="s">
        <v>1284</v>
      </c>
      <c r="D66" s="11">
        <v>41.71</v>
      </c>
      <c r="E66" s="548">
        <v>4.5</v>
      </c>
      <c r="F66" s="527">
        <v>2092.2199999999998</v>
      </c>
      <c r="G66" s="11">
        <f t="shared" si="5"/>
        <v>2512.7175682275861</v>
      </c>
      <c r="H66" s="652">
        <v>0.97</v>
      </c>
      <c r="I66" s="651">
        <v>0.88</v>
      </c>
      <c r="J66" s="651">
        <f t="shared" si="6"/>
        <v>0.85360000000000003</v>
      </c>
      <c r="K66" s="581">
        <f t="shared" si="7"/>
        <v>0.88036325051858799</v>
      </c>
      <c r="L66" s="536">
        <f t="shared" si="8"/>
        <v>0.35171447283800067</v>
      </c>
      <c r="M66" s="582">
        <v>7.484</v>
      </c>
      <c r="N66" s="12">
        <f t="shared" si="11"/>
        <v>19398528</v>
      </c>
      <c r="O66" s="12">
        <f t="shared" si="9"/>
        <v>598.72</v>
      </c>
      <c r="P66" s="11">
        <f t="shared" si="10"/>
        <v>2845.7661258852181</v>
      </c>
      <c r="Q66" s="187"/>
    </row>
    <row r="67" spans="2:18" x14ac:dyDescent="0.25">
      <c r="B67" s="460" t="s">
        <v>1289</v>
      </c>
      <c r="C67" s="460" t="s">
        <v>1284</v>
      </c>
      <c r="D67" s="11">
        <v>62.98</v>
      </c>
      <c r="E67" s="548">
        <v>4.5</v>
      </c>
      <c r="F67" s="527">
        <v>3179.2</v>
      </c>
      <c r="G67" s="11">
        <f t="shared" si="5"/>
        <v>3842.396789134807</v>
      </c>
      <c r="H67" s="652">
        <v>0.97</v>
      </c>
      <c r="I67" s="651">
        <v>0.88</v>
      </c>
      <c r="J67" s="651">
        <f t="shared" si="6"/>
        <v>0.85360000000000003</v>
      </c>
      <c r="K67" s="581">
        <f t="shared" si="7"/>
        <v>0.87481026673376938</v>
      </c>
      <c r="L67" s="536">
        <f t="shared" si="8"/>
        <v>0.35619376056147573</v>
      </c>
      <c r="M67" s="582">
        <v>7.39</v>
      </c>
      <c r="N67" s="12">
        <f t="shared" si="11"/>
        <v>19154879.999999996</v>
      </c>
      <c r="O67" s="12">
        <f t="shared" si="9"/>
        <v>591.19999999999982</v>
      </c>
      <c r="P67" s="11">
        <f t="shared" si="10"/>
        <v>4297.0301366433323</v>
      </c>
      <c r="Q67" s="187"/>
    </row>
    <row r="68" spans="2:18" x14ac:dyDescent="0.25">
      <c r="B68" s="645" t="s">
        <v>1290</v>
      </c>
      <c r="C68" s="646"/>
      <c r="D68" s="11">
        <f>SUM(D62:D67)</f>
        <v>332.44</v>
      </c>
      <c r="E68" s="548"/>
      <c r="F68" s="527">
        <f>16*30+15</f>
        <v>495</v>
      </c>
      <c r="G68" s="12">
        <f>F68</f>
        <v>495</v>
      </c>
      <c r="H68" s="584"/>
      <c r="I68" s="536"/>
      <c r="J68" s="536"/>
      <c r="K68" s="581"/>
      <c r="L68" s="11"/>
      <c r="M68" s="527"/>
      <c r="N68" s="12"/>
      <c r="O68" s="12"/>
      <c r="P68" s="11">
        <f>F68*30*24*0.15/1000</f>
        <v>53.46</v>
      </c>
      <c r="Q68" s="187"/>
    </row>
    <row r="69" spans="2:18" ht="18.75" x14ac:dyDescent="0.3">
      <c r="E69" s="548" t="s">
        <v>146</v>
      </c>
      <c r="F69" s="527">
        <f>SUM(F62:F67)*2+F68</f>
        <v>47037.560000000005</v>
      </c>
      <c r="G69" s="585">
        <f>SUM(G62:G67)*2+G68</f>
        <v>56998.871017249767</v>
      </c>
      <c r="H69" s="446"/>
      <c r="I69" s="586"/>
      <c r="J69" s="586"/>
      <c r="M69" s="3"/>
      <c r="N69" s="3"/>
      <c r="O69" s="649" t="s">
        <v>1291</v>
      </c>
      <c r="P69" s="650">
        <f>SUM(P57:P68)</f>
        <v>59065.651555167889</v>
      </c>
      <c r="Q69" s="600"/>
      <c r="R69" s="587"/>
    </row>
    <row r="70" spans="2:18" ht="19.5" thickBot="1" x14ac:dyDescent="0.35">
      <c r="D70" s="588"/>
      <c r="E70" s="535"/>
      <c r="F70" s="185"/>
      <c r="G70" s="446"/>
      <c r="H70" s="586"/>
      <c r="I70" s="586"/>
      <c r="K70" s="589"/>
      <c r="L70" s="589"/>
      <c r="M70" s="590"/>
      <c r="O70" s="591" t="s">
        <v>1292</v>
      </c>
      <c r="P70" s="650">
        <f>P69*12</f>
        <v>708787.81866201467</v>
      </c>
      <c r="Q70" s="592"/>
    </row>
    <row r="71" spans="2:18" ht="18.75" x14ac:dyDescent="0.3">
      <c r="B71" s="593" t="s">
        <v>1293</v>
      </c>
      <c r="C71" s="594"/>
      <c r="D71" s="594"/>
      <c r="E71" s="641"/>
      <c r="F71" s="187"/>
      <c r="G71" s="595"/>
      <c r="H71" s="586"/>
      <c r="I71" s="586"/>
      <c r="K71" s="589"/>
      <c r="L71" s="596"/>
      <c r="M71" s="597"/>
      <c r="N71" s="598"/>
      <c r="O71" s="599"/>
      <c r="P71" s="600"/>
      <c r="Q71" s="592"/>
    </row>
    <row r="72" spans="2:18" ht="18.75" x14ac:dyDescent="0.3">
      <c r="B72" s="601" t="s">
        <v>1294</v>
      </c>
      <c r="C72" s="602"/>
      <c r="D72" s="602"/>
      <c r="E72" s="642"/>
      <c r="F72" s="187"/>
      <c r="G72" s="603"/>
      <c r="H72" s="586"/>
      <c r="I72" s="586"/>
      <c r="K72" s="589"/>
      <c r="L72" s="589"/>
      <c r="M72" s="597"/>
      <c r="N72" s="598"/>
      <c r="O72" s="598"/>
      <c r="P72" s="600"/>
      <c r="Q72" s="587"/>
    </row>
    <row r="73" spans="2:18" ht="19.5" thickBot="1" x14ac:dyDescent="0.35">
      <c r="B73" s="604" t="s">
        <v>1295</v>
      </c>
      <c r="C73" s="605"/>
      <c r="D73" s="605"/>
      <c r="E73" s="643"/>
      <c r="F73" s="187"/>
      <c r="G73" s="606"/>
      <c r="H73" s="586"/>
      <c r="I73" s="586"/>
      <c r="K73" s="589"/>
      <c r="L73" s="589"/>
      <c r="M73" s="597"/>
      <c r="N73" s="598"/>
      <c r="O73" s="607"/>
      <c r="P73" s="600"/>
      <c r="Q73" s="592"/>
    </row>
    <row r="74" spans="2:18" ht="18.75" x14ac:dyDescent="0.3">
      <c r="E74" s="537"/>
      <c r="F74" s="608"/>
      <c r="G74" s="609"/>
      <c r="H74" s="586"/>
      <c r="I74" s="586"/>
      <c r="K74" s="610"/>
      <c r="L74" s="597"/>
      <c r="M74" s="49"/>
      <c r="N74" s="18"/>
      <c r="O74" s="611"/>
      <c r="P74" s="612"/>
    </row>
    <row r="75" spans="2:18" x14ac:dyDescent="0.25">
      <c r="E75" s="535"/>
      <c r="F75" s="3"/>
      <c r="G75" s="446"/>
      <c r="H75" s="586"/>
      <c r="I75" s="586"/>
      <c r="L75" s="3"/>
      <c r="M75" s="18"/>
      <c r="N75" s="18"/>
      <c r="O75" s="185"/>
      <c r="P75" s="187"/>
    </row>
    <row r="76" spans="2:18" ht="15.75" thickBot="1" x14ac:dyDescent="0.3">
      <c r="E76" s="535"/>
      <c r="F76" s="3"/>
      <c r="G76" s="446"/>
      <c r="H76" s="586"/>
      <c r="I76" s="586"/>
      <c r="O76" s="95"/>
      <c r="Q76" s="613"/>
    </row>
    <row r="77" spans="2:18" ht="45.75" thickBot="1" x14ac:dyDescent="0.3">
      <c r="D77" s="614" t="s">
        <v>1296</v>
      </c>
      <c r="E77" s="615"/>
      <c r="F77" s="616" t="s">
        <v>1297</v>
      </c>
      <c r="G77" s="617" t="s">
        <v>1298</v>
      </c>
      <c r="H77" s="618" t="s">
        <v>1299</v>
      </c>
      <c r="I77" s="618" t="s">
        <v>1300</v>
      </c>
      <c r="J77" s="615" t="s">
        <v>1301</v>
      </c>
      <c r="K77" s="618" t="s">
        <v>1302</v>
      </c>
      <c r="L77" s="618" t="s">
        <v>1303</v>
      </c>
      <c r="M77" s="615" t="s">
        <v>1304</v>
      </c>
      <c r="N77" s="618" t="s">
        <v>1305</v>
      </c>
      <c r="O77" s="619" t="s">
        <v>1306</v>
      </c>
      <c r="Q77" s="620">
        <f>Q73/687484800</f>
        <v>0</v>
      </c>
    </row>
    <row r="78" spans="2:18" x14ac:dyDescent="0.25">
      <c r="D78" s="621" t="s">
        <v>1307</v>
      </c>
      <c r="E78" s="622" t="s">
        <v>1278</v>
      </c>
      <c r="F78" s="623">
        <f>F57*2/K57</f>
        <v>11546.649967170824</v>
      </c>
      <c r="G78" s="624">
        <f>F78/(3^1/2)/230/0.975</f>
        <v>34.326718594339134</v>
      </c>
      <c r="H78" s="625"/>
      <c r="I78" s="626"/>
      <c r="J78" s="627"/>
      <c r="K78" s="627"/>
      <c r="L78" s="627"/>
      <c r="M78" s="627"/>
      <c r="N78" s="627"/>
      <c r="O78" s="628"/>
    </row>
    <row r="79" spans="2:18" x14ac:dyDescent="0.25">
      <c r="D79" s="399" t="s">
        <v>1308</v>
      </c>
      <c r="E79" s="460" t="s">
        <v>1280</v>
      </c>
      <c r="F79" s="12">
        <f>F58*2/K58</f>
        <v>22497.461264606438</v>
      </c>
      <c r="G79" s="629">
        <f t="shared" ref="G79:G89" si="12">F79/(3^1/2)/230/0.975</f>
        <v>66.882084770290419</v>
      </c>
      <c r="H79" s="7"/>
      <c r="I79" s="630"/>
      <c r="J79" s="7"/>
      <c r="K79" s="7"/>
      <c r="L79" s="7"/>
      <c r="M79" s="7"/>
      <c r="N79" s="7"/>
      <c r="O79" s="631"/>
    </row>
    <row r="80" spans="2:18" x14ac:dyDescent="0.25">
      <c r="D80" s="399" t="s">
        <v>1309</v>
      </c>
      <c r="E80" s="460" t="s">
        <v>1281</v>
      </c>
      <c r="F80" s="12">
        <f>F59*2/K59</f>
        <v>30454.108996082192</v>
      </c>
      <c r="G80" s="629">
        <f t="shared" si="12"/>
        <v>90.536184306450224</v>
      </c>
      <c r="H80" s="7"/>
      <c r="I80" s="630"/>
      <c r="J80" s="7"/>
      <c r="K80" s="7"/>
      <c r="L80" s="7"/>
      <c r="M80" s="7"/>
      <c r="N80" s="7"/>
      <c r="O80" s="631"/>
    </row>
    <row r="81" spans="4:15" x14ac:dyDescent="0.25">
      <c r="D81" s="399" t="s">
        <v>1282</v>
      </c>
      <c r="E81" s="460"/>
      <c r="F81" s="12">
        <f>F60</f>
        <v>135</v>
      </c>
      <c r="G81" s="629">
        <f>F81/(3^1/2)/13.8/0.975</f>
        <v>6.6889632107023411</v>
      </c>
      <c r="H81" s="7"/>
      <c r="I81" s="630"/>
      <c r="J81" s="7"/>
      <c r="K81" s="7"/>
      <c r="L81" s="7"/>
      <c r="M81" s="7"/>
      <c r="N81" s="7"/>
      <c r="O81" s="631"/>
    </row>
    <row r="82" spans="4:15" x14ac:dyDescent="0.25">
      <c r="D82" s="399" t="s">
        <v>1310</v>
      </c>
      <c r="E82" s="460"/>
      <c r="F82" s="12">
        <f>SUM(F78:F81)</f>
        <v>64633.220227859456</v>
      </c>
      <c r="G82" s="629">
        <f>SUM(G78:G81)</f>
        <v>198.43395088178212</v>
      </c>
      <c r="H82" s="7">
        <v>124</v>
      </c>
      <c r="I82" s="630">
        <v>0.09</v>
      </c>
      <c r="J82" s="11">
        <f>(G82)^2*H82*I82*3/1000/2</f>
        <v>659.15479011914579</v>
      </c>
      <c r="K82" s="630">
        <f>6.922+16.758+1.266+3.652+2.22+38.155+5.03+0.416+0.005+0.005+0.014+0.049</f>
        <v>74.49199999999999</v>
      </c>
      <c r="L82" s="632">
        <v>0.53600000000000003</v>
      </c>
      <c r="M82" s="13">
        <f>(F81/(3^0.5)/13.8)^2*K82*L82*3/1000/2</f>
        <v>1.910529697542533</v>
      </c>
      <c r="N82" s="12">
        <f>J82+M82</f>
        <v>661.06531981668832</v>
      </c>
      <c r="O82" s="538">
        <f>N82/F82</f>
        <v>1.022794961300324E-2</v>
      </c>
    </row>
    <row r="83" spans="4:15" x14ac:dyDescent="0.25">
      <c r="D83" s="399"/>
      <c r="E83" s="460"/>
      <c r="F83" s="12"/>
      <c r="G83" s="629"/>
      <c r="H83" s="7"/>
      <c r="I83" s="7"/>
      <c r="J83" s="7"/>
      <c r="K83" s="13"/>
      <c r="L83" s="13"/>
      <c r="M83" s="13"/>
      <c r="N83" s="7"/>
      <c r="O83" s="631"/>
    </row>
    <row r="84" spans="4:15" x14ac:dyDescent="0.25">
      <c r="D84" s="399" t="s">
        <v>1311</v>
      </c>
      <c r="E84" s="460" t="s">
        <v>1283</v>
      </c>
      <c r="F84" s="12">
        <f t="shared" ref="F84:F89" si="13">F62*2/K62</f>
        <v>11393.782303816988</v>
      </c>
      <c r="G84" s="629">
        <f t="shared" si="12"/>
        <v>33.872262515992531</v>
      </c>
      <c r="H84" s="7"/>
      <c r="I84" s="7"/>
      <c r="J84" s="7"/>
      <c r="K84" s="13"/>
      <c r="L84" s="13"/>
      <c r="M84" s="13"/>
      <c r="N84" s="7"/>
      <c r="O84" s="631"/>
    </row>
    <row r="85" spans="4:15" x14ac:dyDescent="0.25">
      <c r="D85" s="399" t="s">
        <v>1312</v>
      </c>
      <c r="E85" s="460" t="s">
        <v>1285</v>
      </c>
      <c r="F85" s="12">
        <f t="shared" si="13"/>
        <v>7952.10693413846</v>
      </c>
      <c r="G85" s="629">
        <f t="shared" si="12"/>
        <v>23.640600324454731</v>
      </c>
      <c r="H85" s="7"/>
      <c r="I85" s="7"/>
      <c r="J85" s="7"/>
      <c r="K85" s="13"/>
      <c r="L85" s="13"/>
      <c r="M85" s="13"/>
      <c r="N85" s="7"/>
      <c r="O85" s="631"/>
    </row>
    <row r="86" spans="4:15" x14ac:dyDescent="0.25">
      <c r="D86" s="399" t="s">
        <v>1313</v>
      </c>
      <c r="E86" s="460" t="s">
        <v>1286</v>
      </c>
      <c r="F86" s="12">
        <f t="shared" si="13"/>
        <v>11415.058446090592</v>
      </c>
      <c r="G86" s="629">
        <f t="shared" si="12"/>
        <v>33.935513775074227</v>
      </c>
      <c r="H86" s="7"/>
      <c r="I86" s="7"/>
      <c r="J86" s="7"/>
      <c r="K86" s="13"/>
      <c r="L86" s="13"/>
      <c r="M86" s="13"/>
      <c r="N86" s="7"/>
      <c r="O86" s="631"/>
    </row>
    <row r="87" spans="4:15" x14ac:dyDescent="0.25">
      <c r="D87" s="399" t="s">
        <v>1314</v>
      </c>
      <c r="E87" s="460" t="s">
        <v>1287</v>
      </c>
      <c r="F87" s="12">
        <f t="shared" si="13"/>
        <v>10659.313644361213</v>
      </c>
      <c r="G87" s="629">
        <f t="shared" si="12"/>
        <v>31.688780808208733</v>
      </c>
      <c r="H87" s="7"/>
      <c r="I87" s="7"/>
      <c r="J87" s="7"/>
      <c r="K87" s="13"/>
      <c r="L87" s="13"/>
      <c r="M87" s="13"/>
      <c r="N87" s="7"/>
      <c r="O87" s="631"/>
    </row>
    <row r="88" spans="4:15" x14ac:dyDescent="0.25">
      <c r="D88" s="399" t="s">
        <v>1315</v>
      </c>
      <c r="E88" s="460" t="s">
        <v>1288</v>
      </c>
      <c r="F88" s="12">
        <f t="shared" si="13"/>
        <v>4753.083454511655</v>
      </c>
      <c r="G88" s="629">
        <f t="shared" si="12"/>
        <v>14.130311273167314</v>
      </c>
      <c r="H88" s="7"/>
      <c r="I88" s="7"/>
      <c r="J88" s="7"/>
      <c r="K88" s="13"/>
      <c r="L88" s="13"/>
      <c r="M88" s="13"/>
      <c r="N88" s="7"/>
      <c r="O88" s="631"/>
    </row>
    <row r="89" spans="4:15" x14ac:dyDescent="0.25">
      <c r="D89" s="399" t="s">
        <v>1316</v>
      </c>
      <c r="E89" s="460" t="s">
        <v>1289</v>
      </c>
      <c r="F89" s="12">
        <f t="shared" si="13"/>
        <v>7268.3189050124038</v>
      </c>
      <c r="G89" s="629">
        <f t="shared" si="12"/>
        <v>21.607785670791237</v>
      </c>
      <c r="H89" s="7"/>
      <c r="I89" s="7"/>
      <c r="J89" s="7"/>
      <c r="K89" s="13"/>
      <c r="L89" s="13"/>
      <c r="M89" s="13"/>
      <c r="N89" s="7"/>
      <c r="O89" s="631"/>
    </row>
    <row r="90" spans="4:15" x14ac:dyDescent="0.25">
      <c r="D90" s="399" t="s">
        <v>1290</v>
      </c>
      <c r="E90" s="7"/>
      <c r="F90" s="12">
        <f>F68</f>
        <v>495</v>
      </c>
      <c r="G90" s="629">
        <f>F90/(3^1/2)/13.8/0.975</f>
        <v>24.526198439241917</v>
      </c>
      <c r="H90" s="7"/>
      <c r="I90" s="7"/>
      <c r="J90" s="7"/>
      <c r="K90" s="13"/>
      <c r="L90" s="13"/>
      <c r="M90" s="13"/>
      <c r="N90" s="7"/>
      <c r="O90" s="631"/>
    </row>
    <row r="91" spans="4:15" x14ac:dyDescent="0.25">
      <c r="D91" s="399" t="s">
        <v>1310</v>
      </c>
      <c r="E91" s="7"/>
      <c r="F91" s="12">
        <f>SUM(F84:F90)</f>
        <v>53936.663687931316</v>
      </c>
      <c r="G91" s="633">
        <f>SUM(G84:G90)</f>
        <v>183.40145280693068</v>
      </c>
      <c r="H91" s="7">
        <v>146</v>
      </c>
      <c r="I91" s="7">
        <v>0.09</v>
      </c>
      <c r="J91" s="11">
        <f>(G91)^2*H91*I91*3/1000/2</f>
        <v>662.96739089526545</v>
      </c>
      <c r="K91" s="630">
        <f>7.067+2.909+0.889+0.01+2.77+2.217+0.025+0.169+10.772+1.265+4.116+2.143+0.02+1.36+1.413+29.91+0.02+0.991+1.02+0.02+19.86+0.02+4.697+5.683+2.4+13.22+41.892+5.298+2.944+3.854+7.37+0.12+5.68+0.31+0.032+0.13+0.07+0.03+0.21+0.06+0.1+0.024+0.04</f>
        <v>183.15</v>
      </c>
      <c r="L91" s="632">
        <v>0.53600000000000003</v>
      </c>
      <c r="M91" s="13">
        <f>(F90/(3^0.5)/13.8)^2*K91*L91*3/1000/2</f>
        <v>63.152993620037805</v>
      </c>
      <c r="N91" s="12">
        <f>J91+M91</f>
        <v>726.12038451530327</v>
      </c>
      <c r="O91" s="538">
        <f>N91/F91</f>
        <v>1.3462463839374951E-2</v>
      </c>
    </row>
    <row r="92" spans="4:15" ht="15.75" thickBot="1" x14ac:dyDescent="0.3">
      <c r="D92" s="634"/>
      <c r="E92" s="635"/>
      <c r="F92" s="635"/>
      <c r="G92" s="635"/>
      <c r="H92" s="635"/>
      <c r="I92" s="635"/>
      <c r="J92" s="635"/>
      <c r="K92" s="635"/>
      <c r="L92" s="635"/>
      <c r="M92" s="635"/>
      <c r="N92" s="635"/>
      <c r="O92" s="636"/>
    </row>
    <row r="93" spans="4:15" ht="15.75" thickBot="1" x14ac:dyDescent="0.3">
      <c r="D93" s="637" t="s">
        <v>146</v>
      </c>
      <c r="E93" s="638"/>
      <c r="F93" s="639">
        <f>F91+F82</f>
        <v>118569.88391579076</v>
      </c>
      <c r="G93" s="638"/>
      <c r="H93" s="639">
        <f>H91+H82</f>
        <v>270</v>
      </c>
      <c r="I93" s="638"/>
      <c r="J93" s="639">
        <f>J91+J82</f>
        <v>1322.1221810144111</v>
      </c>
      <c r="K93" s="639">
        <f>K91+K82</f>
        <v>257.642</v>
      </c>
      <c r="L93" s="638"/>
      <c r="M93" s="639">
        <f>M91+M82</f>
        <v>65.063523317580334</v>
      </c>
      <c r="N93" s="639">
        <f>N91+N82</f>
        <v>1387.1857043319915</v>
      </c>
      <c r="O93" s="640">
        <f>N93/F93</f>
        <v>1.1699308951986336E-2</v>
      </c>
    </row>
    <row r="94" spans="4:15" x14ac:dyDescent="0.25">
      <c r="F94"/>
    </row>
  </sheetData>
  <mergeCells count="5">
    <mergeCell ref="B60:C60"/>
    <mergeCell ref="B6:C6"/>
    <mergeCell ref="D6:E6"/>
    <mergeCell ref="F6:F9"/>
    <mergeCell ref="B41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showGridLines="0" workbookViewId="0">
      <selection activeCell="A2" sqref="A2:F8"/>
    </sheetView>
  </sheetViews>
  <sheetFormatPr defaultColWidth="12.5703125" defaultRowHeight="12.75" x14ac:dyDescent="0.2"/>
  <cols>
    <col min="1" max="1" width="12.5703125" style="216"/>
    <col min="2" max="2" width="49" style="216" bestFit="1" customWidth="1"/>
    <col min="3" max="3" width="16.7109375" style="216" customWidth="1"/>
    <col min="4" max="4" width="19.85546875" style="216" customWidth="1"/>
    <col min="5" max="6" width="20.7109375" style="216" bestFit="1" customWidth="1"/>
    <col min="7" max="7" width="15" style="216" bestFit="1" customWidth="1"/>
    <col min="8" max="8" width="43.85546875" style="216" customWidth="1"/>
    <col min="9" max="9" width="49" style="216" bestFit="1" customWidth="1"/>
    <col min="10" max="10" width="12.5703125" style="216"/>
    <col min="11" max="11" width="14.28515625" style="216" bestFit="1" customWidth="1"/>
    <col min="12" max="12" width="21.140625" style="216" customWidth="1"/>
    <col min="13" max="13" width="19.140625" style="216" customWidth="1"/>
    <col min="14" max="16384" width="12.5703125" style="216"/>
  </cols>
  <sheetData>
    <row r="2" spans="1:6" x14ac:dyDescent="0.2">
      <c r="A2" s="218" t="s">
        <v>559</v>
      </c>
      <c r="B2" s="218" t="s">
        <v>558</v>
      </c>
      <c r="C2" s="218" t="s">
        <v>557</v>
      </c>
      <c r="D2" s="218" t="s">
        <v>556</v>
      </c>
      <c r="E2" s="218" t="s">
        <v>555</v>
      </c>
      <c r="F2" s="218" t="s">
        <v>9</v>
      </c>
    </row>
    <row r="3" spans="1:6" ht="15" x14ac:dyDescent="0.25">
      <c r="A3" s="222" t="s">
        <v>554</v>
      </c>
      <c r="B3" s="222" t="s">
        <v>553</v>
      </c>
      <c r="C3" s="220">
        <v>40017</v>
      </c>
      <c r="D3" s="219">
        <v>35309770.784000002</v>
      </c>
      <c r="E3" s="218">
        <v>1.6080000000000001</v>
      </c>
      <c r="F3" s="217">
        <f>E3*D3</f>
        <v>56778111.420672007</v>
      </c>
    </row>
    <row r="4" spans="1:6" ht="15" x14ac:dyDescent="0.25">
      <c r="A4" s="222" t="s">
        <v>552</v>
      </c>
      <c r="B4" s="222" t="s">
        <v>551</v>
      </c>
      <c r="C4" s="220">
        <v>40017</v>
      </c>
      <c r="D4" s="219">
        <v>40251043.048999995</v>
      </c>
      <c r="E4" s="218">
        <v>1.6080000000000001</v>
      </c>
      <c r="F4" s="217">
        <f>E4*D4</f>
        <v>64723677.222791992</v>
      </c>
    </row>
    <row r="5" spans="1:6" ht="14.25" customHeight="1" x14ac:dyDescent="0.25">
      <c r="A5" s="222" t="s">
        <v>550</v>
      </c>
      <c r="B5" s="222" t="s">
        <v>549</v>
      </c>
      <c r="C5" s="220">
        <v>41500</v>
      </c>
      <c r="D5" s="219">
        <v>20161090.785599999</v>
      </c>
      <c r="E5" s="218">
        <v>1.2549999999999999</v>
      </c>
      <c r="F5" s="217">
        <f>E5*D5</f>
        <v>25302168.935927998</v>
      </c>
    </row>
    <row r="6" spans="1:6" ht="15" x14ac:dyDescent="0.25">
      <c r="A6" s="222" t="s">
        <v>548</v>
      </c>
      <c r="B6" s="325" t="s">
        <v>547</v>
      </c>
      <c r="C6" s="220">
        <v>41879</v>
      </c>
      <c r="D6" s="219">
        <v>10507343.437200001</v>
      </c>
      <c r="E6" s="218">
        <v>1.1919999999999999</v>
      </c>
      <c r="F6" s="217">
        <f>E6*D6</f>
        <v>12524753.3771424</v>
      </c>
    </row>
    <row r="7" spans="1:6" x14ac:dyDescent="0.2">
      <c r="A7" s="218"/>
      <c r="B7" s="218"/>
      <c r="C7" s="218"/>
      <c r="D7" s="218"/>
      <c r="E7" s="218"/>
      <c r="F7" s="217">
        <f>SUM(F3:F6)</f>
        <v>159328710.95653439</v>
      </c>
    </row>
    <row r="8" spans="1:6" x14ac:dyDescent="0.2">
      <c r="A8" s="218" t="s">
        <v>489</v>
      </c>
      <c r="B8" s="495" t="s">
        <v>546</v>
      </c>
      <c r="C8" s="495">
        <v>1.7999999999999999E-2</v>
      </c>
      <c r="D8" s="218"/>
      <c r="E8" s="218"/>
      <c r="F8" s="217">
        <f>F7*C8</f>
        <v>2867916.7972176187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workbookViewId="0">
      <selection activeCell="E42" sqref="E42"/>
    </sheetView>
  </sheetViews>
  <sheetFormatPr defaultColWidth="12.5703125" defaultRowHeight="12.75" x14ac:dyDescent="0.2"/>
  <cols>
    <col min="1" max="2" width="12.5703125" style="216"/>
    <col min="3" max="3" width="61.5703125" style="216" customWidth="1"/>
    <col min="4" max="4" width="12.5703125" style="216"/>
    <col min="5" max="5" width="15" style="216" bestFit="1" customWidth="1"/>
    <col min="6" max="6" width="20.7109375" style="216" bestFit="1" customWidth="1"/>
    <col min="7" max="7" width="14.7109375" style="216" customWidth="1"/>
    <col min="8" max="16384" width="12.5703125" style="216"/>
  </cols>
  <sheetData>
    <row r="2" spans="2:7" x14ac:dyDescent="0.2">
      <c r="B2" s="218" t="s">
        <v>598</v>
      </c>
      <c r="C2" s="218"/>
      <c r="D2" s="218"/>
      <c r="E2" s="218"/>
      <c r="F2" s="218"/>
      <c r="G2" s="218"/>
    </row>
    <row r="3" spans="2:7" x14ac:dyDescent="0.2">
      <c r="B3" s="218" t="s">
        <v>559</v>
      </c>
      <c r="C3" s="218" t="s">
        <v>558</v>
      </c>
      <c r="D3" s="218" t="s">
        <v>557</v>
      </c>
      <c r="E3" s="218" t="s">
        <v>556</v>
      </c>
      <c r="F3" s="218" t="s">
        <v>555</v>
      </c>
      <c r="G3" s="218" t="s">
        <v>9</v>
      </c>
    </row>
    <row r="4" spans="2:7" ht="15" x14ac:dyDescent="0.25">
      <c r="B4" s="222" t="s">
        <v>597</v>
      </c>
      <c r="C4" s="222" t="s">
        <v>596</v>
      </c>
      <c r="D4" s="220">
        <v>40017</v>
      </c>
      <c r="E4" s="219">
        <v>30616347.631999988</v>
      </c>
      <c r="F4" s="218">
        <v>1.6080000000000001</v>
      </c>
      <c r="G4" s="217">
        <f>F4*E4</f>
        <v>49231086.992255986</v>
      </c>
    </row>
    <row r="5" spans="2:7" ht="15" x14ac:dyDescent="0.25">
      <c r="B5" s="222" t="s">
        <v>594</v>
      </c>
      <c r="C5" s="222" t="s">
        <v>595</v>
      </c>
      <c r="D5" s="220">
        <v>41410</v>
      </c>
      <c r="E5" s="219">
        <v>21119291.794</v>
      </c>
      <c r="F5" s="218">
        <v>1.268</v>
      </c>
      <c r="G5" s="217">
        <f>F5*E5</f>
        <v>26779261.994791999</v>
      </c>
    </row>
    <row r="6" spans="2:7" ht="15" x14ac:dyDescent="0.25">
      <c r="B6" s="222" t="s">
        <v>594</v>
      </c>
      <c r="C6" s="222" t="s">
        <v>593</v>
      </c>
      <c r="D6" s="220">
        <v>41410</v>
      </c>
      <c r="E6" s="219">
        <v>33980015.173999995</v>
      </c>
      <c r="F6" s="218">
        <v>1.268</v>
      </c>
      <c r="G6" s="217">
        <f>F6*E6</f>
        <v>43086659.240631998</v>
      </c>
    </row>
    <row r="7" spans="2:7" ht="15" x14ac:dyDescent="0.25">
      <c r="B7" s="222" t="s">
        <v>592</v>
      </c>
      <c r="C7" s="325" t="s">
        <v>591</v>
      </c>
      <c r="D7" s="220">
        <v>42148</v>
      </c>
      <c r="E7" s="219">
        <v>39703524.853199996</v>
      </c>
      <c r="F7" s="218">
        <v>1.1339999999999999</v>
      </c>
      <c r="G7" s="217">
        <f>F7*E7</f>
        <v>45023797.183528788</v>
      </c>
    </row>
    <row r="8" spans="2:7" ht="15" x14ac:dyDescent="0.25">
      <c r="B8" s="224" t="s">
        <v>590</v>
      </c>
      <c r="C8" s="325" t="s">
        <v>589</v>
      </c>
      <c r="D8" s="220">
        <v>42148</v>
      </c>
      <c r="E8" s="219">
        <v>6969138.4484999999</v>
      </c>
      <c r="F8" s="218">
        <v>1.1339999999999999</v>
      </c>
      <c r="G8" s="217">
        <f>F8*E8</f>
        <v>7903003.0005989997</v>
      </c>
    </row>
    <row r="9" spans="2:7" x14ac:dyDescent="0.2">
      <c r="B9" s="218"/>
      <c r="C9" s="218"/>
      <c r="D9" s="218"/>
      <c r="E9" s="217">
        <f>SUM(E4:E8)</f>
        <v>132388317.90169999</v>
      </c>
      <c r="F9" s="218"/>
      <c r="G9" s="217">
        <f>SUM(G4:G8)</f>
        <v>172023808.41180778</v>
      </c>
    </row>
    <row r="10" spans="2:7" x14ac:dyDescent="0.2">
      <c r="B10" s="218" t="s">
        <v>489</v>
      </c>
      <c r="C10" s="495" t="s">
        <v>546</v>
      </c>
      <c r="D10" s="495">
        <v>0.02</v>
      </c>
      <c r="E10" s="218"/>
      <c r="F10" s="218"/>
      <c r="G10" s="217">
        <f>G9*D10</f>
        <v>3440476.1682361555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showGridLines="0" workbookViewId="0">
      <selection activeCell="E13" sqref="E13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20.7109375" bestFit="1" customWidth="1"/>
    <col min="6" max="6" width="20.5703125" customWidth="1"/>
  </cols>
  <sheetData>
    <row r="2" spans="1:6" x14ac:dyDescent="0.25">
      <c r="A2" s="218" t="s">
        <v>559</v>
      </c>
      <c r="B2" s="218" t="s">
        <v>558</v>
      </c>
      <c r="C2" s="218" t="s">
        <v>557</v>
      </c>
      <c r="D2" s="218" t="s">
        <v>556</v>
      </c>
      <c r="E2" s="218" t="s">
        <v>555</v>
      </c>
      <c r="F2" s="218" t="s">
        <v>9</v>
      </c>
    </row>
    <row r="3" spans="1:6" x14ac:dyDescent="0.25">
      <c r="A3" s="225" t="s">
        <v>602</v>
      </c>
      <c r="B3" s="222" t="s">
        <v>601</v>
      </c>
      <c r="C3" s="220">
        <v>41573</v>
      </c>
      <c r="D3" s="219">
        <v>13977401.869999999</v>
      </c>
      <c r="E3" s="7">
        <v>1.2350000000000001</v>
      </c>
      <c r="F3" s="12">
        <f>D3*E3</f>
        <v>17262091.309450001</v>
      </c>
    </row>
    <row r="4" spans="1:6" x14ac:dyDescent="0.25">
      <c r="A4" s="225" t="s">
        <v>600</v>
      </c>
      <c r="B4" s="222" t="s">
        <v>599</v>
      </c>
      <c r="C4" s="220">
        <v>41573</v>
      </c>
      <c r="D4" s="219">
        <v>16480155.34</v>
      </c>
      <c r="E4" s="7">
        <v>1.2350000000000001</v>
      </c>
      <c r="F4" s="12">
        <f>D4*E4</f>
        <v>20352991.844900001</v>
      </c>
    </row>
    <row r="5" spans="1:6" x14ac:dyDescent="0.25">
      <c r="A5" s="7"/>
      <c r="B5" s="7"/>
      <c r="C5" s="7"/>
      <c r="D5" s="12">
        <f>SUM(D3:D4)</f>
        <v>30457557.210000001</v>
      </c>
      <c r="E5" s="7"/>
      <c r="F5" s="12">
        <f>SUM(F3:F4)</f>
        <v>37615083.154349998</v>
      </c>
    </row>
    <row r="6" spans="1:6" x14ac:dyDescent="0.25">
      <c r="A6" s="218" t="s">
        <v>489</v>
      </c>
      <c r="B6" s="495" t="s">
        <v>546</v>
      </c>
      <c r="C6" s="495">
        <v>0.05</v>
      </c>
      <c r="D6" s="218"/>
      <c r="E6" s="218"/>
      <c r="F6" s="217">
        <f>F5*C6</f>
        <v>1880754.1577174999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496" t="s">
        <v>10</v>
      </c>
      <c r="G1" s="496" t="s">
        <v>11</v>
      </c>
      <c r="H1" s="496" t="s">
        <v>24</v>
      </c>
    </row>
    <row r="2" spans="2:8" x14ac:dyDescent="0.25">
      <c r="B2" s="7"/>
      <c r="C2" s="7"/>
      <c r="D2" s="7"/>
      <c r="E2" s="7"/>
      <c r="F2" s="15" t="s">
        <v>2</v>
      </c>
      <c r="G2" s="15" t="s">
        <v>2</v>
      </c>
      <c r="H2" s="15" t="s">
        <v>2</v>
      </c>
    </row>
    <row r="3" spans="2:8" x14ac:dyDescent="0.25">
      <c r="B3" s="841" t="s">
        <v>588</v>
      </c>
      <c r="C3" s="841"/>
      <c r="D3" s="841"/>
      <c r="E3" s="841"/>
      <c r="F3" s="484">
        <f>C15*(6/9)+C22+C33+'aferição medidores de vazão'!C6</f>
        <v>1275000</v>
      </c>
      <c r="G3" s="484">
        <f>C15*(3/9)+C21+C32+'aferição medidores de vazão'!C5</f>
        <v>1005000</v>
      </c>
      <c r="H3" s="484">
        <f>F3+G3</f>
        <v>2280000</v>
      </c>
    </row>
    <row r="4" spans="2:8" x14ac:dyDescent="0.25">
      <c r="B4" s="7"/>
      <c r="C4" s="7"/>
      <c r="D4" s="7"/>
      <c r="E4" s="7"/>
      <c r="F4" s="7"/>
      <c r="G4" s="7"/>
      <c r="H4" s="7"/>
    </row>
    <row r="5" spans="2:8" x14ac:dyDescent="0.25">
      <c r="B5" s="7" t="s">
        <v>587</v>
      </c>
      <c r="C5" s="7"/>
      <c r="D5" s="7"/>
      <c r="E5" s="7"/>
      <c r="F5" s="7"/>
      <c r="G5" s="7"/>
      <c r="H5" s="7"/>
    </row>
    <row r="6" spans="2:8" x14ac:dyDescent="0.25">
      <c r="B6" s="10" t="s">
        <v>586</v>
      </c>
      <c r="C6" s="7">
        <v>9</v>
      </c>
      <c r="D6" s="7"/>
      <c r="E6" s="7"/>
      <c r="F6" s="7"/>
      <c r="G6" s="7"/>
      <c r="H6" s="7"/>
    </row>
    <row r="7" spans="2:8" x14ac:dyDescent="0.25">
      <c r="B7" s="7" t="s">
        <v>585</v>
      </c>
      <c r="C7" s="7">
        <v>2</v>
      </c>
      <c r="D7" s="7"/>
      <c r="E7" s="7"/>
      <c r="F7" s="7"/>
      <c r="G7" s="7"/>
      <c r="H7" s="7"/>
    </row>
    <row r="8" spans="2:8" x14ac:dyDescent="0.25">
      <c r="B8" s="7" t="s">
        <v>584</v>
      </c>
      <c r="C8" s="7">
        <f>C7*C6</f>
        <v>18</v>
      </c>
      <c r="D8" s="7"/>
      <c r="E8" s="7"/>
      <c r="F8" s="7"/>
      <c r="G8" s="7"/>
      <c r="H8" s="7"/>
    </row>
    <row r="9" spans="2:8" x14ac:dyDescent="0.25">
      <c r="B9" s="7" t="s">
        <v>583</v>
      </c>
      <c r="C9" s="12">
        <v>50000</v>
      </c>
      <c r="D9" s="7" t="s">
        <v>2</v>
      </c>
      <c r="E9" s="7"/>
      <c r="F9" s="7"/>
      <c r="G9" s="7"/>
      <c r="H9" s="7"/>
    </row>
    <row r="10" spans="2:8" x14ac:dyDescent="0.25">
      <c r="B10" s="7" t="s">
        <v>9</v>
      </c>
      <c r="C10" s="12">
        <f>C9*C8</f>
        <v>900000</v>
      </c>
      <c r="D10" s="7" t="s">
        <v>2</v>
      </c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 t="s">
        <v>582</v>
      </c>
      <c r="C12" s="12">
        <v>30000</v>
      </c>
      <c r="D12" s="7" t="s">
        <v>2</v>
      </c>
      <c r="E12" s="7"/>
      <c r="F12" s="7"/>
      <c r="G12" s="7"/>
      <c r="H12" s="7"/>
    </row>
    <row r="13" spans="2:8" x14ac:dyDescent="0.25">
      <c r="B13" s="7" t="s">
        <v>9</v>
      </c>
      <c r="C13" s="12">
        <f>C12*C6</f>
        <v>270000</v>
      </c>
      <c r="D13" s="7" t="s">
        <v>2</v>
      </c>
      <c r="E13" s="7"/>
      <c r="F13" s="7"/>
      <c r="G13" s="7"/>
      <c r="H13" s="7"/>
    </row>
    <row r="14" spans="2:8" x14ac:dyDescent="0.25">
      <c r="B14" s="7"/>
      <c r="C14" s="7"/>
      <c r="D14" s="7"/>
      <c r="E14" s="7"/>
      <c r="F14" s="7"/>
      <c r="G14" s="7"/>
      <c r="H14" s="7"/>
    </row>
    <row r="15" spans="2:8" x14ac:dyDescent="0.25">
      <c r="B15" s="7" t="s">
        <v>581</v>
      </c>
      <c r="C15" s="497">
        <f>C13+C10</f>
        <v>1170000</v>
      </c>
      <c r="D15" s="7"/>
      <c r="E15" s="7"/>
      <c r="F15" s="7"/>
      <c r="G15" s="7"/>
      <c r="H15" s="7"/>
    </row>
    <row r="16" spans="2:8" x14ac:dyDescent="0.25">
      <c r="B16" s="100" t="s">
        <v>580</v>
      </c>
      <c r="C16" s="12"/>
      <c r="D16" s="7"/>
      <c r="E16" s="7"/>
      <c r="F16" s="7"/>
      <c r="G16" s="7"/>
      <c r="H16" s="7"/>
    </row>
    <row r="17" spans="2:8" x14ac:dyDescent="0.25">
      <c r="B17" s="7" t="s">
        <v>579</v>
      </c>
      <c r="C17" s="498">
        <v>17</v>
      </c>
      <c r="D17" s="7"/>
      <c r="E17" s="7"/>
      <c r="F17" s="7"/>
      <c r="G17" s="7"/>
      <c r="H17" s="7"/>
    </row>
    <row r="18" spans="2:8" x14ac:dyDescent="0.25">
      <c r="B18" s="7" t="s">
        <v>578</v>
      </c>
      <c r="C18" s="498">
        <v>11</v>
      </c>
      <c r="D18" s="7"/>
      <c r="E18" s="7"/>
      <c r="F18" s="7"/>
      <c r="G18" s="7"/>
      <c r="H18" s="7"/>
    </row>
    <row r="19" spans="2:8" x14ac:dyDescent="0.25">
      <c r="B19" s="7"/>
      <c r="C19" s="12"/>
      <c r="D19" s="7"/>
      <c r="E19" s="7"/>
      <c r="F19" s="7"/>
      <c r="G19" s="7"/>
      <c r="H19" s="7"/>
    </row>
    <row r="20" spans="2:8" x14ac:dyDescent="0.25">
      <c r="B20" s="7" t="s">
        <v>577</v>
      </c>
      <c r="C20" s="499">
        <v>20000</v>
      </c>
      <c r="D20" s="301" t="s">
        <v>576</v>
      </c>
      <c r="E20" s="301"/>
      <c r="F20" s="301" t="s">
        <v>575</v>
      </c>
      <c r="G20" s="7"/>
      <c r="H20" s="7"/>
    </row>
    <row r="21" spans="2:8" x14ac:dyDescent="0.25">
      <c r="B21" s="7" t="s">
        <v>574</v>
      </c>
      <c r="C21" s="12">
        <f>C20*C17</f>
        <v>340000</v>
      </c>
      <c r="D21" s="7" t="s">
        <v>2</v>
      </c>
      <c r="E21" s="7"/>
      <c r="F21" s="7"/>
      <c r="G21" s="7"/>
      <c r="H21" s="7"/>
    </row>
    <row r="22" spans="2:8" x14ac:dyDescent="0.25">
      <c r="B22" s="7" t="s">
        <v>573</v>
      </c>
      <c r="C22" s="12">
        <f>C20*C18</f>
        <v>220000</v>
      </c>
      <c r="D22" s="7" t="s">
        <v>2</v>
      </c>
      <c r="E22" s="7"/>
      <c r="F22" s="496"/>
      <c r="G22" s="496"/>
      <c r="H22" s="496"/>
    </row>
    <row r="23" spans="2:8" x14ac:dyDescent="0.25">
      <c r="B23" s="500" t="s">
        <v>572</v>
      </c>
      <c r="C23" s="501">
        <f>C21+C22</f>
        <v>560000</v>
      </c>
      <c r="D23" s="500" t="s">
        <v>2</v>
      </c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100" t="s">
        <v>571</v>
      </c>
      <c r="C25" s="12"/>
      <c r="D25" s="7"/>
      <c r="E25" s="7"/>
      <c r="F25" s="7"/>
      <c r="G25" s="7"/>
      <c r="H25" s="7"/>
    </row>
    <row r="26" spans="2:8" x14ac:dyDescent="0.25">
      <c r="B26" s="7" t="s">
        <v>570</v>
      </c>
      <c r="C26" s="12">
        <v>35000</v>
      </c>
      <c r="D26" s="7" t="s">
        <v>569</v>
      </c>
      <c r="E26" s="7"/>
      <c r="F26" s="7"/>
      <c r="G26" s="7"/>
      <c r="H26" s="7"/>
    </row>
    <row r="27" spans="2:8" x14ac:dyDescent="0.25">
      <c r="B27" s="7" t="s">
        <v>36</v>
      </c>
      <c r="C27" s="12">
        <v>35000</v>
      </c>
      <c r="D27" s="7" t="s">
        <v>569</v>
      </c>
      <c r="E27" s="7"/>
      <c r="F27" s="7"/>
      <c r="G27" s="7"/>
      <c r="H27" s="7"/>
    </row>
    <row r="28" spans="2:8" x14ac:dyDescent="0.25">
      <c r="B28" s="7" t="s">
        <v>568</v>
      </c>
      <c r="C28" s="12">
        <v>2</v>
      </c>
      <c r="D28" s="7" t="s">
        <v>564</v>
      </c>
      <c r="E28" s="7"/>
      <c r="F28" s="7"/>
      <c r="G28" s="7"/>
      <c r="H28" s="7"/>
    </row>
    <row r="29" spans="2:8" x14ac:dyDescent="0.25">
      <c r="B29" s="7" t="s">
        <v>567</v>
      </c>
      <c r="C29" s="12">
        <v>2</v>
      </c>
      <c r="D29" s="7" t="s">
        <v>564</v>
      </c>
      <c r="E29" s="7"/>
      <c r="F29" s="7"/>
      <c r="G29" s="7"/>
      <c r="H29" s="7"/>
    </row>
    <row r="30" spans="2:8" x14ac:dyDescent="0.25">
      <c r="B30" s="7" t="s">
        <v>566</v>
      </c>
      <c r="C30" s="12">
        <v>2</v>
      </c>
      <c r="D30" s="7" t="s">
        <v>564</v>
      </c>
      <c r="E30" s="7"/>
      <c r="F30" s="7"/>
      <c r="G30" s="7"/>
      <c r="H30" s="7"/>
    </row>
    <row r="31" spans="2:8" x14ac:dyDescent="0.25">
      <c r="B31" s="7" t="s">
        <v>565</v>
      </c>
      <c r="C31" s="12">
        <v>2</v>
      </c>
      <c r="D31" s="7" t="s">
        <v>564</v>
      </c>
      <c r="E31" s="7"/>
      <c r="F31" s="7"/>
      <c r="G31" s="7"/>
      <c r="H31" s="7"/>
    </row>
    <row r="32" spans="2:8" x14ac:dyDescent="0.25">
      <c r="B32" s="7" t="s">
        <v>563</v>
      </c>
      <c r="C32" s="12">
        <f>(C26*C28)+(C27*C30)</f>
        <v>140000</v>
      </c>
      <c r="D32" s="7" t="s">
        <v>2</v>
      </c>
      <c r="E32" s="7"/>
      <c r="F32" s="7"/>
      <c r="G32" s="7"/>
      <c r="H32" s="7"/>
    </row>
    <row r="33" spans="2:8" x14ac:dyDescent="0.25">
      <c r="B33" s="7" t="s">
        <v>562</v>
      </c>
      <c r="C33" s="12">
        <f>(C26*C29)+(C27*C31)</f>
        <v>140000</v>
      </c>
      <c r="D33" s="7" t="s">
        <v>2</v>
      </c>
      <c r="E33" s="7"/>
      <c r="F33" s="7"/>
      <c r="G33" s="7"/>
      <c r="H33" s="7"/>
    </row>
    <row r="34" spans="2:8" x14ac:dyDescent="0.25">
      <c r="B34" s="500" t="s">
        <v>561</v>
      </c>
      <c r="C34" s="501">
        <f>C33+C32</f>
        <v>280000</v>
      </c>
      <c r="D34" s="500" t="s">
        <v>2</v>
      </c>
      <c r="E34" s="7"/>
      <c r="F34" s="7"/>
      <c r="G34" s="7"/>
      <c r="H34" s="7"/>
    </row>
    <row r="35" spans="2:8" x14ac:dyDescent="0.25">
      <c r="B35" s="7"/>
      <c r="C35" s="12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  <row r="37" spans="2:8" x14ac:dyDescent="0.25">
      <c r="B37" s="7"/>
      <c r="C37" s="12"/>
      <c r="D37" s="7"/>
      <c r="E37" s="7"/>
      <c r="F37" s="7"/>
      <c r="G37" s="7"/>
      <c r="H37" s="7"/>
    </row>
    <row r="38" spans="2:8" x14ac:dyDescent="0.25">
      <c r="B38" s="500" t="s">
        <v>560</v>
      </c>
      <c r="C38" s="501">
        <f>C34+C23+C15</f>
        <v>2010000</v>
      </c>
      <c r="D38" s="500" t="s">
        <v>2</v>
      </c>
      <c r="E38" s="7"/>
      <c r="F38" s="7"/>
      <c r="G38" s="7"/>
      <c r="H38" s="7"/>
    </row>
    <row r="39" spans="2:8" x14ac:dyDescent="0.25">
      <c r="B39" s="500"/>
      <c r="C39" s="501"/>
      <c r="D39" s="7"/>
      <c r="E39" s="7"/>
      <c r="F39" s="7"/>
      <c r="G39" s="7"/>
      <c r="H39" s="7"/>
    </row>
    <row r="40" spans="2:8" x14ac:dyDescent="0.25">
      <c r="D40" s="23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showGridLines="0" workbookViewId="0">
      <selection activeCell="D7" sqref="B2:D7"/>
    </sheetView>
  </sheetViews>
  <sheetFormatPr defaultRowHeight="15" x14ac:dyDescent="0.25"/>
  <cols>
    <col min="2" max="2" width="67.5703125" bestFit="1" customWidth="1"/>
    <col min="3" max="3" width="11.7109375" customWidth="1"/>
    <col min="4" max="4" width="11.5703125" bestFit="1" customWidth="1"/>
  </cols>
  <sheetData>
    <row r="2" spans="2:4" x14ac:dyDescent="0.25">
      <c r="B2" s="100" t="s">
        <v>26</v>
      </c>
      <c r="C2" s="502"/>
      <c r="D2" s="7"/>
    </row>
    <row r="3" spans="2:4" x14ac:dyDescent="0.25">
      <c r="B3" s="7" t="s">
        <v>27</v>
      </c>
      <c r="C3" s="12">
        <v>45000</v>
      </c>
      <c r="D3" s="7" t="s">
        <v>28</v>
      </c>
    </row>
    <row r="4" spans="2:4" x14ac:dyDescent="0.25">
      <c r="B4" s="7" t="s">
        <v>29</v>
      </c>
      <c r="C4" s="12">
        <v>3</v>
      </c>
      <c r="D4" s="7" t="s">
        <v>30</v>
      </c>
    </row>
    <row r="5" spans="2:4" x14ac:dyDescent="0.25">
      <c r="B5" s="7" t="s">
        <v>31</v>
      </c>
      <c r="C5" s="12">
        <f>C3*C4</f>
        <v>135000</v>
      </c>
      <c r="D5" s="7" t="s">
        <v>2</v>
      </c>
    </row>
    <row r="6" spans="2:4" x14ac:dyDescent="0.25">
      <c r="B6" s="7" t="s">
        <v>32</v>
      </c>
      <c r="C6" s="12">
        <f>C3*C4</f>
        <v>135000</v>
      </c>
      <c r="D6" s="7" t="s">
        <v>2</v>
      </c>
    </row>
    <row r="7" spans="2:4" x14ac:dyDescent="0.25">
      <c r="B7" s="500" t="s">
        <v>33</v>
      </c>
      <c r="C7" s="501">
        <f>C5+C6</f>
        <v>270000</v>
      </c>
      <c r="D7" s="500" t="s">
        <v>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32"/>
  <sheetViews>
    <sheetView showGridLines="0" workbookViewId="0">
      <selection activeCell="B20" sqref="B20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14.140625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95" t="s">
        <v>76</v>
      </c>
      <c r="L2" t="s">
        <v>75</v>
      </c>
      <c r="M2" s="4">
        <f>I5+G12+C23</f>
        <v>1284210.4192619182</v>
      </c>
    </row>
    <row r="3" spans="2:13" ht="49.5" customHeight="1" x14ac:dyDescent="0.25">
      <c r="B3" s="765" t="s">
        <v>41</v>
      </c>
      <c r="C3" s="765" t="s">
        <v>40</v>
      </c>
      <c r="D3" s="765" t="s">
        <v>74</v>
      </c>
      <c r="E3" s="39" t="s">
        <v>73</v>
      </c>
      <c r="F3" s="39" t="s">
        <v>72</v>
      </c>
      <c r="G3" s="39" t="s">
        <v>71</v>
      </c>
      <c r="H3" s="765" t="s">
        <v>70</v>
      </c>
      <c r="I3" s="765" t="s">
        <v>67</v>
      </c>
      <c r="L3" t="s">
        <v>69</v>
      </c>
      <c r="M3" s="4">
        <f>E29</f>
        <v>62147.67</v>
      </c>
    </row>
    <row r="4" spans="2:13" ht="12" customHeight="1" x14ac:dyDescent="0.25">
      <c r="B4" s="765"/>
      <c r="C4" s="765"/>
      <c r="D4" s="765"/>
      <c r="E4" s="38">
        <v>0.73570000000000002</v>
      </c>
      <c r="F4" s="38">
        <v>0.2177</v>
      </c>
      <c r="G4" s="38">
        <v>0.3</v>
      </c>
      <c r="H4" s="765"/>
      <c r="I4" s="765"/>
    </row>
    <row r="5" spans="2:13" x14ac:dyDescent="0.25">
      <c r="B5" s="35" t="s">
        <v>68</v>
      </c>
      <c r="C5" s="35">
        <v>3</v>
      </c>
      <c r="D5" s="37">
        <f>'mão de obra'!D12</f>
        <v>3284.75</v>
      </c>
      <c r="E5" s="33">
        <f>$D$5*E4</f>
        <v>2416.5905750000002</v>
      </c>
      <c r="F5" s="33">
        <f>$D$5*F4</f>
        <v>715.09007500000007</v>
      </c>
      <c r="G5" s="33">
        <f>$D$5*G4</f>
        <v>985.42499999999995</v>
      </c>
      <c r="H5" s="33">
        <f>(SUM(D5:G5)*C5*12)</f>
        <v>266466.80339999998</v>
      </c>
      <c r="I5" s="33">
        <f>H5*1.2515</f>
        <v>333483.2044551</v>
      </c>
    </row>
    <row r="7" spans="2:13" ht="15.75" thickBot="1" x14ac:dyDescent="0.3">
      <c r="B7" s="295" t="s">
        <v>3</v>
      </c>
    </row>
    <row r="8" spans="2:13" x14ac:dyDescent="0.25">
      <c r="B8" s="767" t="s">
        <v>41</v>
      </c>
      <c r="C8" s="766" t="s">
        <v>40</v>
      </c>
      <c r="D8" s="30" t="s">
        <v>39</v>
      </c>
      <c r="E8" s="30" t="s">
        <v>39</v>
      </c>
      <c r="F8" s="30" t="s">
        <v>39</v>
      </c>
      <c r="G8" s="765" t="s">
        <v>67</v>
      </c>
    </row>
    <row r="9" spans="2:13" ht="36" x14ac:dyDescent="0.25">
      <c r="B9" s="767"/>
      <c r="C9" s="767"/>
      <c r="D9" s="29" t="s">
        <v>66</v>
      </c>
      <c r="E9" s="29" t="s">
        <v>37</v>
      </c>
      <c r="F9" s="29" t="s">
        <v>65</v>
      </c>
      <c r="G9" s="765"/>
    </row>
    <row r="10" spans="2:13" x14ac:dyDescent="0.25">
      <c r="B10" s="36" t="s">
        <v>64</v>
      </c>
      <c r="C10" s="35">
        <v>3</v>
      </c>
      <c r="D10" s="34">
        <v>7000</v>
      </c>
      <c r="E10" s="34">
        <f>D10*C10</f>
        <v>21000</v>
      </c>
      <c r="F10" s="34">
        <f>E10*12</f>
        <v>252000</v>
      </c>
      <c r="G10" s="33">
        <f>F10*1.2515</f>
        <v>315378</v>
      </c>
    </row>
    <row r="11" spans="2:13" x14ac:dyDescent="0.25">
      <c r="B11" s="7" t="s">
        <v>63</v>
      </c>
      <c r="C11" s="7"/>
      <c r="D11" s="7"/>
      <c r="E11" s="7"/>
      <c r="F11" s="34">
        <f>3*Veículos!F13/SUM(Veículos!C9:C12)</f>
        <v>28245.477272727272</v>
      </c>
      <c r="G11" s="33">
        <f>F11*1.2515</f>
        <v>35349.214806818185</v>
      </c>
    </row>
    <row r="12" spans="2:13" x14ac:dyDescent="0.25">
      <c r="B12" s="7" t="s">
        <v>13</v>
      </c>
      <c r="C12" s="7"/>
      <c r="D12" s="7"/>
      <c r="E12" s="7"/>
      <c r="F12" s="7"/>
      <c r="G12" s="33">
        <f>SUM(G10:G11)</f>
        <v>350727.21480681817</v>
      </c>
    </row>
    <row r="14" spans="2:13" x14ac:dyDescent="0.25">
      <c r="B14" s="295" t="s">
        <v>62</v>
      </c>
      <c r="C14" s="18"/>
      <c r="D14" s="18"/>
      <c r="E14" s="18"/>
    </row>
    <row r="15" spans="2:13" x14ac:dyDescent="0.25">
      <c r="B15" s="7" t="s">
        <v>61</v>
      </c>
      <c r="C15" s="146">
        <f>20000/3</f>
        <v>6666.666666666667</v>
      </c>
      <c r="D15" s="7" t="s">
        <v>60</v>
      </c>
      <c r="E15" s="7"/>
    </row>
    <row r="16" spans="2:13" x14ac:dyDescent="0.25">
      <c r="B16" s="7" t="s">
        <v>59</v>
      </c>
      <c r="C16" s="7">
        <v>80</v>
      </c>
      <c r="D16" s="7" t="s">
        <v>58</v>
      </c>
      <c r="E16" s="7"/>
      <c r="F16" s="24" t="s">
        <v>57</v>
      </c>
    </row>
    <row r="17" spans="2:22" x14ac:dyDescent="0.25">
      <c r="B17" s="7" t="s">
        <v>56</v>
      </c>
      <c r="C17" s="450">
        <f>(100+200)*2</f>
        <v>600</v>
      </c>
      <c r="D17" s="7" t="s">
        <v>55</v>
      </c>
      <c r="E17" s="7" t="s">
        <v>54</v>
      </c>
      <c r="F17" t="s">
        <v>53</v>
      </c>
    </row>
    <row r="18" spans="2:22" x14ac:dyDescent="0.25">
      <c r="B18" s="7" t="s">
        <v>52</v>
      </c>
      <c r="C18" s="13">
        <f>C17/C16</f>
        <v>7.5</v>
      </c>
      <c r="D18" s="7" t="s">
        <v>51</v>
      </c>
      <c r="E18" s="7"/>
    </row>
    <row r="19" spans="2:22" x14ac:dyDescent="0.25">
      <c r="B19" s="7" t="s">
        <v>50</v>
      </c>
      <c r="C19" s="7">
        <v>1</v>
      </c>
      <c r="D19" s="7" t="s">
        <v>49</v>
      </c>
      <c r="E19" s="7"/>
    </row>
    <row r="20" spans="2:22" x14ac:dyDescent="0.25">
      <c r="B20" s="7" t="s">
        <v>48</v>
      </c>
      <c r="C20" s="486">
        <v>12</v>
      </c>
      <c r="D20" s="7" t="s">
        <v>47</v>
      </c>
      <c r="E20" s="7"/>
    </row>
    <row r="21" spans="2:22" x14ac:dyDescent="0.25">
      <c r="B21" s="7" t="s">
        <v>46</v>
      </c>
      <c r="C21" s="486">
        <f>C19*C20</f>
        <v>12</v>
      </c>
      <c r="D21" s="7" t="s">
        <v>45</v>
      </c>
      <c r="E21" s="7"/>
    </row>
    <row r="22" spans="2:22" x14ac:dyDescent="0.25">
      <c r="B22" s="7" t="s">
        <v>44</v>
      </c>
      <c r="C22" s="146">
        <f>C18*C15</f>
        <v>50000</v>
      </c>
      <c r="D22" s="7" t="s">
        <v>43</v>
      </c>
      <c r="E22" s="7"/>
    </row>
    <row r="23" spans="2:22" x14ac:dyDescent="0.25">
      <c r="B23" s="7" t="s">
        <v>42</v>
      </c>
      <c r="C23" s="146">
        <f>C22*C21</f>
        <v>600000</v>
      </c>
      <c r="D23" s="7" t="s">
        <v>2</v>
      </c>
      <c r="E23" s="7"/>
    </row>
    <row r="25" spans="2:22" x14ac:dyDescent="0.25">
      <c r="U25" s="32"/>
      <c r="V25" s="31"/>
    </row>
    <row r="26" spans="2:22" x14ac:dyDescent="0.25">
      <c r="B26" s="295" t="s">
        <v>4</v>
      </c>
      <c r="C26" s="18"/>
      <c r="D26" s="18"/>
      <c r="E26" s="18"/>
    </row>
    <row r="27" spans="2:22" x14ac:dyDescent="0.25">
      <c r="B27" s="843" t="s">
        <v>41</v>
      </c>
      <c r="C27" s="843" t="s">
        <v>40</v>
      </c>
      <c r="D27" s="503" t="s">
        <v>39</v>
      </c>
      <c r="E27" s="503" t="s">
        <v>39</v>
      </c>
    </row>
    <row r="28" spans="2:22" ht="24" x14ac:dyDescent="0.25">
      <c r="B28" s="843"/>
      <c r="C28" s="843"/>
      <c r="D28" s="503" t="s">
        <v>38</v>
      </c>
      <c r="E28" s="503" t="s">
        <v>37</v>
      </c>
    </row>
    <row r="29" spans="2:22" x14ac:dyDescent="0.25">
      <c r="B29" s="7" t="s">
        <v>36</v>
      </c>
      <c r="C29" s="7">
        <v>3</v>
      </c>
      <c r="D29" s="12">
        <f>C31*C32</f>
        <v>20715.89</v>
      </c>
      <c r="E29" s="12">
        <f>C29*D29</f>
        <v>62147.67</v>
      </c>
    </row>
    <row r="30" spans="2:22" x14ac:dyDescent="0.25">
      <c r="B30" s="7"/>
      <c r="C30" s="7"/>
      <c r="D30" s="7"/>
      <c r="E30" s="7"/>
    </row>
    <row r="31" spans="2:22" x14ac:dyDescent="0.25">
      <c r="B31" s="7" t="s">
        <v>35</v>
      </c>
      <c r="C31" s="7">
        <v>6374.12</v>
      </c>
      <c r="D31" s="7"/>
      <c r="E31" s="7"/>
    </row>
    <row r="32" spans="2:22" x14ac:dyDescent="0.25">
      <c r="B32" s="7" t="s">
        <v>34</v>
      </c>
      <c r="C32" s="7">
        <v>3.25</v>
      </c>
      <c r="D32" s="7"/>
      <c r="E32" s="7"/>
    </row>
  </sheetData>
  <mergeCells count="10">
    <mergeCell ref="B27:B28"/>
    <mergeCell ref="C27:C28"/>
    <mergeCell ref="B3:B4"/>
    <mergeCell ref="C3:C4"/>
    <mergeCell ref="D3:D4"/>
    <mergeCell ref="H3:H4"/>
    <mergeCell ref="B8:B9"/>
    <mergeCell ref="C8:C9"/>
    <mergeCell ref="I3:I4"/>
    <mergeCell ref="G8:G9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topLeftCell="A37" workbookViewId="0">
      <selection activeCell="D52" sqref="D52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2.28515625" customWidth="1"/>
  </cols>
  <sheetData>
    <row r="1" spans="2:9" x14ac:dyDescent="0.25">
      <c r="B1" s="22"/>
      <c r="C1" s="58"/>
      <c r="D1" s="22"/>
      <c r="E1" s="22"/>
      <c r="F1" s="22"/>
      <c r="G1" s="22"/>
      <c r="H1" s="22"/>
      <c r="I1" s="22"/>
    </row>
    <row r="2" spans="2:9" ht="12.75" customHeight="1" x14ac:dyDescent="0.25">
      <c r="B2" s="22"/>
      <c r="C2" s="58"/>
      <c r="D2" s="22"/>
      <c r="E2" s="22"/>
      <c r="F2" s="22"/>
      <c r="G2" s="22"/>
      <c r="H2" s="22"/>
      <c r="I2" s="22"/>
    </row>
    <row r="3" spans="2:9" ht="27" customHeight="1" thickBot="1" x14ac:dyDescent="0.3">
      <c r="B3" s="844" t="s">
        <v>1165</v>
      </c>
      <c r="C3" s="845"/>
      <c r="D3" s="845"/>
      <c r="E3" s="845"/>
      <c r="F3" s="845"/>
      <c r="G3" s="845"/>
      <c r="H3" s="845"/>
      <c r="I3" s="846"/>
    </row>
    <row r="4" spans="2:9" ht="22.5" customHeight="1" x14ac:dyDescent="0.25">
      <c r="B4" s="798" t="s">
        <v>141</v>
      </c>
      <c r="C4" s="800" t="s">
        <v>140</v>
      </c>
      <c r="D4" s="800" t="s">
        <v>139</v>
      </c>
      <c r="E4" s="75" t="s">
        <v>39</v>
      </c>
      <c r="F4" s="75" t="s">
        <v>39</v>
      </c>
      <c r="G4" s="784" t="s">
        <v>144</v>
      </c>
      <c r="H4" s="784" t="s">
        <v>143</v>
      </c>
      <c r="I4" s="784" t="s">
        <v>142</v>
      </c>
    </row>
    <row r="5" spans="2:9" ht="23.25" thickBot="1" x14ac:dyDescent="0.3">
      <c r="B5" s="799"/>
      <c r="C5" s="801"/>
      <c r="D5" s="801"/>
      <c r="E5" s="69" t="s">
        <v>38</v>
      </c>
      <c r="F5" s="69" t="s">
        <v>138</v>
      </c>
      <c r="G5" s="786"/>
      <c r="H5" s="786"/>
      <c r="I5" s="786"/>
    </row>
    <row r="6" spans="2:9" ht="23.25" thickBot="1" x14ac:dyDescent="0.3">
      <c r="B6" s="504">
        <v>1</v>
      </c>
      <c r="C6" s="70" t="s">
        <v>135</v>
      </c>
      <c r="D6" s="69">
        <v>8</v>
      </c>
      <c r="E6" s="68">
        <v>3000</v>
      </c>
      <c r="F6" s="67">
        <f>D6*E6</f>
        <v>24000</v>
      </c>
      <c r="G6" s="72" t="s">
        <v>133</v>
      </c>
      <c r="H6" s="66">
        <v>5</v>
      </c>
      <c r="I6" s="65">
        <f>F6/H6</f>
        <v>4800</v>
      </c>
    </row>
    <row r="7" spans="2:9" ht="23.25" thickBot="1" x14ac:dyDescent="0.3">
      <c r="B7" s="504">
        <v>2</v>
      </c>
      <c r="C7" s="70" t="s">
        <v>134</v>
      </c>
      <c r="D7" s="69">
        <v>15</v>
      </c>
      <c r="E7" s="68">
        <v>2700</v>
      </c>
      <c r="F7" s="67">
        <f t="shared" ref="F7:F22" si="0">D7*E7</f>
        <v>40500</v>
      </c>
      <c r="G7" s="72" t="s">
        <v>133</v>
      </c>
      <c r="H7" s="66">
        <v>5</v>
      </c>
      <c r="I7" s="65">
        <f t="shared" ref="I7:I22" si="1">F7/H7</f>
        <v>8100</v>
      </c>
    </row>
    <row r="8" spans="2:9" ht="15.75" thickBot="1" x14ac:dyDescent="0.3">
      <c r="B8" s="504">
        <v>3</v>
      </c>
      <c r="C8" s="70" t="s">
        <v>132</v>
      </c>
      <c r="D8" s="69">
        <v>2</v>
      </c>
      <c r="E8" s="68">
        <v>900</v>
      </c>
      <c r="F8" s="67">
        <f t="shared" si="0"/>
        <v>1800</v>
      </c>
      <c r="G8" s="72">
        <v>8443</v>
      </c>
      <c r="H8" s="66">
        <v>10</v>
      </c>
      <c r="I8" s="65">
        <f t="shared" si="1"/>
        <v>180</v>
      </c>
    </row>
    <row r="9" spans="2:9" ht="15.75" thickBot="1" x14ac:dyDescent="0.3">
      <c r="B9" s="504">
        <v>4</v>
      </c>
      <c r="C9" s="70" t="s">
        <v>131</v>
      </c>
      <c r="D9" s="69">
        <v>4</v>
      </c>
      <c r="E9" s="68">
        <v>850</v>
      </c>
      <c r="F9" s="67">
        <f t="shared" si="0"/>
        <v>3400</v>
      </c>
      <c r="G9" s="72">
        <v>9007</v>
      </c>
      <c r="H9" s="66">
        <v>10</v>
      </c>
      <c r="I9" s="65">
        <f t="shared" si="1"/>
        <v>340</v>
      </c>
    </row>
    <row r="10" spans="2:9" ht="15.75" thickBot="1" x14ac:dyDescent="0.3">
      <c r="B10" s="504">
        <v>5</v>
      </c>
      <c r="C10" s="70" t="s">
        <v>130</v>
      </c>
      <c r="D10" s="69">
        <v>84</v>
      </c>
      <c r="E10" s="68">
        <v>287</v>
      </c>
      <c r="F10" s="67">
        <f t="shared" si="0"/>
        <v>24108</v>
      </c>
      <c r="G10" s="72">
        <v>8517</v>
      </c>
      <c r="H10" s="66">
        <v>5</v>
      </c>
      <c r="I10" s="65">
        <f t="shared" si="1"/>
        <v>4821.6000000000004</v>
      </c>
    </row>
    <row r="11" spans="2:9" ht="15.75" thickBot="1" x14ac:dyDescent="0.3">
      <c r="B11" s="504">
        <v>6</v>
      </c>
      <c r="C11" s="70" t="s">
        <v>129</v>
      </c>
      <c r="D11" s="69">
        <v>4</v>
      </c>
      <c r="E11" s="68">
        <v>1500</v>
      </c>
      <c r="F11" s="67">
        <f t="shared" si="0"/>
        <v>6000</v>
      </c>
      <c r="G11" s="72">
        <v>9014</v>
      </c>
      <c r="H11" s="66">
        <v>10</v>
      </c>
      <c r="I11" s="65">
        <f t="shared" si="1"/>
        <v>600</v>
      </c>
    </row>
    <row r="12" spans="2:9" ht="15.75" thickBot="1" x14ac:dyDescent="0.3">
      <c r="B12" s="504">
        <v>7</v>
      </c>
      <c r="C12" s="70" t="s">
        <v>128</v>
      </c>
      <c r="D12" s="69">
        <v>2</v>
      </c>
      <c r="E12" s="68">
        <v>1900</v>
      </c>
      <c r="F12" s="67">
        <f t="shared" si="0"/>
        <v>3800</v>
      </c>
      <c r="G12" s="72">
        <v>8418</v>
      </c>
      <c r="H12" s="66">
        <v>10</v>
      </c>
      <c r="I12" s="65">
        <f t="shared" si="1"/>
        <v>380</v>
      </c>
    </row>
    <row r="13" spans="2:9" ht="15.75" thickBot="1" x14ac:dyDescent="0.3">
      <c r="B13" s="504">
        <v>8</v>
      </c>
      <c r="C13" s="70" t="s">
        <v>127</v>
      </c>
      <c r="D13" s="69">
        <v>2</v>
      </c>
      <c r="E13" s="68">
        <v>1000</v>
      </c>
      <c r="F13" s="67">
        <f t="shared" si="0"/>
        <v>2000</v>
      </c>
      <c r="G13" s="72">
        <v>7321</v>
      </c>
      <c r="H13" s="66">
        <v>10</v>
      </c>
      <c r="I13" s="65">
        <f t="shared" si="1"/>
        <v>200</v>
      </c>
    </row>
    <row r="14" spans="2:9" ht="15.75" thickBot="1" x14ac:dyDescent="0.3">
      <c r="B14" s="504">
        <v>9</v>
      </c>
      <c r="C14" s="70" t="s">
        <v>126</v>
      </c>
      <c r="D14" s="69">
        <v>2</v>
      </c>
      <c r="E14" s="68">
        <v>500</v>
      </c>
      <c r="F14" s="67">
        <f t="shared" si="0"/>
        <v>1000</v>
      </c>
      <c r="G14" s="72">
        <v>8514</v>
      </c>
      <c r="H14" s="66">
        <v>10</v>
      </c>
      <c r="I14" s="65">
        <f t="shared" si="1"/>
        <v>100</v>
      </c>
    </row>
    <row r="15" spans="2:9" ht="15.75" thickBot="1" x14ac:dyDescent="0.3">
      <c r="B15" s="504">
        <v>10</v>
      </c>
      <c r="C15" s="70" t="s">
        <v>125</v>
      </c>
      <c r="D15" s="69">
        <v>5</v>
      </c>
      <c r="E15" s="68">
        <v>1300</v>
      </c>
      <c r="F15" s="67">
        <f t="shared" si="0"/>
        <v>6500</v>
      </c>
      <c r="G15" s="72">
        <v>9403</v>
      </c>
      <c r="H15" s="66">
        <v>10</v>
      </c>
      <c r="I15" s="65">
        <f t="shared" si="1"/>
        <v>650</v>
      </c>
    </row>
    <row r="16" spans="2:9" ht="15.75" thickBot="1" x14ac:dyDescent="0.3">
      <c r="B16" s="504">
        <v>11</v>
      </c>
      <c r="C16" s="70" t="s">
        <v>124</v>
      </c>
      <c r="D16" s="69">
        <v>6</v>
      </c>
      <c r="E16" s="68">
        <v>2100</v>
      </c>
      <c r="F16" s="67">
        <f t="shared" si="0"/>
        <v>12600</v>
      </c>
      <c r="G16" s="72">
        <v>8415</v>
      </c>
      <c r="H16" s="66">
        <v>10</v>
      </c>
      <c r="I16" s="65">
        <f t="shared" si="1"/>
        <v>1260</v>
      </c>
    </row>
    <row r="17" spans="2:9" ht="15.75" thickBot="1" x14ac:dyDescent="0.3">
      <c r="B17" s="504">
        <v>12</v>
      </c>
      <c r="C17" s="70" t="s">
        <v>123</v>
      </c>
      <c r="D17" s="69">
        <v>2</v>
      </c>
      <c r="E17" s="68">
        <v>650</v>
      </c>
      <c r="F17" s="67">
        <f t="shared" si="0"/>
        <v>1300</v>
      </c>
      <c r="G17" s="72">
        <v>9403</v>
      </c>
      <c r="H17" s="66">
        <v>10</v>
      </c>
      <c r="I17" s="65">
        <f t="shared" si="1"/>
        <v>130</v>
      </c>
    </row>
    <row r="18" spans="2:9" ht="15.75" thickBot="1" x14ac:dyDescent="0.3">
      <c r="B18" s="504">
        <v>13</v>
      </c>
      <c r="C18" s="70" t="s">
        <v>122</v>
      </c>
      <c r="D18" s="69">
        <v>20</v>
      </c>
      <c r="E18" s="68">
        <v>250</v>
      </c>
      <c r="F18" s="67">
        <f t="shared" si="0"/>
        <v>5000</v>
      </c>
      <c r="G18" s="72">
        <v>9403</v>
      </c>
      <c r="H18" s="66">
        <v>10</v>
      </c>
      <c r="I18" s="65">
        <f t="shared" si="1"/>
        <v>500</v>
      </c>
    </row>
    <row r="19" spans="2:9" ht="15.75" thickBot="1" x14ac:dyDescent="0.3">
      <c r="B19" s="504">
        <v>14</v>
      </c>
      <c r="C19" s="70" t="s">
        <v>121</v>
      </c>
      <c r="D19" s="69">
        <v>8</v>
      </c>
      <c r="E19" s="68">
        <v>400</v>
      </c>
      <c r="F19" s="67">
        <f t="shared" si="0"/>
        <v>3200</v>
      </c>
      <c r="G19" s="72">
        <v>9403</v>
      </c>
      <c r="H19" s="66">
        <v>10</v>
      </c>
      <c r="I19" s="65">
        <f t="shared" si="1"/>
        <v>320</v>
      </c>
    </row>
    <row r="20" spans="2:9" ht="15.75" thickBot="1" x14ac:dyDescent="0.3">
      <c r="B20" s="504">
        <v>15</v>
      </c>
      <c r="C20" s="70" t="s">
        <v>120</v>
      </c>
      <c r="D20" s="69">
        <v>10</v>
      </c>
      <c r="E20" s="68">
        <v>670</v>
      </c>
      <c r="F20" s="67">
        <f t="shared" si="0"/>
        <v>6700</v>
      </c>
      <c r="G20" s="72">
        <v>9403</v>
      </c>
      <c r="H20" s="66">
        <v>10</v>
      </c>
      <c r="I20" s="65">
        <f t="shared" si="1"/>
        <v>670</v>
      </c>
    </row>
    <row r="21" spans="2:9" ht="15.75" thickBot="1" x14ac:dyDescent="0.3">
      <c r="B21" s="504">
        <v>16</v>
      </c>
      <c r="C21" s="70" t="s">
        <v>119</v>
      </c>
      <c r="D21" s="69">
        <v>8</v>
      </c>
      <c r="E21" s="68">
        <v>750</v>
      </c>
      <c r="F21" s="67">
        <f t="shared" si="0"/>
        <v>6000</v>
      </c>
      <c r="G21" s="72">
        <v>9403</v>
      </c>
      <c r="H21" s="66">
        <v>10</v>
      </c>
      <c r="I21" s="65">
        <f t="shared" si="1"/>
        <v>600</v>
      </c>
    </row>
    <row r="22" spans="2:9" ht="15.75" thickBot="1" x14ac:dyDescent="0.3">
      <c r="B22" s="504">
        <v>17</v>
      </c>
      <c r="C22" s="70" t="s">
        <v>118</v>
      </c>
      <c r="D22" s="69">
        <v>3</v>
      </c>
      <c r="E22" s="68">
        <v>3000</v>
      </c>
      <c r="F22" s="67">
        <f t="shared" si="0"/>
        <v>9000</v>
      </c>
      <c r="G22" s="61"/>
      <c r="H22" s="66">
        <v>10</v>
      </c>
      <c r="I22" s="65">
        <f t="shared" si="1"/>
        <v>900</v>
      </c>
    </row>
    <row r="23" spans="2:9" ht="15.75" thickBot="1" x14ac:dyDescent="0.3">
      <c r="B23" s="792" t="s">
        <v>117</v>
      </c>
      <c r="C23" s="793"/>
      <c r="D23" s="793"/>
      <c r="E23" s="794"/>
      <c r="F23" s="64">
        <f>SUM(F6:F22)</f>
        <v>156908</v>
      </c>
      <c r="G23" s="787" t="s">
        <v>1166</v>
      </c>
      <c r="H23" s="788"/>
      <c r="I23" s="63">
        <f>SUM(I6:I22)</f>
        <v>24551.599999999999</v>
      </c>
    </row>
    <row r="25" spans="2:9" ht="15.75" thickBot="1" x14ac:dyDescent="0.3">
      <c r="B25" s="844" t="s">
        <v>1167</v>
      </c>
      <c r="C25" s="845"/>
      <c r="D25" s="845"/>
      <c r="E25" s="845"/>
      <c r="F25" s="845"/>
      <c r="G25" s="845"/>
      <c r="H25" s="845"/>
      <c r="I25" s="846"/>
    </row>
    <row r="26" spans="2:9" ht="15.75" thickBot="1" x14ac:dyDescent="0.3">
      <c r="B26" s="124">
        <v>1</v>
      </c>
      <c r="C26" s="123" t="s">
        <v>262</v>
      </c>
      <c r="D26" s="122">
        <v>6</v>
      </c>
      <c r="E26" s="121">
        <v>600</v>
      </c>
      <c r="F26" s="120">
        <f>E26*D26</f>
        <v>3600</v>
      </c>
      <c r="G26" s="115">
        <v>82</v>
      </c>
      <c r="H26" s="114">
        <v>5</v>
      </c>
      <c r="I26" s="119">
        <f>F26/H26</f>
        <v>720</v>
      </c>
    </row>
    <row r="27" spans="2:9" ht="15.75" thickBot="1" x14ac:dyDescent="0.3">
      <c r="B27" s="124">
        <v>2</v>
      </c>
      <c r="C27" s="123" t="s">
        <v>261</v>
      </c>
      <c r="D27" s="122">
        <v>6</v>
      </c>
      <c r="E27" s="121">
        <v>575</v>
      </c>
      <c r="F27" s="120">
        <f>E27*D27</f>
        <v>3450</v>
      </c>
      <c r="G27" s="115">
        <v>82</v>
      </c>
      <c r="H27" s="114">
        <v>5</v>
      </c>
      <c r="I27" s="119">
        <f t="shared" ref="I27:I60" si="2">F27/H27</f>
        <v>690</v>
      </c>
    </row>
    <row r="28" spans="2:9" ht="15.75" thickBot="1" x14ac:dyDescent="0.3">
      <c r="B28" s="124">
        <v>3</v>
      </c>
      <c r="C28" s="123" t="s">
        <v>260</v>
      </c>
      <c r="D28" s="122">
        <v>6</v>
      </c>
      <c r="E28" s="121">
        <v>332.25</v>
      </c>
      <c r="F28" s="120">
        <f t="shared" ref="F28:F60" si="3">E28*D28</f>
        <v>1993.5</v>
      </c>
      <c r="G28" s="115"/>
      <c r="H28" s="114">
        <v>5</v>
      </c>
      <c r="I28" s="119">
        <f t="shared" si="2"/>
        <v>398.7</v>
      </c>
    </row>
    <row r="29" spans="2:9" ht="15.75" thickBot="1" x14ac:dyDescent="0.3">
      <c r="B29" s="124">
        <v>4</v>
      </c>
      <c r="C29" s="123" t="s">
        <v>259</v>
      </c>
      <c r="D29" s="122">
        <v>6</v>
      </c>
      <c r="E29" s="121">
        <v>3927</v>
      </c>
      <c r="F29" s="120">
        <f t="shared" si="3"/>
        <v>23562</v>
      </c>
      <c r="G29" s="115"/>
      <c r="H29" s="114">
        <v>5</v>
      </c>
      <c r="I29" s="119">
        <f t="shared" si="2"/>
        <v>4712.3999999999996</v>
      </c>
    </row>
    <row r="30" spans="2:9" ht="15.75" customHeight="1" thickBot="1" x14ac:dyDescent="0.3">
      <c r="B30" s="124">
        <v>5</v>
      </c>
      <c r="C30" s="123" t="s">
        <v>258</v>
      </c>
      <c r="D30" s="122">
        <v>5</v>
      </c>
      <c r="E30" s="121">
        <v>1053.1500000000001</v>
      </c>
      <c r="F30" s="120">
        <f t="shared" si="3"/>
        <v>5265.75</v>
      </c>
      <c r="G30" s="115"/>
      <c r="H30" s="114">
        <v>20</v>
      </c>
      <c r="I30" s="119">
        <f t="shared" si="2"/>
        <v>263.28750000000002</v>
      </c>
    </row>
    <row r="31" spans="2:9" ht="23.25" thickBot="1" x14ac:dyDescent="0.3">
      <c r="B31" s="124">
        <v>6</v>
      </c>
      <c r="C31" s="127" t="s">
        <v>257</v>
      </c>
      <c r="D31" s="126">
        <v>28</v>
      </c>
      <c r="E31" s="120">
        <v>6500</v>
      </c>
      <c r="F31" s="120">
        <f t="shared" si="3"/>
        <v>182000</v>
      </c>
      <c r="G31" s="115">
        <v>89</v>
      </c>
      <c r="H31" s="114">
        <v>20</v>
      </c>
      <c r="I31" s="119">
        <f t="shared" si="2"/>
        <v>9100</v>
      </c>
    </row>
    <row r="32" spans="2:9" ht="15.75" thickBot="1" x14ac:dyDescent="0.3">
      <c r="B32" s="124">
        <v>7</v>
      </c>
      <c r="C32" s="123" t="s">
        <v>256</v>
      </c>
      <c r="D32" s="122">
        <v>6</v>
      </c>
      <c r="E32" s="121">
        <v>332.25</v>
      </c>
      <c r="F32" s="120">
        <f t="shared" si="3"/>
        <v>1993.5</v>
      </c>
      <c r="G32" s="115"/>
      <c r="H32" s="114">
        <v>5</v>
      </c>
      <c r="I32" s="119">
        <f t="shared" si="2"/>
        <v>398.7</v>
      </c>
    </row>
    <row r="33" spans="2:9" ht="15.75" thickBot="1" x14ac:dyDescent="0.3">
      <c r="B33" s="124">
        <v>8</v>
      </c>
      <c r="C33" s="123" t="s">
        <v>255</v>
      </c>
      <c r="D33" s="122">
        <v>6</v>
      </c>
      <c r="E33" s="121">
        <v>3927</v>
      </c>
      <c r="F33" s="120">
        <f t="shared" si="3"/>
        <v>23562</v>
      </c>
      <c r="G33" s="115">
        <v>84</v>
      </c>
      <c r="H33" s="114">
        <v>10</v>
      </c>
      <c r="I33" s="119">
        <f t="shared" si="2"/>
        <v>2356.1999999999998</v>
      </c>
    </row>
    <row r="34" spans="2:9" ht="15.75" thickBot="1" x14ac:dyDescent="0.3">
      <c r="B34" s="124">
        <v>9</v>
      </c>
      <c r="C34" s="123" t="s">
        <v>254</v>
      </c>
      <c r="D34" s="122">
        <v>5</v>
      </c>
      <c r="E34" s="121">
        <v>332.25</v>
      </c>
      <c r="F34" s="120">
        <f t="shared" si="3"/>
        <v>1661.25</v>
      </c>
      <c r="G34" s="115"/>
      <c r="H34" s="114">
        <v>10</v>
      </c>
      <c r="I34" s="119">
        <f t="shared" si="2"/>
        <v>166.125</v>
      </c>
    </row>
    <row r="35" spans="2:9" ht="15.75" thickBot="1" x14ac:dyDescent="0.3">
      <c r="B35" s="124">
        <v>10</v>
      </c>
      <c r="C35" s="123" t="s">
        <v>253</v>
      </c>
      <c r="D35" s="122">
        <v>6</v>
      </c>
      <c r="E35" s="121">
        <v>1315</v>
      </c>
      <c r="F35" s="120">
        <f t="shared" si="3"/>
        <v>7890</v>
      </c>
      <c r="G35" s="115">
        <v>84</v>
      </c>
      <c r="H35" s="114">
        <v>10</v>
      </c>
      <c r="I35" s="119">
        <f t="shared" si="2"/>
        <v>789</v>
      </c>
    </row>
    <row r="36" spans="2:9" ht="15.75" thickBot="1" x14ac:dyDescent="0.3">
      <c r="B36" s="124">
        <v>11</v>
      </c>
      <c r="C36" s="123" t="s">
        <v>252</v>
      </c>
      <c r="D36" s="122">
        <v>6</v>
      </c>
      <c r="E36" s="121">
        <v>307.99</v>
      </c>
      <c r="F36" s="120">
        <f t="shared" si="3"/>
        <v>1847.94</v>
      </c>
      <c r="G36" s="115"/>
      <c r="H36" s="114">
        <v>10</v>
      </c>
      <c r="I36" s="119">
        <f t="shared" si="2"/>
        <v>184.79400000000001</v>
      </c>
    </row>
    <row r="37" spans="2:9" ht="15.75" thickBot="1" x14ac:dyDescent="0.3">
      <c r="B37" s="124">
        <v>12</v>
      </c>
      <c r="C37" s="123" t="s">
        <v>251</v>
      </c>
      <c r="D37" s="122">
        <v>6</v>
      </c>
      <c r="E37" s="121">
        <v>288.8</v>
      </c>
      <c r="F37" s="120">
        <f t="shared" si="3"/>
        <v>1732.8000000000002</v>
      </c>
      <c r="G37" s="115"/>
      <c r="H37" s="114">
        <v>10</v>
      </c>
      <c r="I37" s="119">
        <f t="shared" si="2"/>
        <v>173.28000000000003</v>
      </c>
    </row>
    <row r="38" spans="2:9" ht="23.25" thickBot="1" x14ac:dyDescent="0.3">
      <c r="B38" s="124">
        <v>13</v>
      </c>
      <c r="C38" s="123" t="s">
        <v>250</v>
      </c>
      <c r="D38" s="122">
        <v>5</v>
      </c>
      <c r="E38" s="121">
        <v>1016.41</v>
      </c>
      <c r="F38" s="120">
        <f t="shared" si="3"/>
        <v>5082.05</v>
      </c>
      <c r="G38" s="115">
        <v>84</v>
      </c>
      <c r="H38" s="114">
        <v>10</v>
      </c>
      <c r="I38" s="119">
        <f t="shared" si="2"/>
        <v>508.20500000000004</v>
      </c>
    </row>
    <row r="39" spans="2:9" ht="23.25" thickBot="1" x14ac:dyDescent="0.3">
      <c r="B39" s="124">
        <v>14</v>
      </c>
      <c r="C39" s="123" t="s">
        <v>249</v>
      </c>
      <c r="D39" s="122">
        <v>6</v>
      </c>
      <c r="E39" s="121">
        <v>387.19</v>
      </c>
      <c r="F39" s="120">
        <f t="shared" si="3"/>
        <v>2323.14</v>
      </c>
      <c r="G39" s="115"/>
      <c r="H39" s="114">
        <v>10</v>
      </c>
      <c r="I39" s="119">
        <f t="shared" si="2"/>
        <v>232.31399999999999</v>
      </c>
    </row>
    <row r="40" spans="2:9" ht="15.75" thickBot="1" x14ac:dyDescent="0.3">
      <c r="B40" s="124">
        <v>15</v>
      </c>
      <c r="C40" s="123" t="s">
        <v>248</v>
      </c>
      <c r="D40" s="122">
        <v>5</v>
      </c>
      <c r="E40" s="121">
        <v>1311.15</v>
      </c>
      <c r="F40" s="120">
        <f t="shared" si="3"/>
        <v>6555.75</v>
      </c>
      <c r="G40" s="115">
        <v>84</v>
      </c>
      <c r="H40" s="114">
        <v>10</v>
      </c>
      <c r="I40" s="119">
        <f>F40/H40</f>
        <v>655.57500000000005</v>
      </c>
    </row>
    <row r="41" spans="2:9" ht="23.25" thickBot="1" x14ac:dyDescent="0.3">
      <c r="B41" s="124">
        <v>16</v>
      </c>
      <c r="C41" s="123" t="s">
        <v>247</v>
      </c>
      <c r="D41" s="122">
        <v>6</v>
      </c>
      <c r="E41" s="121">
        <v>3499</v>
      </c>
      <c r="F41" s="120">
        <f t="shared" si="3"/>
        <v>20994</v>
      </c>
      <c r="G41" s="115"/>
      <c r="H41" s="114">
        <v>5</v>
      </c>
      <c r="I41" s="119">
        <f t="shared" si="2"/>
        <v>4198.8</v>
      </c>
    </row>
    <row r="42" spans="2:9" ht="15.75" thickBot="1" x14ac:dyDescent="0.3">
      <c r="B42" s="124">
        <v>17</v>
      </c>
      <c r="C42" s="123" t="s">
        <v>246</v>
      </c>
      <c r="D42" s="122">
        <v>6</v>
      </c>
      <c r="E42" s="121">
        <v>241.2</v>
      </c>
      <c r="F42" s="120">
        <f t="shared" si="3"/>
        <v>1447.1999999999998</v>
      </c>
      <c r="G42" s="115"/>
      <c r="H42" s="114">
        <v>5</v>
      </c>
      <c r="I42" s="119">
        <f t="shared" si="2"/>
        <v>289.43999999999994</v>
      </c>
    </row>
    <row r="43" spans="2:9" ht="15.75" thickBot="1" x14ac:dyDescent="0.3">
      <c r="B43" s="124">
        <v>18</v>
      </c>
      <c r="C43" s="123" t="s">
        <v>245</v>
      </c>
      <c r="D43" s="122">
        <v>6</v>
      </c>
      <c r="E43" s="121">
        <v>566.32000000000005</v>
      </c>
      <c r="F43" s="120">
        <f t="shared" si="3"/>
        <v>3397.92</v>
      </c>
      <c r="G43" s="115">
        <v>82</v>
      </c>
      <c r="H43" s="114">
        <v>5</v>
      </c>
      <c r="I43" s="119">
        <f t="shared" si="2"/>
        <v>679.58400000000006</v>
      </c>
    </row>
    <row r="44" spans="2:9" ht="15.75" thickBot="1" x14ac:dyDescent="0.3">
      <c r="B44" s="124">
        <v>19</v>
      </c>
      <c r="C44" s="123" t="s">
        <v>244</v>
      </c>
      <c r="D44" s="122">
        <v>6</v>
      </c>
      <c r="E44" s="121">
        <v>79</v>
      </c>
      <c r="F44" s="120">
        <f t="shared" si="3"/>
        <v>474</v>
      </c>
      <c r="G44" s="115">
        <v>84</v>
      </c>
      <c r="H44" s="114">
        <v>10</v>
      </c>
      <c r="I44" s="119">
        <f t="shared" si="2"/>
        <v>47.4</v>
      </c>
    </row>
    <row r="45" spans="2:9" ht="15.75" thickBot="1" x14ac:dyDescent="0.3">
      <c r="B45" s="124">
        <v>20</v>
      </c>
      <c r="C45" s="123" t="s">
        <v>243</v>
      </c>
      <c r="D45" s="122">
        <v>5</v>
      </c>
      <c r="E45" s="121">
        <v>384.8</v>
      </c>
      <c r="F45" s="120">
        <f t="shared" si="3"/>
        <v>1924</v>
      </c>
      <c r="G45" s="115">
        <v>84</v>
      </c>
      <c r="H45" s="114">
        <v>10</v>
      </c>
      <c r="I45" s="119">
        <f t="shared" si="2"/>
        <v>192.4</v>
      </c>
    </row>
    <row r="46" spans="2:9" ht="15.75" thickBot="1" x14ac:dyDescent="0.3">
      <c r="B46" s="124">
        <v>21</v>
      </c>
      <c r="C46" s="123" t="s">
        <v>242</v>
      </c>
      <c r="D46" s="122">
        <v>6</v>
      </c>
      <c r="E46" s="121">
        <v>8325</v>
      </c>
      <c r="F46" s="120">
        <f t="shared" si="3"/>
        <v>49950</v>
      </c>
      <c r="G46" s="115"/>
      <c r="H46" s="114">
        <v>5</v>
      </c>
      <c r="I46" s="119">
        <f t="shared" si="2"/>
        <v>9990</v>
      </c>
    </row>
    <row r="47" spans="2:9" ht="15.75" thickBot="1" x14ac:dyDescent="0.3">
      <c r="B47" s="124">
        <v>22</v>
      </c>
      <c r="C47" s="123" t="s">
        <v>241</v>
      </c>
      <c r="D47" s="122">
        <v>6</v>
      </c>
      <c r="E47" s="121">
        <v>2953</v>
      </c>
      <c r="F47" s="120">
        <f t="shared" si="3"/>
        <v>17718</v>
      </c>
      <c r="G47" s="115"/>
      <c r="H47" s="114">
        <v>5</v>
      </c>
      <c r="I47" s="119">
        <f t="shared" si="2"/>
        <v>3543.6</v>
      </c>
    </row>
    <row r="48" spans="2:9" ht="15.75" thickBot="1" x14ac:dyDescent="0.3">
      <c r="B48" s="124">
        <v>23</v>
      </c>
      <c r="C48" s="123" t="s">
        <v>240</v>
      </c>
      <c r="D48" s="122">
        <v>6</v>
      </c>
      <c r="E48" s="121">
        <v>18466.29</v>
      </c>
      <c r="F48" s="120">
        <f t="shared" si="3"/>
        <v>110797.74</v>
      </c>
      <c r="G48" s="115"/>
      <c r="H48" s="114">
        <v>5</v>
      </c>
      <c r="I48" s="119">
        <f t="shared" si="2"/>
        <v>22159.548000000003</v>
      </c>
    </row>
    <row r="49" spans="2:9" ht="15.75" thickBot="1" x14ac:dyDescent="0.3">
      <c r="B49" s="124">
        <v>24</v>
      </c>
      <c r="C49" s="123" t="s">
        <v>239</v>
      </c>
      <c r="D49" s="122">
        <v>6</v>
      </c>
      <c r="E49" s="121">
        <v>972.91</v>
      </c>
      <c r="F49" s="120">
        <f t="shared" si="3"/>
        <v>5837.46</v>
      </c>
      <c r="G49" s="115">
        <v>82</v>
      </c>
      <c r="H49" s="114">
        <v>5</v>
      </c>
      <c r="I49" s="119">
        <f t="shared" si="2"/>
        <v>1167.492</v>
      </c>
    </row>
    <row r="50" spans="2:9" ht="15.75" thickBot="1" x14ac:dyDescent="0.3">
      <c r="B50" s="124">
        <v>25</v>
      </c>
      <c r="C50" s="123" t="s">
        <v>238</v>
      </c>
      <c r="D50" s="122">
        <v>5</v>
      </c>
      <c r="E50" s="121">
        <v>317.14</v>
      </c>
      <c r="F50" s="120">
        <f t="shared" si="3"/>
        <v>1585.6999999999998</v>
      </c>
      <c r="G50" s="115"/>
      <c r="H50" s="114">
        <v>5</v>
      </c>
      <c r="I50" s="119">
        <f t="shared" si="2"/>
        <v>317.14</v>
      </c>
    </row>
    <row r="51" spans="2:9" ht="15.75" thickBot="1" x14ac:dyDescent="0.3">
      <c r="B51" s="124">
        <v>26</v>
      </c>
      <c r="C51" s="123" t="s">
        <v>237</v>
      </c>
      <c r="D51" s="122">
        <v>28</v>
      </c>
      <c r="E51" s="121">
        <v>8000</v>
      </c>
      <c r="F51" s="120">
        <f t="shared" si="3"/>
        <v>224000</v>
      </c>
      <c r="G51" s="115">
        <v>84</v>
      </c>
      <c r="H51" s="114">
        <v>10</v>
      </c>
      <c r="I51" s="119">
        <f t="shared" si="2"/>
        <v>22400</v>
      </c>
    </row>
    <row r="52" spans="2:9" ht="15.75" thickBot="1" x14ac:dyDescent="0.3">
      <c r="B52" s="124">
        <v>27</v>
      </c>
      <c r="C52" s="123" t="s">
        <v>236</v>
      </c>
      <c r="D52" s="122">
        <v>6</v>
      </c>
      <c r="E52" s="121">
        <v>979.99</v>
      </c>
      <c r="F52" s="120">
        <f t="shared" si="3"/>
        <v>5879.9400000000005</v>
      </c>
      <c r="G52" s="115"/>
      <c r="H52" s="114">
        <v>5</v>
      </c>
      <c r="I52" s="119">
        <f t="shared" si="2"/>
        <v>1175.9880000000001</v>
      </c>
    </row>
    <row r="53" spans="2:9" ht="15.75" thickBot="1" x14ac:dyDescent="0.3">
      <c r="B53" s="124">
        <v>28</v>
      </c>
      <c r="C53" s="123" t="s">
        <v>235</v>
      </c>
      <c r="D53" s="122">
        <v>6</v>
      </c>
      <c r="E53" s="121">
        <v>603.99</v>
      </c>
      <c r="F53" s="120">
        <f t="shared" si="3"/>
        <v>3623.94</v>
      </c>
      <c r="G53" s="115"/>
      <c r="H53" s="114">
        <v>5</v>
      </c>
      <c r="I53" s="119">
        <f t="shared" si="2"/>
        <v>724.78800000000001</v>
      </c>
    </row>
    <row r="54" spans="2:9" ht="15.75" thickBot="1" x14ac:dyDescent="0.3">
      <c r="B54" s="124">
        <v>29</v>
      </c>
      <c r="C54" s="123" t="s">
        <v>234</v>
      </c>
      <c r="D54" s="122">
        <v>6</v>
      </c>
      <c r="E54" s="121">
        <v>1100</v>
      </c>
      <c r="F54" s="120">
        <f t="shared" si="3"/>
        <v>6600</v>
      </c>
      <c r="G54" s="115">
        <v>90</v>
      </c>
      <c r="H54" s="114">
        <v>10</v>
      </c>
      <c r="I54" s="119">
        <f>F54/H54</f>
        <v>660</v>
      </c>
    </row>
    <row r="55" spans="2:9" ht="15.75" thickBot="1" x14ac:dyDescent="0.3">
      <c r="B55" s="124">
        <v>30</v>
      </c>
      <c r="C55" s="123" t="s">
        <v>233</v>
      </c>
      <c r="D55" s="122">
        <v>6</v>
      </c>
      <c r="E55" s="121">
        <v>209.9</v>
      </c>
      <c r="F55" s="120">
        <f t="shared" si="3"/>
        <v>1259.4000000000001</v>
      </c>
      <c r="G55" s="115">
        <v>90</v>
      </c>
      <c r="H55" s="114">
        <v>10</v>
      </c>
      <c r="I55" s="119">
        <f t="shared" si="2"/>
        <v>125.94000000000001</v>
      </c>
    </row>
    <row r="56" spans="2:9" ht="15.75" thickBot="1" x14ac:dyDescent="0.3">
      <c r="B56" s="124">
        <v>31</v>
      </c>
      <c r="C56" s="123" t="s">
        <v>232</v>
      </c>
      <c r="D56" s="122">
        <v>6</v>
      </c>
      <c r="E56" s="121">
        <v>420</v>
      </c>
      <c r="F56" s="120">
        <f t="shared" si="3"/>
        <v>2520</v>
      </c>
      <c r="G56" s="115">
        <v>90</v>
      </c>
      <c r="H56" s="114">
        <v>10</v>
      </c>
      <c r="I56" s="119">
        <f t="shared" si="2"/>
        <v>252</v>
      </c>
    </row>
    <row r="57" spans="2:9" ht="15.75" thickBot="1" x14ac:dyDescent="0.3">
      <c r="B57" s="124">
        <v>32</v>
      </c>
      <c r="C57" s="123" t="s">
        <v>231</v>
      </c>
      <c r="D57" s="122">
        <v>5</v>
      </c>
      <c r="E57" s="121">
        <v>1214.72</v>
      </c>
      <c r="F57" s="120">
        <f t="shared" si="3"/>
        <v>6073.6</v>
      </c>
      <c r="G57" s="115">
        <v>84</v>
      </c>
      <c r="H57" s="114">
        <v>10</v>
      </c>
      <c r="I57" s="119">
        <f t="shared" si="2"/>
        <v>607.36</v>
      </c>
    </row>
    <row r="58" spans="2:9" ht="15.75" thickBot="1" x14ac:dyDescent="0.3">
      <c r="B58" s="124">
        <v>33</v>
      </c>
      <c r="C58" s="123" t="s">
        <v>230</v>
      </c>
      <c r="D58" s="122">
        <v>6</v>
      </c>
      <c r="E58" s="121">
        <v>169.1</v>
      </c>
      <c r="F58" s="120">
        <f t="shared" si="3"/>
        <v>1014.5999999999999</v>
      </c>
      <c r="G58" s="115">
        <v>90</v>
      </c>
      <c r="H58" s="114">
        <v>10</v>
      </c>
      <c r="I58" s="119">
        <f t="shared" si="2"/>
        <v>101.46</v>
      </c>
    </row>
    <row r="59" spans="2:9" ht="23.25" thickBot="1" x14ac:dyDescent="0.3">
      <c r="B59" s="124">
        <v>34</v>
      </c>
      <c r="C59" s="123" t="s">
        <v>229</v>
      </c>
      <c r="D59" s="122">
        <v>6</v>
      </c>
      <c r="E59" s="121">
        <v>1857.99</v>
      </c>
      <c r="F59" s="120">
        <f t="shared" si="3"/>
        <v>11147.94</v>
      </c>
      <c r="G59" s="115">
        <v>84</v>
      </c>
      <c r="H59" s="114">
        <v>10</v>
      </c>
      <c r="I59" s="119">
        <f t="shared" si="2"/>
        <v>1114.7940000000001</v>
      </c>
    </row>
    <row r="60" spans="2:9" ht="15.75" thickBot="1" x14ac:dyDescent="0.3">
      <c r="B60" s="124">
        <v>35</v>
      </c>
      <c r="C60" s="123" t="s">
        <v>228</v>
      </c>
      <c r="D60" s="122">
        <v>6</v>
      </c>
      <c r="E60" s="121">
        <v>1081.79</v>
      </c>
      <c r="F60" s="120">
        <f t="shared" si="3"/>
        <v>6490.74</v>
      </c>
      <c r="G60" s="115">
        <v>84</v>
      </c>
      <c r="H60" s="114">
        <v>10</v>
      </c>
      <c r="I60" s="119">
        <f t="shared" si="2"/>
        <v>649.07399999999996</v>
      </c>
    </row>
    <row r="61" spans="2:9" ht="15.75" thickBot="1" x14ac:dyDescent="0.3">
      <c r="B61" s="814" t="s">
        <v>227</v>
      </c>
      <c r="C61" s="815"/>
      <c r="D61" s="815"/>
      <c r="E61" s="816"/>
      <c r="F61" s="118">
        <f>SUM(F26:F60)</f>
        <v>755255.85999999975</v>
      </c>
      <c r="G61" s="787" t="s">
        <v>1166</v>
      </c>
      <c r="H61" s="788"/>
      <c r="I61" s="117">
        <f>SUM(I26:I60)</f>
        <v>91745.388500000001</v>
      </c>
    </row>
    <row r="62" spans="2:9" x14ac:dyDescent="0.25">
      <c r="B62" s="92" t="s">
        <v>114</v>
      </c>
      <c r="C62" s="112" t="s">
        <v>225</v>
      </c>
      <c r="D62" s="14"/>
      <c r="E62" s="110"/>
      <c r="F62" s="109"/>
      <c r="G62" s="14"/>
      <c r="H62" s="108"/>
      <c r="I62" s="107"/>
    </row>
    <row r="64" spans="2:9" ht="15.75" thickBot="1" x14ac:dyDescent="0.3">
      <c r="B64" s="844" t="s">
        <v>1168</v>
      </c>
      <c r="C64" s="845"/>
      <c r="D64" s="845"/>
      <c r="E64" s="845"/>
      <c r="F64" s="845"/>
      <c r="G64" s="845"/>
      <c r="H64" s="845"/>
      <c r="I64" s="846"/>
    </row>
    <row r="65" spans="2:9" ht="23.25" thickBot="1" x14ac:dyDescent="0.3">
      <c r="B65" s="124">
        <v>1</v>
      </c>
      <c r="C65" s="123" t="s">
        <v>1169</v>
      </c>
      <c r="D65" s="122">
        <v>9</v>
      </c>
      <c r="E65" s="121">
        <v>500000</v>
      </c>
      <c r="F65" s="120">
        <f>E65*D65</f>
        <v>4500000</v>
      </c>
      <c r="G65" s="115" t="s">
        <v>422</v>
      </c>
      <c r="H65" s="114">
        <v>20</v>
      </c>
      <c r="I65" s="119">
        <f>F65/H65</f>
        <v>225000</v>
      </c>
    </row>
    <row r="66" spans="2:9" ht="15.75" thickBot="1" x14ac:dyDescent="0.3">
      <c r="G66" s="787" t="s">
        <v>1166</v>
      </c>
      <c r="H66" s="788"/>
      <c r="I66" s="117">
        <f>I65</f>
        <v>225000</v>
      </c>
    </row>
    <row r="67" spans="2:9" ht="15.75" thickBot="1" x14ac:dyDescent="0.3"/>
    <row r="68" spans="2:9" ht="15.75" thickBot="1" x14ac:dyDescent="0.3">
      <c r="C68" t="s">
        <v>1170</v>
      </c>
      <c r="I68" s="117">
        <f>I66+I61+I23</f>
        <v>341296.98849999998</v>
      </c>
    </row>
  </sheetData>
  <mergeCells count="14">
    <mergeCell ref="G66:H66"/>
    <mergeCell ref="B23:E23"/>
    <mergeCell ref="G23:H23"/>
    <mergeCell ref="B25:I25"/>
    <mergeCell ref="B61:E61"/>
    <mergeCell ref="G61:H61"/>
    <mergeCell ref="B64:I64"/>
    <mergeCell ref="B3:I3"/>
    <mergeCell ref="B4:B5"/>
    <mergeCell ref="C4:C5"/>
    <mergeCell ref="D4:D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2" sqref="A2:XFD100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"/>
  <sheetViews>
    <sheetView showGridLines="0" topLeftCell="A22" zoomScale="140" zoomScaleNormal="140" workbookViewId="0">
      <selection activeCell="G45" sqref="G45"/>
    </sheetView>
  </sheetViews>
  <sheetFormatPr defaultRowHeight="15" x14ac:dyDescent="0.25"/>
  <cols>
    <col min="2" max="2" width="31.85546875" customWidth="1"/>
    <col min="3" max="3" width="15" bestFit="1" customWidth="1"/>
  </cols>
  <sheetData>
    <row r="8" spans="2:2" x14ac:dyDescent="0.25">
      <c r="B8" t="s">
        <v>25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="120" zoomScaleNormal="120" workbookViewId="0">
      <selection activeCell="B5" sqref="B5"/>
    </sheetView>
  </sheetViews>
  <sheetFormatPr defaultRowHeight="15" x14ac:dyDescent="0.25"/>
  <cols>
    <col min="1" max="1" width="68.42578125" bestFit="1" customWidth="1"/>
    <col min="2" max="2" width="13.85546875" bestFit="1" customWidth="1"/>
    <col min="3" max="3" width="17.85546875" bestFit="1" customWidth="1"/>
    <col min="5" max="5" width="33.28515625" bestFit="1" customWidth="1"/>
    <col min="6" max="6" width="15.140625" bestFit="1" customWidth="1"/>
    <col min="7" max="7" width="12.7109375" bestFit="1" customWidth="1"/>
    <col min="9" max="9" width="33.28515625" bestFit="1" customWidth="1"/>
    <col min="10" max="10" width="14.28515625" bestFit="1" customWidth="1"/>
  </cols>
  <sheetData>
    <row r="1" spans="1:7" x14ac:dyDescent="0.25">
      <c r="A1" s="6" t="s">
        <v>1157</v>
      </c>
      <c r="B1" s="6"/>
      <c r="C1" s="18"/>
    </row>
    <row r="2" spans="1:7" x14ac:dyDescent="0.25">
      <c r="A2" s="847" t="s">
        <v>1156</v>
      </c>
      <c r="B2" s="847" t="s">
        <v>1155</v>
      </c>
      <c r="C2" s="847"/>
    </row>
    <row r="3" spans="1:7" x14ac:dyDescent="0.25">
      <c r="A3" s="847"/>
      <c r="B3" s="452" t="s">
        <v>1154</v>
      </c>
      <c r="C3" s="7" t="s">
        <v>1153</v>
      </c>
      <c r="D3" s="18"/>
      <c r="E3" s="18"/>
    </row>
    <row r="4" spans="1:7" x14ac:dyDescent="0.25">
      <c r="A4" s="1" t="s">
        <v>1152</v>
      </c>
      <c r="B4" s="452"/>
      <c r="C4" s="7"/>
      <c r="D4" s="18"/>
      <c r="E4" s="1" t="s">
        <v>21</v>
      </c>
      <c r="F4" s="28">
        <f>SUM(F5:F8)</f>
        <v>14467413.33132932</v>
      </c>
    </row>
    <row r="5" spans="1:7" ht="18.75" customHeight="1" x14ac:dyDescent="0.25">
      <c r="A5" s="1" t="s">
        <v>1151</v>
      </c>
      <c r="B5" s="455">
        <f>'salarios e encargos ajustada'!G82</f>
        <v>10625337.448601041</v>
      </c>
      <c r="C5" s="505">
        <v>11624786.626428055</v>
      </c>
      <c r="D5" s="18"/>
      <c r="E5" s="7" t="s">
        <v>14</v>
      </c>
      <c r="F5" s="27">
        <f>'Anexo 6_Desp Adm'!B5</f>
        <v>10625337.448601041</v>
      </c>
    </row>
    <row r="6" spans="1:7" x14ac:dyDescent="0.25">
      <c r="A6" s="1" t="s">
        <v>15</v>
      </c>
      <c r="B6" s="455">
        <v>1390141.46</v>
      </c>
      <c r="C6" s="505">
        <v>1390141.4566440743</v>
      </c>
      <c r="D6" s="18"/>
      <c r="E6" s="7" t="s">
        <v>15</v>
      </c>
      <c r="F6" s="27">
        <f>'Anexo 6_Desp Adm'!B6</f>
        <v>1390141.46</v>
      </c>
      <c r="G6" s="451"/>
    </row>
    <row r="7" spans="1:7" x14ac:dyDescent="0.25">
      <c r="A7" s="1" t="s">
        <v>1150</v>
      </c>
      <c r="B7" s="455">
        <f>SUM(B8:B19)</f>
        <v>2425844.4131505699</v>
      </c>
      <c r="C7" s="505">
        <f>SUM(C8:C19)</f>
        <v>2757349.2609541393</v>
      </c>
      <c r="D7" s="18"/>
      <c r="E7" s="7" t="s">
        <v>1159</v>
      </c>
      <c r="F7" s="27">
        <f>'Anexo 6_Desp Adm'!B7</f>
        <v>2425844.4131505699</v>
      </c>
      <c r="G7" t="s">
        <v>1158</v>
      </c>
    </row>
    <row r="8" spans="1:7" x14ac:dyDescent="0.25">
      <c r="A8" s="7" t="s">
        <v>1149</v>
      </c>
      <c r="B8" s="453">
        <f>C8</f>
        <v>301057.01</v>
      </c>
      <c r="C8" s="450">
        <v>301057.01</v>
      </c>
      <c r="D8" s="18"/>
      <c r="E8" s="7" t="s">
        <v>1171</v>
      </c>
      <c r="F8" s="27">
        <f>'Anexo 6_Desp Adm'!B20</f>
        <v>26090.00957770797</v>
      </c>
      <c r="G8" s="4"/>
    </row>
    <row r="9" spans="1:7" x14ac:dyDescent="0.25">
      <c r="A9" s="7" t="s">
        <v>1148</v>
      </c>
      <c r="B9" s="453">
        <f>C9</f>
        <v>127473.98</v>
      </c>
      <c r="C9" s="450">
        <v>127473.98</v>
      </c>
      <c r="D9" s="18"/>
      <c r="E9" s="18"/>
    </row>
    <row r="10" spans="1:7" x14ac:dyDescent="0.25">
      <c r="A10" s="7" t="s">
        <v>1147</v>
      </c>
      <c r="B10" s="453">
        <f>0.025*'salarios e encargos ajustada'!G82</f>
        <v>265633.43621502601</v>
      </c>
      <c r="C10" s="450">
        <v>300000</v>
      </c>
      <c r="D10" s="18"/>
      <c r="E10" s="18"/>
    </row>
    <row r="11" spans="1:7" x14ac:dyDescent="0.25">
      <c r="A11" s="307" t="s">
        <v>1146</v>
      </c>
      <c r="B11" s="453">
        <f>C11</f>
        <v>48669.049736432724</v>
      </c>
      <c r="C11" s="450">
        <v>48669.049736432724</v>
      </c>
      <c r="D11" s="18"/>
      <c r="E11" s="18"/>
    </row>
    <row r="12" spans="1:7" x14ac:dyDescent="0.25">
      <c r="A12" s="307" t="s">
        <v>1145</v>
      </c>
      <c r="B12" s="453">
        <f>Papelaria!P5</f>
        <v>22202.400000000001</v>
      </c>
      <c r="C12" s="450">
        <v>292014.29841859598</v>
      </c>
      <c r="D12" s="18"/>
      <c r="E12" s="18"/>
    </row>
    <row r="13" spans="1:7" x14ac:dyDescent="0.25">
      <c r="A13" s="307" t="s">
        <v>1144</v>
      </c>
      <c r="B13" s="453">
        <f>C13</f>
        <v>766020.53157142852</v>
      </c>
      <c r="C13" s="450">
        <v>766020.53157142852</v>
      </c>
      <c r="D13" s="18"/>
      <c r="E13" s="18"/>
    </row>
    <row r="14" spans="1:7" x14ac:dyDescent="0.25">
      <c r="A14" s="307" t="s">
        <v>1143</v>
      </c>
      <c r="B14" s="453">
        <f>C14</f>
        <v>6041.8520800000006</v>
      </c>
      <c r="C14" s="450">
        <v>6041.8520800000006</v>
      </c>
      <c r="D14" s="18"/>
      <c r="E14" s="18"/>
      <c r="F14" s="25"/>
    </row>
    <row r="15" spans="1:7" x14ac:dyDescent="0.25">
      <c r="A15" s="307" t="s">
        <v>1142</v>
      </c>
      <c r="B15" s="453">
        <f>C15</f>
        <v>272195.64336829248</v>
      </c>
      <c r="C15" s="450">
        <v>272195.64336829248</v>
      </c>
      <c r="D15" s="18"/>
      <c r="E15" s="18"/>
    </row>
    <row r="16" spans="1:7" x14ac:dyDescent="0.25">
      <c r="A16" s="307" t="s">
        <v>1141</v>
      </c>
      <c r="B16" s="453">
        <v>52968.571199999998</v>
      </c>
      <c r="C16" s="450">
        <v>80294.9568</v>
      </c>
      <c r="D16" s="18"/>
      <c r="E16" s="18"/>
    </row>
    <row r="17" spans="1:5" x14ac:dyDescent="0.25">
      <c r="A17" s="307" t="s">
        <v>1140</v>
      </c>
      <c r="B17" s="453">
        <f>C17</f>
        <v>243534.3</v>
      </c>
      <c r="C17" s="450">
        <v>243534.3</v>
      </c>
      <c r="D17" s="18"/>
      <c r="E17" s="18"/>
    </row>
    <row r="18" spans="1:5" x14ac:dyDescent="0.25">
      <c r="A18" s="307" t="s">
        <v>1139</v>
      </c>
      <c r="B18" s="453">
        <f>C18</f>
        <v>56378.227214683662</v>
      </c>
      <c r="C18" s="450">
        <v>56378.227214683662</v>
      </c>
      <c r="D18" s="18"/>
      <c r="E18" s="18"/>
    </row>
    <row r="19" spans="1:5" x14ac:dyDescent="0.25">
      <c r="A19" s="307" t="s">
        <v>1138</v>
      </c>
      <c r="B19" s="453">
        <f>C19</f>
        <v>263669.41176470602</v>
      </c>
      <c r="C19" s="450">
        <v>263669.41176470602</v>
      </c>
      <c r="D19" s="18"/>
      <c r="E19" s="18"/>
    </row>
    <row r="20" spans="1:5" x14ac:dyDescent="0.25">
      <c r="A20" s="8" t="s">
        <v>1172</v>
      </c>
      <c r="B20" s="455">
        <f>'auditoria contabilidade'!B5</f>
        <v>26090.00957770797</v>
      </c>
      <c r="C20" s="505">
        <f>B20</f>
        <v>26090.00957770797</v>
      </c>
      <c r="D20" s="18"/>
      <c r="E20" s="18"/>
    </row>
    <row r="21" spans="1:5" x14ac:dyDescent="0.25">
      <c r="A21" s="1" t="s">
        <v>9</v>
      </c>
      <c r="B21" s="454">
        <f>B5+B6+B7+B20</f>
        <v>14467413.33132932</v>
      </c>
      <c r="C21" s="454">
        <f>C5+C6+C7+C20</f>
        <v>15798367.353603978</v>
      </c>
      <c r="D21" s="196"/>
      <c r="E21" s="145"/>
    </row>
    <row r="22" spans="1:5" x14ac:dyDescent="0.25">
      <c r="A22" s="49"/>
      <c r="B22" s="196"/>
      <c r="C22" s="18"/>
      <c r="D22" s="18"/>
      <c r="E22" s="18"/>
    </row>
  </sheetData>
  <mergeCells count="2">
    <mergeCell ref="B2:C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workbookViewId="0">
      <selection activeCell="F2" sqref="F2"/>
    </sheetView>
  </sheetViews>
  <sheetFormatPr defaultRowHeight="15" x14ac:dyDescent="0.25"/>
  <cols>
    <col min="1" max="1" width="44.85546875" bestFit="1" customWidth="1"/>
    <col min="2" max="2" width="62.85546875" bestFit="1" customWidth="1"/>
    <col min="3" max="3" width="23.28515625" bestFit="1" customWidth="1"/>
    <col min="5" max="5" width="32.5703125" customWidth="1"/>
    <col min="6" max="6" width="55.42578125" bestFit="1" customWidth="1"/>
    <col min="7" max="7" width="16.85546875" bestFit="1" customWidth="1"/>
    <col min="8" max="8" width="20" bestFit="1" customWidth="1"/>
    <col min="9" max="9" width="14.7109375" bestFit="1" customWidth="1"/>
    <col min="11" max="11" width="12" bestFit="1" customWidth="1"/>
    <col min="12" max="12" width="14.28515625" bestFit="1" customWidth="1"/>
  </cols>
  <sheetData>
    <row r="1" spans="1:6" x14ac:dyDescent="0.25">
      <c r="D1" s="57"/>
    </row>
    <row r="2" spans="1:6" s="56" customFormat="1" ht="21" x14ac:dyDescent="0.35">
      <c r="A2" s="707" t="s">
        <v>104</v>
      </c>
      <c r="B2" s="707"/>
      <c r="C2" s="707"/>
      <c r="F2" s="690"/>
    </row>
    <row r="3" spans="1:6" ht="15.75" thickBot="1" x14ac:dyDescent="0.3">
      <c r="C3" s="50"/>
      <c r="F3" s="50"/>
    </row>
    <row r="4" spans="1:6" ht="15.75" x14ac:dyDescent="0.25">
      <c r="A4" s="339" t="s">
        <v>101</v>
      </c>
      <c r="B4" s="340"/>
      <c r="C4" s="341" t="s">
        <v>2</v>
      </c>
      <c r="F4" s="50"/>
    </row>
    <row r="5" spans="1:6" ht="21.75" thickBot="1" x14ac:dyDescent="0.4">
      <c r="A5" s="342" t="s">
        <v>100</v>
      </c>
      <c r="B5" s="343"/>
      <c r="C5" s="344">
        <f>SUM(C7:C24)</f>
        <v>59582675.238323562</v>
      </c>
      <c r="E5" s="461" t="s">
        <v>103</v>
      </c>
      <c r="F5" s="56"/>
    </row>
    <row r="6" spans="1:6" ht="15.75" thickBot="1" x14ac:dyDescent="0.3">
      <c r="A6" s="44"/>
      <c r="B6" s="18"/>
      <c r="C6" s="43"/>
      <c r="E6" t="s">
        <v>102</v>
      </c>
    </row>
    <row r="7" spans="1:6" ht="15.75" thickBot="1" x14ac:dyDescent="0.3">
      <c r="A7" s="44"/>
      <c r="B7" s="18" t="s">
        <v>99</v>
      </c>
      <c r="C7" s="43">
        <f>'mão de obra'!J23</f>
        <v>24916358.753141161</v>
      </c>
      <c r="D7" t="s">
        <v>77</v>
      </c>
      <c r="E7" s="55">
        <v>37887108.689999998</v>
      </c>
      <c r="F7" s="51">
        <f t="shared" ref="F7:F25" si="0">E7/$E$25</f>
        <v>0.43746823860463441</v>
      </c>
    </row>
    <row r="8" spans="1:6" ht="15.75" thickBot="1" x14ac:dyDescent="0.3">
      <c r="A8" s="44"/>
      <c r="B8" s="18" t="s">
        <v>3</v>
      </c>
      <c r="C8" s="43">
        <f>Veículos!F14</f>
        <v>5318934</v>
      </c>
      <c r="D8" t="s">
        <v>77</v>
      </c>
      <c r="E8" s="53">
        <v>5549334</v>
      </c>
      <c r="F8" s="51">
        <f t="shared" si="0"/>
        <v>6.4076079023933835E-2</v>
      </c>
    </row>
    <row r="9" spans="1:6" ht="15.75" thickBot="1" x14ac:dyDescent="0.3">
      <c r="A9" s="44"/>
      <c r="B9" s="18" t="s">
        <v>4</v>
      </c>
      <c r="C9" s="43">
        <f>Equipamentos!G57</f>
        <v>3619000</v>
      </c>
      <c r="D9" t="s">
        <v>77</v>
      </c>
      <c r="E9" s="53">
        <v>599508</v>
      </c>
      <c r="F9" s="51">
        <f t="shared" si="0"/>
        <v>6.92229409573843E-3</v>
      </c>
    </row>
    <row r="10" spans="1:6" ht="15.75" thickBot="1" x14ac:dyDescent="0.3">
      <c r="A10" s="44"/>
      <c r="B10" s="18" t="s">
        <v>98</v>
      </c>
      <c r="C10" s="43">
        <f>amoxarifado!D4</f>
        <v>693250</v>
      </c>
      <c r="D10" t="s">
        <v>77</v>
      </c>
      <c r="E10" s="53">
        <v>3619000</v>
      </c>
      <c r="F10" s="51">
        <f t="shared" si="0"/>
        <v>4.1787236087720898E-2</v>
      </c>
    </row>
    <row r="11" spans="1:6" ht="15.75" thickBot="1" x14ac:dyDescent="0.3">
      <c r="A11" s="44"/>
      <c r="B11" s="18" t="s">
        <v>97</v>
      </c>
      <c r="C11" s="43">
        <f>Ferramentas!D6</f>
        <v>48264.41</v>
      </c>
      <c r="D11" t="s">
        <v>77</v>
      </c>
      <c r="E11" s="53">
        <v>141164.56</v>
      </c>
      <c r="F11" s="51">
        <f t="shared" si="0"/>
        <v>1.6299742459074998E-3</v>
      </c>
    </row>
    <row r="12" spans="1:6" ht="15.75" thickBot="1" x14ac:dyDescent="0.3">
      <c r="A12" s="44"/>
      <c r="B12" s="18" t="s">
        <v>96</v>
      </c>
      <c r="C12" s="43">
        <f>'Materiais de consumo'!D4</f>
        <v>599508</v>
      </c>
      <c r="D12" t="s">
        <v>77</v>
      </c>
      <c r="E12" s="53">
        <v>718023.6</v>
      </c>
      <c r="F12" s="51">
        <f t="shared" si="0"/>
        <v>8.2907492925546489E-3</v>
      </c>
    </row>
    <row r="13" spans="1:6" ht="15.75" thickBot="1" x14ac:dyDescent="0.3">
      <c r="A13" s="44"/>
      <c r="B13" s="18" t="s">
        <v>95</v>
      </c>
      <c r="C13" s="43">
        <f>0.2515*SUM(C7:C12)</f>
        <v>8851621.7635300029</v>
      </c>
      <c r="D13" t="s">
        <v>77</v>
      </c>
      <c r="E13" s="53">
        <v>12201305.92</v>
      </c>
      <c r="F13" s="51">
        <f t="shared" si="0"/>
        <v>0.14088390468569953</v>
      </c>
    </row>
    <row r="14" spans="1:6" ht="15.75" thickBot="1" x14ac:dyDescent="0.3">
      <c r="A14" s="44"/>
      <c r="B14" s="18" t="s">
        <v>94</v>
      </c>
      <c r="C14" s="43">
        <f>incendio!H6</f>
        <v>450000</v>
      </c>
      <c r="D14" t="s">
        <v>77</v>
      </c>
      <c r="E14" s="53">
        <v>26090.01</v>
      </c>
      <c r="F14" s="51">
        <f t="shared" si="0"/>
        <v>3.012515632497925E-4</v>
      </c>
    </row>
    <row r="15" spans="1:6" ht="15.75" thickBot="1" x14ac:dyDescent="0.3">
      <c r="A15" s="44"/>
      <c r="B15" s="18" t="s">
        <v>93</v>
      </c>
      <c r="C15" s="43">
        <f>automação!H4</f>
        <v>859552.22661190142</v>
      </c>
      <c r="D15" t="s">
        <v>77</v>
      </c>
      <c r="E15" s="54">
        <v>0</v>
      </c>
      <c r="F15" s="51">
        <f t="shared" si="0"/>
        <v>0</v>
      </c>
    </row>
    <row r="16" spans="1:6" ht="15.75" thickBot="1" x14ac:dyDescent="0.3">
      <c r="A16" s="44"/>
      <c r="B16" s="18" t="s">
        <v>92</v>
      </c>
      <c r="C16" s="43">
        <f>helicoptero!H4</f>
        <v>1174000</v>
      </c>
      <c r="D16" t="s">
        <v>77</v>
      </c>
      <c r="E16" s="53">
        <v>1125000</v>
      </c>
      <c r="F16" s="51">
        <f t="shared" si="0"/>
        <v>1.298995319112628E-2</v>
      </c>
    </row>
    <row r="17" spans="1:7" ht="15.75" thickBot="1" x14ac:dyDescent="0.3">
      <c r="A17" s="44"/>
      <c r="B17" s="18" t="s">
        <v>91</v>
      </c>
      <c r="C17" s="43">
        <f>drone!H2</f>
        <v>176100</v>
      </c>
      <c r="D17" t="s">
        <v>77</v>
      </c>
      <c r="E17" s="53">
        <v>1730895.29</v>
      </c>
      <c r="F17" s="51">
        <f t="shared" si="0"/>
        <v>1.99859989296364E-2</v>
      </c>
    </row>
    <row r="18" spans="1:7" ht="15.75" thickBot="1" x14ac:dyDescent="0.3">
      <c r="A18" s="44"/>
      <c r="B18" s="18" t="s">
        <v>90</v>
      </c>
      <c r="C18" s="43">
        <f>geomembranas!H3</f>
        <v>1964440.7928362391</v>
      </c>
      <c r="D18" t="s">
        <v>77</v>
      </c>
      <c r="E18" s="53">
        <v>5101309.5199999996</v>
      </c>
      <c r="F18" s="51">
        <f t="shared" si="0"/>
        <v>5.8902908336219438E-2</v>
      </c>
    </row>
    <row r="19" spans="1:7" ht="15.75" thickBot="1" x14ac:dyDescent="0.3">
      <c r="A19" s="44"/>
      <c r="B19" s="18" t="s">
        <v>5</v>
      </c>
      <c r="C19" s="43">
        <f>'linhas transmissão'!F8</f>
        <v>2867916.7972176187</v>
      </c>
      <c r="D19" t="s">
        <v>77</v>
      </c>
      <c r="E19" s="53">
        <v>1530392.86</v>
      </c>
      <c r="F19" s="51">
        <f t="shared" si="0"/>
        <v>1.7670872547052335E-2</v>
      </c>
    </row>
    <row r="20" spans="1:7" ht="15.75" thickBot="1" x14ac:dyDescent="0.3">
      <c r="A20" s="44"/>
      <c r="B20" s="18" t="s">
        <v>89</v>
      </c>
      <c r="C20" s="43">
        <f>subestações!G10</f>
        <v>3440476.1682361555</v>
      </c>
      <c r="D20" t="s">
        <v>77</v>
      </c>
      <c r="E20" s="53">
        <v>1964440.79</v>
      </c>
      <c r="F20" s="51">
        <f t="shared" si="0"/>
        <v>2.268266125230145E-2</v>
      </c>
    </row>
    <row r="21" spans="1:7" ht="15.75" thickBot="1" x14ac:dyDescent="0.3">
      <c r="A21" s="44"/>
      <c r="B21" s="18" t="s">
        <v>88</v>
      </c>
      <c r="C21" s="43">
        <f>'baixa tensão'!F6</f>
        <v>1880754.1577174999</v>
      </c>
      <c r="D21" t="s">
        <v>77</v>
      </c>
      <c r="E21" s="53">
        <v>2564941.29</v>
      </c>
      <c r="F21" s="51">
        <f t="shared" si="0"/>
        <v>2.9616415373410719E-2</v>
      </c>
    </row>
    <row r="22" spans="1:7" ht="15.75" thickBot="1" x14ac:dyDescent="0.3">
      <c r="A22" s="44"/>
      <c r="B22" s="49" t="s">
        <v>87</v>
      </c>
      <c r="C22" s="43">
        <f>'aferição medidores de vazão'!C7</f>
        <v>270000</v>
      </c>
      <c r="D22" t="s">
        <v>77</v>
      </c>
      <c r="E22" s="53">
        <v>4873553.42</v>
      </c>
      <c r="F22" s="51">
        <f t="shared" si="0"/>
        <v>5.6273094044669687E-2</v>
      </c>
    </row>
    <row r="23" spans="1:7" ht="15.75" thickBot="1" x14ac:dyDescent="0.3">
      <c r="A23" s="44"/>
      <c r="B23" s="18" t="s">
        <v>84</v>
      </c>
      <c r="C23" s="43">
        <f>'apoio rio Piranhas'!M2</f>
        <v>1284210.4192619182</v>
      </c>
      <c r="D23" t="s">
        <v>77</v>
      </c>
      <c r="E23" s="53">
        <v>2436776.71</v>
      </c>
      <c r="F23" s="51">
        <f t="shared" si="0"/>
        <v>2.8136547022334844E-2</v>
      </c>
      <c r="G23" s="51"/>
    </row>
    <row r="24" spans="1:7" ht="15.75" thickBot="1" x14ac:dyDescent="0.3">
      <c r="A24" s="42"/>
      <c r="B24" s="41" t="s">
        <v>86</v>
      </c>
      <c r="C24" s="40">
        <f>SUM(C7:C23)*2%</f>
        <v>1168287.7497710502</v>
      </c>
      <c r="D24" t="s">
        <v>77</v>
      </c>
      <c r="E24" s="52">
        <v>4654000</v>
      </c>
      <c r="F24" s="51">
        <f t="shared" si="0"/>
        <v>5.3737993023557078E-2</v>
      </c>
      <c r="G24" s="51"/>
    </row>
    <row r="25" spans="1:7" ht="15.75" thickBot="1" x14ac:dyDescent="0.3">
      <c r="C25" s="50"/>
      <c r="E25" s="345">
        <f>SUM(E7:E24)-117451.75</f>
        <v>86605392.910000011</v>
      </c>
      <c r="F25" s="51">
        <f t="shared" si="0"/>
        <v>1</v>
      </c>
      <c r="G25" s="51"/>
    </row>
    <row r="26" spans="1:7" ht="15.75" thickBot="1" x14ac:dyDescent="0.3"/>
    <row r="27" spans="1:7" x14ac:dyDescent="0.25">
      <c r="A27" s="47" t="s">
        <v>85</v>
      </c>
      <c r="B27" s="46" t="s">
        <v>81</v>
      </c>
      <c r="C27" s="45">
        <f>Ferramentas!D7</f>
        <v>755255.85999999975</v>
      </c>
      <c r="D27" s="18" t="s">
        <v>77</v>
      </c>
    </row>
    <row r="28" spans="1:7" x14ac:dyDescent="0.25">
      <c r="A28" s="44"/>
      <c r="B28" s="18" t="s">
        <v>80</v>
      </c>
      <c r="C28" s="43">
        <f>amoxarifado!D7</f>
        <v>156908</v>
      </c>
      <c r="D28" s="18" t="s">
        <v>77</v>
      </c>
    </row>
    <row r="29" spans="1:7" x14ac:dyDescent="0.25">
      <c r="A29" s="44"/>
      <c r="B29" s="18" t="s">
        <v>79</v>
      </c>
      <c r="C29" s="43">
        <f>incendio!B6</f>
        <v>4500000</v>
      </c>
      <c r="D29" s="18" t="s">
        <v>77</v>
      </c>
    </row>
    <row r="30" spans="1:7" x14ac:dyDescent="0.25">
      <c r="A30" s="44"/>
      <c r="B30" s="18" t="s">
        <v>83</v>
      </c>
      <c r="C30" s="43">
        <f>C29*19.6%</f>
        <v>882000</v>
      </c>
      <c r="D30" s="18" t="s">
        <v>77</v>
      </c>
    </row>
    <row r="31" spans="1:7" x14ac:dyDescent="0.25">
      <c r="A31" s="44"/>
      <c r="B31" s="18" t="s">
        <v>78</v>
      </c>
      <c r="C31" s="43">
        <f>'materiais sobressalentes'!C38</f>
        <v>2010000</v>
      </c>
      <c r="D31" s="18" t="s">
        <v>77</v>
      </c>
      <c r="F31" s="50"/>
    </row>
    <row r="32" spans="1:7" ht="15.75" thickBot="1" x14ac:dyDescent="0.3">
      <c r="A32" s="44"/>
      <c r="B32" s="49" t="s">
        <v>1226</v>
      </c>
      <c r="C32" s="43">
        <f>'apoio rio Piranhas'!M3</f>
        <v>62147.67</v>
      </c>
      <c r="D32" s="49" t="s">
        <v>77</v>
      </c>
    </row>
    <row r="33" spans="1:4" ht="15.75" thickBot="1" x14ac:dyDescent="0.3">
      <c r="A33" s="42"/>
      <c r="B33" s="336" t="s">
        <v>146</v>
      </c>
      <c r="C33" s="337">
        <f>SUM(C27:C32)</f>
        <v>8366311.5299999993</v>
      </c>
      <c r="D33" s="18"/>
    </row>
    <row r="34" spans="1:4" ht="15.75" thickBot="1" x14ac:dyDescent="0.3">
      <c r="A34" s="44"/>
      <c r="B34" s="18"/>
      <c r="C34" s="48"/>
      <c r="D34" s="18"/>
    </row>
    <row r="35" spans="1:4" x14ac:dyDescent="0.25">
      <c r="A35" s="47" t="s">
        <v>82</v>
      </c>
      <c r="B35" s="46" t="s">
        <v>81</v>
      </c>
      <c r="C35" s="45">
        <f>Depreciação!I61</f>
        <v>91745.388500000001</v>
      </c>
      <c r="D35" s="18" t="s">
        <v>77</v>
      </c>
    </row>
    <row r="36" spans="1:4" x14ac:dyDescent="0.25">
      <c r="A36" s="44"/>
      <c r="B36" s="18" t="s">
        <v>80</v>
      </c>
      <c r="C36" s="43">
        <f>Depreciação!I23</f>
        <v>24551.599999999999</v>
      </c>
      <c r="D36" s="18" t="s">
        <v>77</v>
      </c>
    </row>
    <row r="37" spans="1:4" x14ac:dyDescent="0.25">
      <c r="A37" s="44"/>
      <c r="B37" s="18" t="s">
        <v>79</v>
      </c>
      <c r="C37" s="43">
        <f>Depreciação!I66</f>
        <v>225000</v>
      </c>
      <c r="D37" s="18" t="s">
        <v>77</v>
      </c>
    </row>
    <row r="38" spans="1:4" ht="15.75" thickBot="1" x14ac:dyDescent="0.3">
      <c r="A38" s="44"/>
      <c r="B38" s="18" t="s">
        <v>78</v>
      </c>
      <c r="C38" s="43">
        <v>0</v>
      </c>
      <c r="D38" s="18" t="s">
        <v>77</v>
      </c>
    </row>
    <row r="39" spans="1:4" ht="15.75" thickBot="1" x14ac:dyDescent="0.3">
      <c r="A39" s="42"/>
      <c r="B39" s="338" t="s">
        <v>146</v>
      </c>
      <c r="C39" s="337">
        <f>SUM(C35:C38)</f>
        <v>341296.98849999998</v>
      </c>
      <c r="D39" s="18"/>
    </row>
    <row r="40" spans="1:4" x14ac:dyDescent="0.25">
      <c r="D40" s="18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showGridLines="0" workbookViewId="0">
      <selection activeCell="I11" sqref="I11"/>
    </sheetView>
  </sheetViews>
  <sheetFormatPr defaultRowHeight="12.75" x14ac:dyDescent="0.2"/>
  <cols>
    <col min="1" max="1" width="3.42578125" style="346" customWidth="1"/>
    <col min="2" max="2" width="43.42578125" style="346" bestFit="1" customWidth="1"/>
    <col min="3" max="3" width="9.140625" style="346" customWidth="1"/>
    <col min="4" max="4" width="6.7109375" style="346" customWidth="1"/>
    <col min="5" max="5" width="11.7109375" style="346" customWidth="1"/>
    <col min="6" max="6" width="13.7109375" style="346" customWidth="1"/>
    <col min="7" max="7" width="15.42578125" style="346" customWidth="1"/>
    <col min="8" max="8" width="9.140625" style="346"/>
    <col min="9" max="9" width="24.85546875" style="346" bestFit="1" customWidth="1"/>
    <col min="10" max="16384" width="9.140625" style="346"/>
  </cols>
  <sheetData>
    <row r="1" spans="1:7" x14ac:dyDescent="0.2">
      <c r="F1" s="364" t="s">
        <v>903</v>
      </c>
      <c r="G1" s="363">
        <v>0.30570000000000003</v>
      </c>
    </row>
    <row r="2" spans="1:7" ht="15" customHeight="1" x14ac:dyDescent="0.2">
      <c r="A2" s="216"/>
      <c r="B2" s="852" t="s">
        <v>902</v>
      </c>
      <c r="C2" s="849" t="s">
        <v>74</v>
      </c>
      <c r="D2" s="853" t="s">
        <v>901</v>
      </c>
      <c r="E2" s="849" t="s">
        <v>900</v>
      </c>
      <c r="F2" s="849" t="s">
        <v>899</v>
      </c>
      <c r="G2" s="849" t="s">
        <v>898</v>
      </c>
    </row>
    <row r="3" spans="1:7" x14ac:dyDescent="0.2">
      <c r="A3" s="216"/>
      <c r="B3" s="852"/>
      <c r="C3" s="851" t="s">
        <v>897</v>
      </c>
      <c r="D3" s="853"/>
      <c r="E3" s="850"/>
      <c r="F3" s="850"/>
      <c r="G3" s="850"/>
    </row>
    <row r="4" spans="1:7" x14ac:dyDescent="0.2">
      <c r="A4" s="216"/>
      <c r="B4" s="852"/>
      <c r="C4" s="362" t="s">
        <v>896</v>
      </c>
      <c r="D4" s="853"/>
      <c r="E4" s="851"/>
      <c r="F4" s="851"/>
      <c r="G4" s="851"/>
    </row>
    <row r="5" spans="1:7" x14ac:dyDescent="0.2">
      <c r="A5" s="218" t="s">
        <v>895</v>
      </c>
      <c r="B5" s="848" t="s">
        <v>894</v>
      </c>
      <c r="C5" s="848"/>
      <c r="D5" s="848"/>
      <c r="E5" s="848"/>
      <c r="F5" s="848"/>
      <c r="G5" s="848"/>
    </row>
    <row r="6" spans="1:7" x14ac:dyDescent="0.2">
      <c r="A6" s="218" t="s">
        <v>834</v>
      </c>
      <c r="B6" s="357" t="s">
        <v>893</v>
      </c>
      <c r="C6" s="361">
        <v>31755.15</v>
      </c>
      <c r="D6" s="360">
        <v>1</v>
      </c>
      <c r="E6" s="359">
        <f>1/6</f>
        <v>0.16666666666666666</v>
      </c>
      <c r="F6" s="349">
        <f t="shared" ref="F6:F11" si="0">C6*(1+$G$1)*D6*E6</f>
        <v>6910.4498925000007</v>
      </c>
      <c r="G6" s="349">
        <f t="shared" ref="G6:G11" si="1">F6*12</f>
        <v>82925.398710000009</v>
      </c>
    </row>
    <row r="7" spans="1:7" x14ac:dyDescent="0.2">
      <c r="A7" s="218" t="s">
        <v>834</v>
      </c>
      <c r="B7" s="218" t="s">
        <v>892</v>
      </c>
      <c r="C7" s="349">
        <v>15333.91</v>
      </c>
      <c r="D7" s="355">
        <v>1</v>
      </c>
      <c r="E7" s="354">
        <v>1</v>
      </c>
      <c r="F7" s="349">
        <f t="shared" si="0"/>
        <v>20021.486287</v>
      </c>
      <c r="G7" s="349">
        <f t="shared" si="1"/>
        <v>240257.835444</v>
      </c>
    </row>
    <row r="8" spans="1:7" x14ac:dyDescent="0.2">
      <c r="A8" s="218" t="s">
        <v>834</v>
      </c>
      <c r="B8" s="218" t="s">
        <v>858</v>
      </c>
      <c r="C8" s="349">
        <v>5367.57</v>
      </c>
      <c r="D8" s="355">
        <v>3</v>
      </c>
      <c r="E8" s="354">
        <v>0.3</v>
      </c>
      <c r="F8" s="349">
        <f t="shared" si="0"/>
        <v>6307.5925340999993</v>
      </c>
      <c r="G8" s="349">
        <f t="shared" si="1"/>
        <v>75691.110409199988</v>
      </c>
    </row>
    <row r="9" spans="1:7" x14ac:dyDescent="0.2">
      <c r="A9" s="218" t="s">
        <v>834</v>
      </c>
      <c r="B9" s="218" t="s">
        <v>838</v>
      </c>
      <c r="C9" s="349">
        <v>3698.44</v>
      </c>
      <c r="D9" s="355">
        <v>1</v>
      </c>
      <c r="E9" s="354">
        <v>0.3</v>
      </c>
      <c r="F9" s="349">
        <f t="shared" si="0"/>
        <v>1448.7159323999999</v>
      </c>
      <c r="G9" s="349">
        <f t="shared" si="1"/>
        <v>17384.591188799997</v>
      </c>
    </row>
    <row r="10" spans="1:7" x14ac:dyDescent="0.2">
      <c r="A10" s="218" t="s">
        <v>834</v>
      </c>
      <c r="B10" s="218" t="s">
        <v>869</v>
      </c>
      <c r="C10" s="349">
        <v>1708.49</v>
      </c>
      <c r="D10" s="355">
        <v>1</v>
      </c>
      <c r="E10" s="354">
        <v>0.3</v>
      </c>
      <c r="F10" s="349">
        <f t="shared" si="0"/>
        <v>669.23261790000004</v>
      </c>
      <c r="G10" s="349">
        <f t="shared" si="1"/>
        <v>8030.7914148</v>
      </c>
    </row>
    <row r="11" spans="1:7" x14ac:dyDescent="0.2">
      <c r="A11" s="218" t="s">
        <v>834</v>
      </c>
      <c r="B11" s="218" t="s">
        <v>891</v>
      </c>
      <c r="C11" s="350">
        <v>12076.34</v>
      </c>
      <c r="D11" s="355">
        <v>1</v>
      </c>
      <c r="E11" s="354">
        <v>1</v>
      </c>
      <c r="F11" s="349">
        <f t="shared" si="0"/>
        <v>15768.077138000001</v>
      </c>
      <c r="G11" s="349">
        <f t="shared" si="1"/>
        <v>189216.92565600001</v>
      </c>
    </row>
    <row r="12" spans="1:7" x14ac:dyDescent="0.2">
      <c r="A12" s="218" t="s">
        <v>834</v>
      </c>
      <c r="B12" s="848" t="s">
        <v>890</v>
      </c>
      <c r="C12" s="848"/>
      <c r="D12" s="848"/>
      <c r="E12" s="848"/>
      <c r="F12" s="848"/>
      <c r="G12" s="848"/>
    </row>
    <row r="13" spans="1:7" x14ac:dyDescent="0.2">
      <c r="A13" s="218" t="s">
        <v>834</v>
      </c>
      <c r="B13" s="357" t="s">
        <v>889</v>
      </c>
      <c r="C13" s="356">
        <v>19168.099999999999</v>
      </c>
      <c r="D13" s="355">
        <v>1</v>
      </c>
      <c r="E13" s="354">
        <v>0.5</v>
      </c>
      <c r="F13" s="349">
        <f t="shared" ref="F13:F44" si="2">C13*(1+$G$1)*D13*E13</f>
        <v>12513.894085</v>
      </c>
      <c r="G13" s="349">
        <f t="shared" ref="G13:G44" si="3">F13*12</f>
        <v>150166.72902</v>
      </c>
    </row>
    <row r="14" spans="1:7" x14ac:dyDescent="0.2">
      <c r="A14" s="218" t="s">
        <v>834</v>
      </c>
      <c r="B14" s="218" t="s">
        <v>838</v>
      </c>
      <c r="C14" s="349">
        <v>3698.44</v>
      </c>
      <c r="D14" s="355">
        <v>2</v>
      </c>
      <c r="E14" s="354">
        <v>0.4</v>
      </c>
      <c r="F14" s="349">
        <f t="shared" si="2"/>
        <v>3863.2424864000004</v>
      </c>
      <c r="G14" s="349">
        <f t="shared" si="3"/>
        <v>46358.909836800005</v>
      </c>
    </row>
    <row r="15" spans="1:7" x14ac:dyDescent="0.2">
      <c r="A15" s="218" t="s">
        <v>834</v>
      </c>
      <c r="B15" s="218" t="s">
        <v>882</v>
      </c>
      <c r="C15" s="349">
        <v>9189.51</v>
      </c>
      <c r="D15" s="355">
        <v>2</v>
      </c>
      <c r="E15" s="354">
        <v>1</v>
      </c>
      <c r="F15" s="349">
        <f t="shared" si="2"/>
        <v>23997.486414000003</v>
      </c>
      <c r="G15" s="349">
        <f t="shared" si="3"/>
        <v>287969.83696800005</v>
      </c>
    </row>
    <row r="16" spans="1:7" x14ac:dyDescent="0.2">
      <c r="A16" s="218" t="s">
        <v>834</v>
      </c>
      <c r="B16" s="218" t="s">
        <v>888</v>
      </c>
      <c r="C16" s="349">
        <v>10783.03</v>
      </c>
      <c r="D16" s="355">
        <v>3</v>
      </c>
      <c r="E16" s="354">
        <v>1</v>
      </c>
      <c r="F16" s="349">
        <f t="shared" si="2"/>
        <v>42238.206813000012</v>
      </c>
      <c r="G16" s="349">
        <f t="shared" si="3"/>
        <v>506858.48175600014</v>
      </c>
    </row>
    <row r="17" spans="1:7" x14ac:dyDescent="0.2">
      <c r="A17" s="218" t="s">
        <v>834</v>
      </c>
      <c r="B17" s="218" t="s">
        <v>880</v>
      </c>
      <c r="C17" s="349">
        <v>9189.51</v>
      </c>
      <c r="D17" s="355">
        <v>1</v>
      </c>
      <c r="E17" s="354">
        <v>1</v>
      </c>
      <c r="F17" s="349">
        <f t="shared" si="2"/>
        <v>11998.743207000001</v>
      </c>
      <c r="G17" s="349">
        <f t="shared" si="3"/>
        <v>143984.91848400002</v>
      </c>
    </row>
    <row r="18" spans="1:7" x14ac:dyDescent="0.2">
      <c r="A18" s="218" t="s">
        <v>834</v>
      </c>
      <c r="B18" s="218" t="s">
        <v>879</v>
      </c>
      <c r="C18" s="349">
        <v>9189.51</v>
      </c>
      <c r="D18" s="355">
        <v>1</v>
      </c>
      <c r="E18" s="354">
        <v>1</v>
      </c>
      <c r="F18" s="349">
        <f t="shared" si="2"/>
        <v>11998.743207000001</v>
      </c>
      <c r="G18" s="349">
        <f t="shared" si="3"/>
        <v>143984.91848400002</v>
      </c>
    </row>
    <row r="19" spans="1:7" x14ac:dyDescent="0.2">
      <c r="A19" s="218" t="s">
        <v>834</v>
      </c>
      <c r="B19" s="218" t="s">
        <v>887</v>
      </c>
      <c r="C19" s="349">
        <v>10783.03</v>
      </c>
      <c r="D19" s="355">
        <v>4</v>
      </c>
      <c r="E19" s="354">
        <v>1</v>
      </c>
      <c r="F19" s="349">
        <f t="shared" si="2"/>
        <v>56317.609084000011</v>
      </c>
      <c r="G19" s="349">
        <f t="shared" si="3"/>
        <v>675811.30900800019</v>
      </c>
    </row>
    <row r="20" spans="1:7" x14ac:dyDescent="0.2">
      <c r="A20" s="218" t="s">
        <v>862</v>
      </c>
      <c r="B20" s="218" t="s">
        <v>887</v>
      </c>
      <c r="C20" s="349">
        <v>10783.03</v>
      </c>
      <c r="D20" s="355">
        <v>1</v>
      </c>
      <c r="E20" s="354">
        <v>1</v>
      </c>
      <c r="F20" s="349">
        <f t="shared" si="2"/>
        <v>14079.402271000003</v>
      </c>
      <c r="G20" s="349">
        <f t="shared" si="3"/>
        <v>168952.82725200005</v>
      </c>
    </row>
    <row r="21" spans="1:7" x14ac:dyDescent="0.2">
      <c r="A21" s="218" t="s">
        <v>862</v>
      </c>
      <c r="B21" s="218" t="s">
        <v>884</v>
      </c>
      <c r="C21" s="349">
        <v>9189.51</v>
      </c>
      <c r="D21" s="355">
        <v>1</v>
      </c>
      <c r="E21" s="354">
        <v>1</v>
      </c>
      <c r="F21" s="349">
        <f t="shared" si="2"/>
        <v>11998.743207000001</v>
      </c>
      <c r="G21" s="349">
        <f t="shared" si="3"/>
        <v>143984.91848400002</v>
      </c>
    </row>
    <row r="22" spans="1:7" x14ac:dyDescent="0.2">
      <c r="A22" s="218" t="s">
        <v>862</v>
      </c>
      <c r="B22" s="218" t="s">
        <v>883</v>
      </c>
      <c r="C22" s="349">
        <v>7480</v>
      </c>
      <c r="D22" s="355">
        <v>1</v>
      </c>
      <c r="E22" s="354">
        <v>1</v>
      </c>
      <c r="F22" s="349">
        <f t="shared" si="2"/>
        <v>9766.6360000000004</v>
      </c>
      <c r="G22" s="349">
        <f t="shared" si="3"/>
        <v>117199.63200000001</v>
      </c>
    </row>
    <row r="23" spans="1:7" x14ac:dyDescent="0.2">
      <c r="A23" s="218" t="s">
        <v>862</v>
      </c>
      <c r="B23" s="218" t="s">
        <v>886</v>
      </c>
      <c r="C23" s="349">
        <v>10783.03</v>
      </c>
      <c r="D23" s="355">
        <v>1</v>
      </c>
      <c r="E23" s="354">
        <v>1</v>
      </c>
      <c r="F23" s="349">
        <f t="shared" si="2"/>
        <v>14079.402271000003</v>
      </c>
      <c r="G23" s="349">
        <f t="shared" si="3"/>
        <v>168952.82725200005</v>
      </c>
    </row>
    <row r="24" spans="1:7" x14ac:dyDescent="0.2">
      <c r="A24" s="218" t="s">
        <v>862</v>
      </c>
      <c r="B24" s="218" t="s">
        <v>885</v>
      </c>
      <c r="C24" s="349">
        <v>9189.51</v>
      </c>
      <c r="D24" s="355">
        <v>1</v>
      </c>
      <c r="E24" s="354">
        <v>1</v>
      </c>
      <c r="F24" s="349">
        <f t="shared" si="2"/>
        <v>11998.743207000001</v>
      </c>
      <c r="G24" s="349">
        <f t="shared" si="3"/>
        <v>143984.91848400002</v>
      </c>
    </row>
    <row r="25" spans="1:7" x14ac:dyDescent="0.2">
      <c r="A25" s="218" t="s">
        <v>862</v>
      </c>
      <c r="B25" s="218" t="s">
        <v>872</v>
      </c>
      <c r="C25" s="349">
        <v>3239</v>
      </c>
      <c r="D25" s="355">
        <v>2</v>
      </c>
      <c r="E25" s="354">
        <v>1</v>
      </c>
      <c r="F25" s="349">
        <f t="shared" si="2"/>
        <v>8458.3245999999999</v>
      </c>
      <c r="G25" s="349">
        <f t="shared" si="3"/>
        <v>101499.8952</v>
      </c>
    </row>
    <row r="26" spans="1:7" x14ac:dyDescent="0.2">
      <c r="A26" s="218" t="s">
        <v>862</v>
      </c>
      <c r="B26" s="218" t="s">
        <v>884</v>
      </c>
      <c r="C26" s="349">
        <v>9189.51</v>
      </c>
      <c r="D26" s="355">
        <v>1</v>
      </c>
      <c r="E26" s="354">
        <v>1</v>
      </c>
      <c r="F26" s="349">
        <f t="shared" si="2"/>
        <v>11998.743207000001</v>
      </c>
      <c r="G26" s="349">
        <f t="shared" si="3"/>
        <v>143984.91848400002</v>
      </c>
    </row>
    <row r="27" spans="1:7" x14ac:dyDescent="0.2">
      <c r="A27" s="218" t="s">
        <v>862</v>
      </c>
      <c r="B27" s="218" t="s">
        <v>883</v>
      </c>
      <c r="C27" s="349">
        <v>7480</v>
      </c>
      <c r="D27" s="355">
        <v>1</v>
      </c>
      <c r="E27" s="354">
        <v>1</v>
      </c>
      <c r="F27" s="349">
        <f t="shared" si="2"/>
        <v>9766.6360000000004</v>
      </c>
      <c r="G27" s="349">
        <f t="shared" si="3"/>
        <v>117199.63200000001</v>
      </c>
    </row>
    <row r="28" spans="1:7" x14ac:dyDescent="0.2">
      <c r="A28" s="218" t="s">
        <v>862</v>
      </c>
      <c r="B28" s="218" t="s">
        <v>882</v>
      </c>
      <c r="C28" s="349">
        <v>9189.51</v>
      </c>
      <c r="D28" s="355">
        <v>2</v>
      </c>
      <c r="E28" s="354">
        <v>1</v>
      </c>
      <c r="F28" s="349">
        <f t="shared" si="2"/>
        <v>23997.486414000003</v>
      </c>
      <c r="G28" s="349">
        <f t="shared" si="3"/>
        <v>287969.83696800005</v>
      </c>
    </row>
    <row r="29" spans="1:7" x14ac:dyDescent="0.2">
      <c r="A29" s="218" t="s">
        <v>862</v>
      </c>
      <c r="B29" s="218" t="s">
        <v>881</v>
      </c>
      <c r="C29" s="349">
        <v>7480</v>
      </c>
      <c r="D29" s="355">
        <v>1</v>
      </c>
      <c r="E29" s="354">
        <v>1</v>
      </c>
      <c r="F29" s="349">
        <f t="shared" si="2"/>
        <v>9766.6360000000004</v>
      </c>
      <c r="G29" s="349">
        <f t="shared" si="3"/>
        <v>117199.63200000001</v>
      </c>
    </row>
    <row r="30" spans="1:7" x14ac:dyDescent="0.2">
      <c r="A30" s="218" t="s">
        <v>862</v>
      </c>
      <c r="B30" s="218" t="s">
        <v>880</v>
      </c>
      <c r="C30" s="349">
        <v>9189.51</v>
      </c>
      <c r="D30" s="355">
        <v>1</v>
      </c>
      <c r="E30" s="354">
        <v>1</v>
      </c>
      <c r="F30" s="349">
        <f t="shared" si="2"/>
        <v>11998.743207000001</v>
      </c>
      <c r="G30" s="349">
        <f t="shared" si="3"/>
        <v>143984.91848400002</v>
      </c>
    </row>
    <row r="31" spans="1:7" x14ac:dyDescent="0.2">
      <c r="A31" s="218" t="s">
        <v>862</v>
      </c>
      <c r="B31" s="218" t="s">
        <v>879</v>
      </c>
      <c r="C31" s="349">
        <v>9189.51</v>
      </c>
      <c r="D31" s="355">
        <v>1</v>
      </c>
      <c r="E31" s="354">
        <v>1</v>
      </c>
      <c r="F31" s="349">
        <f t="shared" si="2"/>
        <v>11998.743207000001</v>
      </c>
      <c r="G31" s="349">
        <f t="shared" si="3"/>
        <v>143984.91848400002</v>
      </c>
    </row>
    <row r="32" spans="1:7" x14ac:dyDescent="0.2">
      <c r="A32" s="218" t="s">
        <v>862</v>
      </c>
      <c r="B32" s="218" t="s">
        <v>878</v>
      </c>
      <c r="C32" s="349">
        <v>9189.51</v>
      </c>
      <c r="D32" s="355">
        <v>2</v>
      </c>
      <c r="E32" s="354">
        <v>1</v>
      </c>
      <c r="F32" s="349">
        <f t="shared" si="2"/>
        <v>23997.486414000003</v>
      </c>
      <c r="G32" s="349">
        <f t="shared" si="3"/>
        <v>287969.83696800005</v>
      </c>
    </row>
    <row r="33" spans="1:7" x14ac:dyDescent="0.2">
      <c r="A33" s="218" t="s">
        <v>862</v>
      </c>
      <c r="B33" s="218" t="s">
        <v>877</v>
      </c>
      <c r="C33" s="349">
        <v>7480</v>
      </c>
      <c r="D33" s="355">
        <v>2</v>
      </c>
      <c r="E33" s="354">
        <v>1</v>
      </c>
      <c r="F33" s="349">
        <f t="shared" si="2"/>
        <v>19533.272000000001</v>
      </c>
      <c r="G33" s="349">
        <f t="shared" si="3"/>
        <v>234399.26400000002</v>
      </c>
    </row>
    <row r="34" spans="1:7" x14ac:dyDescent="0.2">
      <c r="A34" s="218" t="s">
        <v>862</v>
      </c>
      <c r="B34" s="218" t="s">
        <v>876</v>
      </c>
      <c r="C34" s="349">
        <v>2773.75</v>
      </c>
      <c r="D34" s="352">
        <v>2</v>
      </c>
      <c r="E34" s="354">
        <v>1</v>
      </c>
      <c r="F34" s="349">
        <f t="shared" si="2"/>
        <v>7243.37075</v>
      </c>
      <c r="G34" s="349">
        <f t="shared" si="3"/>
        <v>86920.448999999993</v>
      </c>
    </row>
    <row r="35" spans="1:7" x14ac:dyDescent="0.2">
      <c r="A35" s="218" t="s">
        <v>862</v>
      </c>
      <c r="B35" s="218" t="s">
        <v>875</v>
      </c>
      <c r="C35" s="349">
        <v>2773.75</v>
      </c>
      <c r="D35" s="352">
        <v>4</v>
      </c>
      <c r="E35" s="354">
        <v>1</v>
      </c>
      <c r="F35" s="349">
        <f t="shared" si="2"/>
        <v>14486.7415</v>
      </c>
      <c r="G35" s="349">
        <f t="shared" si="3"/>
        <v>173840.89799999999</v>
      </c>
    </row>
    <row r="36" spans="1:7" x14ac:dyDescent="0.2">
      <c r="A36" s="218" t="s">
        <v>862</v>
      </c>
      <c r="B36" s="218" t="s">
        <v>874</v>
      </c>
      <c r="C36" s="349">
        <v>2773.75</v>
      </c>
      <c r="D36" s="352">
        <v>2</v>
      </c>
      <c r="E36" s="354">
        <v>1</v>
      </c>
      <c r="F36" s="349">
        <f t="shared" si="2"/>
        <v>7243.37075</v>
      </c>
      <c r="G36" s="349">
        <f t="shared" si="3"/>
        <v>86920.448999999993</v>
      </c>
    </row>
    <row r="37" spans="1:7" x14ac:dyDescent="0.2">
      <c r="A37" s="218" t="s">
        <v>862</v>
      </c>
      <c r="B37" s="218" t="s">
        <v>873</v>
      </c>
      <c r="C37" s="349">
        <v>9189.51</v>
      </c>
      <c r="D37" s="355">
        <v>1</v>
      </c>
      <c r="E37" s="354">
        <v>0.4</v>
      </c>
      <c r="F37" s="349">
        <f t="shared" si="2"/>
        <v>4799.4972828000009</v>
      </c>
      <c r="G37" s="349">
        <f t="shared" si="3"/>
        <v>57593.967393600011</v>
      </c>
    </row>
    <row r="38" spans="1:7" x14ac:dyDescent="0.2">
      <c r="A38" s="218" t="s">
        <v>862</v>
      </c>
      <c r="B38" s="218" t="s">
        <v>872</v>
      </c>
      <c r="C38" s="349">
        <v>3239</v>
      </c>
      <c r="D38" s="355">
        <v>1</v>
      </c>
      <c r="E38" s="354">
        <v>1</v>
      </c>
      <c r="F38" s="349">
        <f t="shared" si="2"/>
        <v>4229.1623</v>
      </c>
      <c r="G38" s="349">
        <f t="shared" si="3"/>
        <v>50749.9476</v>
      </c>
    </row>
    <row r="39" spans="1:7" x14ac:dyDescent="0.2">
      <c r="A39" s="218" t="s">
        <v>862</v>
      </c>
      <c r="B39" s="218" t="s">
        <v>871</v>
      </c>
      <c r="C39" s="349">
        <v>10783.03</v>
      </c>
      <c r="D39" s="355">
        <v>1</v>
      </c>
      <c r="E39" s="354">
        <v>1</v>
      </c>
      <c r="F39" s="349">
        <f t="shared" si="2"/>
        <v>14079.402271000003</v>
      </c>
      <c r="G39" s="349">
        <f t="shared" si="3"/>
        <v>168952.82725200005</v>
      </c>
    </row>
    <row r="40" spans="1:7" x14ac:dyDescent="0.2">
      <c r="A40" s="218" t="s">
        <v>862</v>
      </c>
      <c r="B40" s="218" t="s">
        <v>870</v>
      </c>
      <c r="C40" s="349">
        <v>2773.75</v>
      </c>
      <c r="D40" s="355">
        <v>4</v>
      </c>
      <c r="E40" s="354">
        <v>1</v>
      </c>
      <c r="F40" s="349">
        <f t="shared" si="2"/>
        <v>14486.7415</v>
      </c>
      <c r="G40" s="349">
        <f t="shared" si="3"/>
        <v>173840.89799999999</v>
      </c>
    </row>
    <row r="41" spans="1:7" x14ac:dyDescent="0.2">
      <c r="A41" s="218" t="s">
        <v>862</v>
      </c>
      <c r="B41" s="218" t="s">
        <v>869</v>
      </c>
      <c r="C41" s="349">
        <v>1708.49</v>
      </c>
      <c r="D41" s="355">
        <v>4</v>
      </c>
      <c r="E41" s="354">
        <v>1</v>
      </c>
      <c r="F41" s="349">
        <f t="shared" si="2"/>
        <v>8923.1015720000014</v>
      </c>
      <c r="G41" s="349">
        <f t="shared" si="3"/>
        <v>107077.21886400002</v>
      </c>
    </row>
    <row r="42" spans="1:7" x14ac:dyDescent="0.2">
      <c r="A42" s="218" t="s">
        <v>862</v>
      </c>
      <c r="B42" s="218" t="s">
        <v>868</v>
      </c>
      <c r="C42" s="349">
        <v>3698.44</v>
      </c>
      <c r="D42" s="355">
        <v>2</v>
      </c>
      <c r="E42" s="354">
        <v>1</v>
      </c>
      <c r="F42" s="349">
        <f t="shared" si="2"/>
        <v>9658.1062160000001</v>
      </c>
      <c r="G42" s="349">
        <f t="shared" si="3"/>
        <v>115897.274592</v>
      </c>
    </row>
    <row r="43" spans="1:7" x14ac:dyDescent="0.2">
      <c r="A43" s="218" t="s">
        <v>862</v>
      </c>
      <c r="B43" s="218" t="s">
        <v>836</v>
      </c>
      <c r="C43" s="349">
        <v>9190</v>
      </c>
      <c r="D43" s="355">
        <v>2</v>
      </c>
      <c r="E43" s="354">
        <v>1</v>
      </c>
      <c r="F43" s="349">
        <f t="shared" si="2"/>
        <v>23998.766000000003</v>
      </c>
      <c r="G43" s="349">
        <f t="shared" si="3"/>
        <v>287985.19200000004</v>
      </c>
    </row>
    <row r="44" spans="1:7" x14ac:dyDescent="0.2">
      <c r="A44" s="218" t="s">
        <v>862</v>
      </c>
      <c r="B44" s="218" t="s">
        <v>838</v>
      </c>
      <c r="C44" s="349">
        <v>2773.75</v>
      </c>
      <c r="D44" s="355">
        <v>1</v>
      </c>
      <c r="E44" s="354">
        <v>1</v>
      </c>
      <c r="F44" s="349">
        <f t="shared" si="2"/>
        <v>3621.685375</v>
      </c>
      <c r="G44" s="349">
        <f t="shared" si="3"/>
        <v>43460.224499999997</v>
      </c>
    </row>
    <row r="45" spans="1:7" x14ac:dyDescent="0.2">
      <c r="A45" s="218" t="s">
        <v>834</v>
      </c>
      <c r="B45" s="848" t="s">
        <v>867</v>
      </c>
      <c r="C45" s="848"/>
      <c r="D45" s="848"/>
      <c r="E45" s="848"/>
      <c r="F45" s="848"/>
      <c r="G45" s="848"/>
    </row>
    <row r="46" spans="1:7" x14ac:dyDescent="0.2">
      <c r="A46" s="218" t="s">
        <v>834</v>
      </c>
      <c r="B46" s="218" t="s">
        <v>866</v>
      </c>
      <c r="C46" s="349">
        <v>19168.099999999999</v>
      </c>
      <c r="D46" s="352">
        <v>1</v>
      </c>
      <c r="E46" s="354">
        <v>0.5</v>
      </c>
      <c r="F46" s="349">
        <f t="shared" ref="F46:F51" si="4">C46*(1+$G$1)*D46*E46</f>
        <v>12513.894085</v>
      </c>
      <c r="G46" s="349">
        <f t="shared" ref="G46:G51" si="5">F46*12</f>
        <v>150166.72902</v>
      </c>
    </row>
    <row r="47" spans="1:7" x14ac:dyDescent="0.2">
      <c r="A47" s="218" t="s">
        <v>834</v>
      </c>
      <c r="B47" s="218" t="s">
        <v>865</v>
      </c>
      <c r="C47" s="349">
        <v>17251.73</v>
      </c>
      <c r="D47" s="352">
        <v>1</v>
      </c>
      <c r="E47" s="354">
        <v>0.5</v>
      </c>
      <c r="F47" s="349">
        <f t="shared" si="4"/>
        <v>11262.7919305</v>
      </c>
      <c r="G47" s="349">
        <f t="shared" si="5"/>
        <v>135153.50316600001</v>
      </c>
    </row>
    <row r="48" spans="1:7" x14ac:dyDescent="0.2">
      <c r="A48" s="218" t="s">
        <v>834</v>
      </c>
      <c r="B48" s="218" t="s">
        <v>864</v>
      </c>
      <c r="C48" s="349">
        <v>9190</v>
      </c>
      <c r="D48" s="352">
        <v>2</v>
      </c>
      <c r="E48" s="354">
        <v>1</v>
      </c>
      <c r="F48" s="349">
        <f t="shared" si="4"/>
        <v>23998.766000000003</v>
      </c>
      <c r="G48" s="349">
        <f t="shared" si="5"/>
        <v>287985.19200000004</v>
      </c>
    </row>
    <row r="49" spans="1:7" x14ac:dyDescent="0.2">
      <c r="A49" s="218" t="s">
        <v>862</v>
      </c>
      <c r="B49" s="218" t="s">
        <v>864</v>
      </c>
      <c r="C49" s="349">
        <v>9190</v>
      </c>
      <c r="D49" s="352">
        <v>1</v>
      </c>
      <c r="E49" s="354">
        <v>1</v>
      </c>
      <c r="F49" s="349">
        <f t="shared" si="4"/>
        <v>11999.383000000002</v>
      </c>
      <c r="G49" s="349">
        <f t="shared" si="5"/>
        <v>143992.59600000002</v>
      </c>
    </row>
    <row r="50" spans="1:7" x14ac:dyDescent="0.2">
      <c r="A50" s="218" t="s">
        <v>862</v>
      </c>
      <c r="B50" s="218" t="s">
        <v>863</v>
      </c>
      <c r="C50" s="349">
        <v>9190</v>
      </c>
      <c r="D50" s="352">
        <v>1</v>
      </c>
      <c r="E50" s="354">
        <v>1</v>
      </c>
      <c r="F50" s="349">
        <f t="shared" si="4"/>
        <v>11999.383000000002</v>
      </c>
      <c r="G50" s="349">
        <f t="shared" si="5"/>
        <v>143992.59600000002</v>
      </c>
    </row>
    <row r="51" spans="1:7" x14ac:dyDescent="0.2">
      <c r="A51" s="218" t="s">
        <v>862</v>
      </c>
      <c r="B51" s="218" t="s">
        <v>861</v>
      </c>
      <c r="C51" s="349">
        <v>6891</v>
      </c>
      <c r="D51" s="352">
        <v>1</v>
      </c>
      <c r="E51" s="354">
        <v>1</v>
      </c>
      <c r="F51" s="349">
        <f t="shared" si="4"/>
        <v>8997.5787</v>
      </c>
      <c r="G51" s="349">
        <f t="shared" si="5"/>
        <v>107970.94440000001</v>
      </c>
    </row>
    <row r="52" spans="1:7" x14ac:dyDescent="0.2">
      <c r="A52" s="218" t="s">
        <v>834</v>
      </c>
      <c r="B52" s="848" t="s">
        <v>860</v>
      </c>
      <c r="C52" s="848"/>
      <c r="D52" s="848"/>
      <c r="E52" s="848"/>
      <c r="F52" s="848"/>
      <c r="G52" s="848"/>
    </row>
    <row r="53" spans="1:7" x14ac:dyDescent="0.2">
      <c r="A53" s="218" t="s">
        <v>834</v>
      </c>
      <c r="B53" s="218" t="s">
        <v>859</v>
      </c>
      <c r="C53" s="349">
        <v>19168.099999999999</v>
      </c>
      <c r="D53" s="355">
        <v>1</v>
      </c>
      <c r="E53" s="354">
        <v>1</v>
      </c>
      <c r="F53" s="349">
        <f t="shared" ref="F53:F59" si="6">C53*(1+$G$1)*D53*E53</f>
        <v>25027.78817</v>
      </c>
      <c r="G53" s="349">
        <f t="shared" ref="G53:G59" si="7">F53*12</f>
        <v>300333.45804</v>
      </c>
    </row>
    <row r="54" spans="1:7" x14ac:dyDescent="0.2">
      <c r="A54" s="218" t="s">
        <v>834</v>
      </c>
      <c r="B54" s="218" t="s">
        <v>858</v>
      </c>
      <c r="C54" s="349">
        <v>5367.57</v>
      </c>
      <c r="D54" s="355">
        <v>1</v>
      </c>
      <c r="E54" s="354">
        <v>1</v>
      </c>
      <c r="F54" s="349">
        <f t="shared" si="6"/>
        <v>7008.4361490000001</v>
      </c>
      <c r="G54" s="349">
        <f t="shared" si="7"/>
        <v>84101.233787999998</v>
      </c>
    </row>
    <row r="55" spans="1:7" x14ac:dyDescent="0.2">
      <c r="A55" s="218" t="s">
        <v>834</v>
      </c>
      <c r="B55" s="218" t="s">
        <v>838</v>
      </c>
      <c r="C55" s="349">
        <v>2773.75</v>
      </c>
      <c r="D55" s="355">
        <v>1</v>
      </c>
      <c r="E55" s="354">
        <v>1</v>
      </c>
      <c r="F55" s="349">
        <f t="shared" si="6"/>
        <v>3621.685375</v>
      </c>
      <c r="G55" s="349">
        <f t="shared" si="7"/>
        <v>43460.224499999997</v>
      </c>
    </row>
    <row r="56" spans="1:7" x14ac:dyDescent="0.2">
      <c r="A56" s="218" t="s">
        <v>834</v>
      </c>
      <c r="B56" s="218" t="s">
        <v>857</v>
      </c>
      <c r="C56" s="358">
        <v>10783.03</v>
      </c>
      <c r="D56" s="355">
        <v>1</v>
      </c>
      <c r="E56" s="354">
        <v>1</v>
      </c>
      <c r="F56" s="349">
        <f t="shared" si="6"/>
        <v>14079.402271000003</v>
      </c>
      <c r="G56" s="349">
        <f t="shared" si="7"/>
        <v>168952.82725200005</v>
      </c>
    </row>
    <row r="57" spans="1:7" x14ac:dyDescent="0.2">
      <c r="A57" s="218" t="s">
        <v>834</v>
      </c>
      <c r="B57" s="218" t="s">
        <v>856</v>
      </c>
      <c r="C57" s="358">
        <v>9189.51</v>
      </c>
      <c r="D57" s="355">
        <v>1</v>
      </c>
      <c r="E57" s="354">
        <v>1</v>
      </c>
      <c r="F57" s="349">
        <f t="shared" si="6"/>
        <v>11998.743207000001</v>
      </c>
      <c r="G57" s="349">
        <f t="shared" si="7"/>
        <v>143984.91848400002</v>
      </c>
    </row>
    <row r="58" spans="1:7" x14ac:dyDescent="0.2">
      <c r="A58" s="218" t="s">
        <v>834</v>
      </c>
      <c r="B58" s="218" t="s">
        <v>855</v>
      </c>
      <c r="C58" s="358">
        <v>10783.03</v>
      </c>
      <c r="D58" s="355">
        <v>1</v>
      </c>
      <c r="E58" s="354">
        <v>1</v>
      </c>
      <c r="F58" s="349">
        <f t="shared" si="6"/>
        <v>14079.402271000003</v>
      </c>
      <c r="G58" s="349">
        <f t="shared" si="7"/>
        <v>168952.82725200005</v>
      </c>
    </row>
    <row r="59" spans="1:7" x14ac:dyDescent="0.2">
      <c r="A59" s="218" t="s">
        <v>834</v>
      </c>
      <c r="B59" s="218" t="s">
        <v>854</v>
      </c>
      <c r="C59" s="349">
        <v>9189.51</v>
      </c>
      <c r="D59" s="352">
        <v>1</v>
      </c>
      <c r="E59" s="354">
        <v>1</v>
      </c>
      <c r="F59" s="349">
        <f t="shared" si="6"/>
        <v>11998.743207000001</v>
      </c>
      <c r="G59" s="349">
        <f t="shared" si="7"/>
        <v>143984.91848400002</v>
      </c>
    </row>
    <row r="60" spans="1:7" x14ac:dyDescent="0.2">
      <c r="A60" s="218" t="s">
        <v>834</v>
      </c>
      <c r="B60" s="848" t="s">
        <v>853</v>
      </c>
      <c r="C60" s="848"/>
      <c r="D60" s="848"/>
      <c r="E60" s="848"/>
      <c r="F60" s="848"/>
      <c r="G60" s="848"/>
    </row>
    <row r="61" spans="1:7" x14ac:dyDescent="0.2">
      <c r="A61" s="218" t="s">
        <v>834</v>
      </c>
      <c r="B61" s="357" t="s">
        <v>852</v>
      </c>
      <c r="C61" s="356">
        <v>15334</v>
      </c>
      <c r="D61" s="355">
        <v>1</v>
      </c>
      <c r="E61" s="354">
        <v>1</v>
      </c>
      <c r="F61" s="349">
        <f>C61*(1+$G$1)*D61*E61</f>
        <v>20021.603800000001</v>
      </c>
      <c r="G61" s="349">
        <f>F61*12</f>
        <v>240259.24560000002</v>
      </c>
    </row>
    <row r="62" spans="1:7" x14ac:dyDescent="0.2">
      <c r="A62" s="218" t="s">
        <v>834</v>
      </c>
      <c r="B62" s="218" t="s">
        <v>851</v>
      </c>
      <c r="C62" s="349">
        <v>7346.19</v>
      </c>
      <c r="D62" s="355">
        <v>1</v>
      </c>
      <c r="E62" s="354">
        <v>1</v>
      </c>
      <c r="F62" s="349">
        <f>C62*(1+$G$1)*D62*E62</f>
        <v>9591.9202829999995</v>
      </c>
      <c r="G62" s="349">
        <f>F62*12</f>
        <v>115103.04339599999</v>
      </c>
    </row>
    <row r="63" spans="1:7" x14ac:dyDescent="0.2">
      <c r="A63" s="218" t="s">
        <v>834</v>
      </c>
      <c r="B63" s="848" t="s">
        <v>850</v>
      </c>
      <c r="C63" s="848"/>
      <c r="D63" s="848"/>
      <c r="E63" s="848"/>
      <c r="F63" s="848"/>
      <c r="G63" s="848"/>
    </row>
    <row r="64" spans="1:7" x14ac:dyDescent="0.2">
      <c r="A64" s="218" t="s">
        <v>834</v>
      </c>
      <c r="B64" s="218" t="s">
        <v>849</v>
      </c>
      <c r="C64" s="349">
        <v>19168.099999999999</v>
      </c>
      <c r="D64" s="355">
        <v>1</v>
      </c>
      <c r="E64" s="354">
        <v>0.3</v>
      </c>
      <c r="F64" s="349">
        <f t="shared" ref="F64:F81" si="8">C64*(1+$G$1)*D64*E64</f>
        <v>7508.3364509999992</v>
      </c>
      <c r="G64" s="349">
        <f t="shared" ref="G64:G81" si="9">F64*12</f>
        <v>90100.037411999991</v>
      </c>
    </row>
    <row r="65" spans="1:7" x14ac:dyDescent="0.2">
      <c r="A65" s="218" t="s">
        <v>834</v>
      </c>
      <c r="B65" s="218" t="s">
        <v>848</v>
      </c>
      <c r="C65" s="349">
        <v>3698.44</v>
      </c>
      <c r="D65" s="355">
        <v>2</v>
      </c>
      <c r="E65" s="354">
        <v>0.3</v>
      </c>
      <c r="F65" s="349">
        <f t="shared" si="8"/>
        <v>2897.4318647999999</v>
      </c>
      <c r="G65" s="349">
        <f t="shared" si="9"/>
        <v>34769.182377599995</v>
      </c>
    </row>
    <row r="66" spans="1:7" x14ac:dyDescent="0.2">
      <c r="A66" s="218" t="s">
        <v>834</v>
      </c>
      <c r="B66" s="353" t="s">
        <v>847</v>
      </c>
      <c r="C66" s="350">
        <v>15333.91</v>
      </c>
      <c r="D66" s="352">
        <v>1</v>
      </c>
      <c r="E66" s="351">
        <v>1</v>
      </c>
      <c r="F66" s="350">
        <f t="shared" si="8"/>
        <v>20021.486287</v>
      </c>
      <c r="G66" s="349">
        <f t="shared" si="9"/>
        <v>240257.835444</v>
      </c>
    </row>
    <row r="67" spans="1:7" x14ac:dyDescent="0.2">
      <c r="A67" s="218" t="s">
        <v>834</v>
      </c>
      <c r="B67" s="353" t="s">
        <v>846</v>
      </c>
      <c r="C67" s="350">
        <v>7831.44</v>
      </c>
      <c r="D67" s="352">
        <v>1</v>
      </c>
      <c r="E67" s="351">
        <v>1</v>
      </c>
      <c r="F67" s="350">
        <f t="shared" si="8"/>
        <v>10225.511208</v>
      </c>
      <c r="G67" s="349">
        <f t="shared" si="9"/>
        <v>122706.134496</v>
      </c>
    </row>
    <row r="68" spans="1:7" x14ac:dyDescent="0.2">
      <c r="A68" s="218" t="s">
        <v>834</v>
      </c>
      <c r="B68" s="353" t="s">
        <v>845</v>
      </c>
      <c r="C68" s="350">
        <v>2773.75</v>
      </c>
      <c r="D68" s="352">
        <v>2</v>
      </c>
      <c r="E68" s="351">
        <v>1</v>
      </c>
      <c r="F68" s="350">
        <f t="shared" si="8"/>
        <v>7243.37075</v>
      </c>
      <c r="G68" s="349">
        <f t="shared" si="9"/>
        <v>86920.448999999993</v>
      </c>
    </row>
    <row r="69" spans="1:7" x14ac:dyDescent="0.2">
      <c r="A69" s="218" t="s">
        <v>834</v>
      </c>
      <c r="B69" s="353" t="s">
        <v>844</v>
      </c>
      <c r="C69" s="350">
        <v>15333.91</v>
      </c>
      <c r="D69" s="352">
        <v>1</v>
      </c>
      <c r="E69" s="351">
        <v>0.6</v>
      </c>
      <c r="F69" s="350">
        <f t="shared" si="8"/>
        <v>12012.891772199999</v>
      </c>
      <c r="G69" s="349">
        <f t="shared" si="9"/>
        <v>144154.70126639999</v>
      </c>
    </row>
    <row r="70" spans="1:7" x14ac:dyDescent="0.2">
      <c r="A70" s="218" t="s">
        <v>834</v>
      </c>
      <c r="B70" s="353" t="s">
        <v>836</v>
      </c>
      <c r="C70" s="350">
        <v>7831.44</v>
      </c>
      <c r="D70" s="352">
        <v>2</v>
      </c>
      <c r="E70" s="351">
        <v>1</v>
      </c>
      <c r="F70" s="350">
        <f t="shared" si="8"/>
        <v>20451.022416</v>
      </c>
      <c r="G70" s="349">
        <f t="shared" si="9"/>
        <v>245412.268992</v>
      </c>
    </row>
    <row r="71" spans="1:7" x14ac:dyDescent="0.2">
      <c r="A71" s="218" t="s">
        <v>834</v>
      </c>
      <c r="B71" s="353" t="s">
        <v>843</v>
      </c>
      <c r="C71" s="350">
        <v>3469.26</v>
      </c>
      <c r="D71" s="352">
        <v>1</v>
      </c>
      <c r="E71" s="351">
        <v>1</v>
      </c>
      <c r="F71" s="350">
        <f t="shared" si="8"/>
        <v>4529.8127820000009</v>
      </c>
      <c r="G71" s="349">
        <f t="shared" si="9"/>
        <v>54357.753384000011</v>
      </c>
    </row>
    <row r="72" spans="1:7" x14ac:dyDescent="0.2">
      <c r="A72" s="218" t="s">
        <v>834</v>
      </c>
      <c r="B72" s="353" t="s">
        <v>842</v>
      </c>
      <c r="C72" s="350">
        <v>2773.75</v>
      </c>
      <c r="D72" s="352">
        <v>1</v>
      </c>
      <c r="E72" s="351">
        <v>1</v>
      </c>
      <c r="F72" s="350">
        <f t="shared" si="8"/>
        <v>3621.685375</v>
      </c>
      <c r="G72" s="349">
        <f t="shared" si="9"/>
        <v>43460.224499999997</v>
      </c>
    </row>
    <row r="73" spans="1:7" x14ac:dyDescent="0.2">
      <c r="A73" s="218" t="s">
        <v>834</v>
      </c>
      <c r="B73" s="353" t="s">
        <v>841</v>
      </c>
      <c r="C73" s="350">
        <v>4070</v>
      </c>
      <c r="D73" s="352">
        <v>1</v>
      </c>
      <c r="E73" s="351">
        <v>1</v>
      </c>
      <c r="F73" s="350">
        <f t="shared" si="8"/>
        <v>5314.1990000000005</v>
      </c>
      <c r="G73" s="349">
        <f t="shared" si="9"/>
        <v>63770.388000000006</v>
      </c>
    </row>
    <row r="74" spans="1:7" x14ac:dyDescent="0.2">
      <c r="A74" s="218" t="s">
        <v>834</v>
      </c>
      <c r="B74" s="353" t="s">
        <v>840</v>
      </c>
      <c r="C74" s="350">
        <v>3469.26</v>
      </c>
      <c r="D74" s="352">
        <v>1</v>
      </c>
      <c r="E74" s="351">
        <v>0.2</v>
      </c>
      <c r="F74" s="350">
        <f t="shared" si="8"/>
        <v>905.96255640000027</v>
      </c>
      <c r="G74" s="349">
        <f t="shared" si="9"/>
        <v>10871.550676800003</v>
      </c>
    </row>
    <row r="75" spans="1:7" x14ac:dyDescent="0.2">
      <c r="A75" s="218" t="s">
        <v>834</v>
      </c>
      <c r="B75" s="353" t="s">
        <v>839</v>
      </c>
      <c r="C75" s="350">
        <v>15333.91</v>
      </c>
      <c r="D75" s="352">
        <v>1</v>
      </c>
      <c r="E75" s="351">
        <v>0.06</v>
      </c>
      <c r="F75" s="350">
        <f t="shared" si="8"/>
        <v>1201.2891772199998</v>
      </c>
      <c r="G75" s="349">
        <f t="shared" si="9"/>
        <v>14415.470126639997</v>
      </c>
    </row>
    <row r="76" spans="1:7" x14ac:dyDescent="0.2">
      <c r="A76" s="218" t="s">
        <v>834</v>
      </c>
      <c r="B76" s="353" t="s">
        <v>836</v>
      </c>
      <c r="C76" s="350">
        <v>6890.96</v>
      </c>
      <c r="D76" s="352">
        <v>2</v>
      </c>
      <c r="E76" s="351">
        <v>1</v>
      </c>
      <c r="F76" s="350">
        <f t="shared" si="8"/>
        <v>17995.052944000003</v>
      </c>
      <c r="G76" s="349">
        <f t="shared" si="9"/>
        <v>215940.63532800003</v>
      </c>
    </row>
    <row r="77" spans="1:7" x14ac:dyDescent="0.2">
      <c r="A77" s="218" t="s">
        <v>834</v>
      </c>
      <c r="B77" s="353" t="s">
        <v>838</v>
      </c>
      <c r="C77" s="350">
        <v>2773.75</v>
      </c>
      <c r="D77" s="352">
        <v>1</v>
      </c>
      <c r="E77" s="351">
        <v>1</v>
      </c>
      <c r="F77" s="350">
        <f t="shared" si="8"/>
        <v>3621.685375</v>
      </c>
      <c r="G77" s="349">
        <f t="shared" si="9"/>
        <v>43460.224499999997</v>
      </c>
    </row>
    <row r="78" spans="1:7" x14ac:dyDescent="0.2">
      <c r="A78" s="218" t="s">
        <v>834</v>
      </c>
      <c r="B78" s="353" t="s">
        <v>837</v>
      </c>
      <c r="C78" s="350">
        <v>15333.91</v>
      </c>
      <c r="D78" s="352">
        <v>1</v>
      </c>
      <c r="E78" s="351">
        <v>0.6</v>
      </c>
      <c r="F78" s="350">
        <f t="shared" si="8"/>
        <v>12012.891772199999</v>
      </c>
      <c r="G78" s="349">
        <f t="shared" si="9"/>
        <v>144154.70126639999</v>
      </c>
    </row>
    <row r="79" spans="1:7" x14ac:dyDescent="0.2">
      <c r="A79" s="218" t="s">
        <v>834</v>
      </c>
      <c r="B79" s="353" t="s">
        <v>836</v>
      </c>
      <c r="C79" s="350">
        <v>6890.96</v>
      </c>
      <c r="D79" s="352">
        <v>1</v>
      </c>
      <c r="E79" s="351">
        <v>1</v>
      </c>
      <c r="F79" s="350">
        <f t="shared" si="8"/>
        <v>8997.5264720000014</v>
      </c>
      <c r="G79" s="349">
        <f t="shared" si="9"/>
        <v>107970.31766400002</v>
      </c>
    </row>
    <row r="80" spans="1:7" x14ac:dyDescent="0.2">
      <c r="A80" s="218" t="s">
        <v>834</v>
      </c>
      <c r="B80" s="353" t="s">
        <v>835</v>
      </c>
      <c r="C80" s="350">
        <v>7831.44</v>
      </c>
      <c r="D80" s="352">
        <v>2</v>
      </c>
      <c r="E80" s="351">
        <v>1</v>
      </c>
      <c r="F80" s="350">
        <f t="shared" si="8"/>
        <v>20451.022416</v>
      </c>
      <c r="G80" s="349">
        <f t="shared" si="9"/>
        <v>245412.268992</v>
      </c>
    </row>
    <row r="81" spans="1:7" x14ac:dyDescent="0.2">
      <c r="A81" s="218" t="s">
        <v>834</v>
      </c>
      <c r="B81" s="353" t="s">
        <v>833</v>
      </c>
      <c r="C81" s="350">
        <v>3052.64</v>
      </c>
      <c r="D81" s="352">
        <v>2</v>
      </c>
      <c r="E81" s="351">
        <v>1</v>
      </c>
      <c r="F81" s="350">
        <f t="shared" si="8"/>
        <v>7971.6640960000004</v>
      </c>
      <c r="G81" s="349">
        <f t="shared" si="9"/>
        <v>95659.969152000005</v>
      </c>
    </row>
    <row r="82" spans="1:7" x14ac:dyDescent="0.2">
      <c r="F82" s="348" t="s">
        <v>146</v>
      </c>
      <c r="G82" s="347">
        <f>SUM(G6:G11,G13:G44,G46:G51,G53:G59,G61:G62,G64:G81)</f>
        <v>10625337.448601041</v>
      </c>
    </row>
  </sheetData>
  <mergeCells count="12">
    <mergeCell ref="B63:G63"/>
    <mergeCell ref="B12:G12"/>
    <mergeCell ref="E2:E4"/>
    <mergeCell ref="F2:F4"/>
    <mergeCell ref="G2:G4"/>
    <mergeCell ref="B5:G5"/>
    <mergeCell ref="B2:B4"/>
    <mergeCell ref="C2:C3"/>
    <mergeCell ref="D2:D4"/>
    <mergeCell ref="B45:G45"/>
    <mergeCell ref="B52:G52"/>
    <mergeCell ref="B60:G60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3"/>
  <sheetViews>
    <sheetView showGridLines="0" topLeftCell="A85" workbookViewId="0">
      <selection activeCell="I92" sqref="I92"/>
    </sheetView>
  </sheetViews>
  <sheetFormatPr defaultRowHeight="15" x14ac:dyDescent="0.25"/>
  <cols>
    <col min="2" max="2" width="11.140625" customWidth="1"/>
    <col min="3" max="3" width="44.42578125" customWidth="1"/>
    <col min="4" max="4" width="11.5703125" customWidth="1"/>
    <col min="6" max="6" width="10.85546875" customWidth="1"/>
    <col min="7" max="7" width="11.140625" customWidth="1"/>
    <col min="9" max="9" width="45.42578125" customWidth="1"/>
    <col min="10" max="10" width="22.140625" customWidth="1"/>
    <col min="11" max="11" width="13" customWidth="1"/>
    <col min="12" max="12" width="26.7109375" customWidth="1"/>
    <col min="13" max="13" width="25" customWidth="1"/>
    <col min="14" max="14" width="19.85546875" customWidth="1"/>
  </cols>
  <sheetData>
    <row r="2" spans="2:10" x14ac:dyDescent="0.25">
      <c r="B2" s="335"/>
      <c r="C2" s="406" t="s">
        <v>1085</v>
      </c>
      <c r="D2" s="406"/>
      <c r="E2" s="406"/>
      <c r="F2" s="335"/>
      <c r="G2" s="335"/>
      <c r="H2" s="335"/>
      <c r="I2" s="335"/>
    </row>
    <row r="5" spans="2:10" x14ac:dyDescent="0.25">
      <c r="B5" s="2" t="s">
        <v>1084</v>
      </c>
      <c r="C5" s="2"/>
      <c r="E5" s="406" t="s">
        <v>1083</v>
      </c>
      <c r="F5" s="406"/>
      <c r="H5" s="2" t="s">
        <v>1082</v>
      </c>
      <c r="I5" s="2"/>
      <c r="J5" s="2"/>
    </row>
    <row r="6" spans="2:10" ht="15.75" thickBot="1" x14ac:dyDescent="0.3"/>
    <row r="7" spans="2:10" x14ac:dyDescent="0.25">
      <c r="B7" s="405" t="s">
        <v>1081</v>
      </c>
      <c r="C7" s="404" t="s">
        <v>1080</v>
      </c>
      <c r="E7" s="403" t="s">
        <v>1081</v>
      </c>
      <c r="F7" s="402" t="s">
        <v>1080</v>
      </c>
      <c r="H7" s="403" t="s">
        <v>1081</v>
      </c>
      <c r="I7" s="402" t="s">
        <v>1080</v>
      </c>
    </row>
    <row r="8" spans="2:10" x14ac:dyDescent="0.25">
      <c r="B8" s="399" t="s">
        <v>1079</v>
      </c>
      <c r="C8" s="398">
        <v>6890.96</v>
      </c>
      <c r="E8" s="399" t="s">
        <v>1078</v>
      </c>
      <c r="F8" s="400">
        <v>2773.35</v>
      </c>
      <c r="H8" s="399" t="s">
        <v>1077</v>
      </c>
      <c r="I8" s="398">
        <v>1281.17</v>
      </c>
    </row>
    <row r="9" spans="2:10" x14ac:dyDescent="0.25">
      <c r="B9" s="399" t="s">
        <v>1076</v>
      </c>
      <c r="C9" s="398">
        <v>6890.96</v>
      </c>
      <c r="E9" s="399" t="s">
        <v>1075</v>
      </c>
      <c r="F9" s="400">
        <v>2863.5</v>
      </c>
      <c r="H9" s="399" t="s">
        <v>1074</v>
      </c>
      <c r="I9" s="398">
        <v>1322.78</v>
      </c>
    </row>
    <row r="10" spans="2:10" x14ac:dyDescent="0.25">
      <c r="B10" s="399" t="s">
        <v>1073</v>
      </c>
      <c r="C10" s="398">
        <v>7346.19</v>
      </c>
      <c r="E10" s="399" t="s">
        <v>1072</v>
      </c>
      <c r="F10" s="400">
        <v>2956.59</v>
      </c>
      <c r="H10" s="399" t="s">
        <v>1071</v>
      </c>
      <c r="I10" s="398">
        <v>1365.78</v>
      </c>
    </row>
    <row r="11" spans="2:10" x14ac:dyDescent="0.25">
      <c r="B11" s="399" t="s">
        <v>1070</v>
      </c>
      <c r="C11" s="398">
        <v>7584.92</v>
      </c>
      <c r="E11" s="399" t="s">
        <v>1069</v>
      </c>
      <c r="F11" s="400">
        <v>3052.64</v>
      </c>
      <c r="H11" s="399" t="s">
        <v>1068</v>
      </c>
      <c r="I11" s="398">
        <v>1410.15</v>
      </c>
    </row>
    <row r="12" spans="2:10" x14ac:dyDescent="0.25">
      <c r="B12" s="399" t="s">
        <v>1067</v>
      </c>
      <c r="C12" s="398">
        <v>7831.44</v>
      </c>
      <c r="E12" s="399" t="s">
        <v>1066</v>
      </c>
      <c r="F12" s="400">
        <v>3151.86</v>
      </c>
      <c r="H12" s="399" t="s">
        <v>1065</v>
      </c>
      <c r="I12" s="398">
        <v>1456</v>
      </c>
    </row>
    <row r="13" spans="2:10" x14ac:dyDescent="0.25">
      <c r="B13" s="399" t="s">
        <v>1064</v>
      </c>
      <c r="C13" s="398">
        <v>8085.99</v>
      </c>
      <c r="E13" s="399" t="s">
        <v>1063</v>
      </c>
      <c r="F13" s="400">
        <v>3254.29</v>
      </c>
      <c r="H13" s="399" t="s">
        <v>1062</v>
      </c>
      <c r="I13" s="398">
        <v>1503.31</v>
      </c>
    </row>
    <row r="14" spans="2:10" x14ac:dyDescent="0.25">
      <c r="B14" s="399" t="s">
        <v>1061</v>
      </c>
      <c r="C14" s="398">
        <v>8348.76</v>
      </c>
      <c r="E14" s="399" t="s">
        <v>1060</v>
      </c>
      <c r="F14" s="400">
        <v>3360.1</v>
      </c>
      <c r="H14" s="399" t="s">
        <v>1059</v>
      </c>
      <c r="I14" s="401" t="s">
        <v>1058</v>
      </c>
    </row>
    <row r="15" spans="2:10" x14ac:dyDescent="0.25">
      <c r="B15" s="399" t="s">
        <v>1057</v>
      </c>
      <c r="C15" s="398">
        <v>8620.1299999999992</v>
      </c>
      <c r="E15" s="399" t="s">
        <v>1056</v>
      </c>
      <c r="F15" s="400">
        <v>3469.26</v>
      </c>
      <c r="H15" s="399" t="s">
        <v>1055</v>
      </c>
      <c r="I15" s="398">
        <v>1602.61</v>
      </c>
    </row>
    <row r="16" spans="2:10" x14ac:dyDescent="0.25">
      <c r="B16" s="399" t="s">
        <v>1054</v>
      </c>
      <c r="C16" s="398">
        <v>8900.27</v>
      </c>
      <c r="E16" s="399" t="s">
        <v>1053</v>
      </c>
      <c r="F16" s="400">
        <v>3582.03</v>
      </c>
      <c r="H16" s="399" t="s">
        <v>1052</v>
      </c>
      <c r="I16" s="398">
        <v>1654.7</v>
      </c>
    </row>
    <row r="17" spans="2:9" x14ac:dyDescent="0.25">
      <c r="B17" s="399" t="s">
        <v>1051</v>
      </c>
      <c r="C17" s="398">
        <v>9189.51</v>
      </c>
      <c r="E17" s="399" t="s">
        <v>1050</v>
      </c>
      <c r="F17" s="400">
        <v>3698.44</v>
      </c>
      <c r="H17" s="399" t="s">
        <v>1049</v>
      </c>
      <c r="I17" s="398">
        <v>1708.49</v>
      </c>
    </row>
    <row r="18" spans="2:9" x14ac:dyDescent="0.25">
      <c r="B18" s="399" t="s">
        <v>1048</v>
      </c>
      <c r="C18" s="398">
        <v>9488.19</v>
      </c>
      <c r="E18" s="399" t="s">
        <v>1047</v>
      </c>
      <c r="F18" s="400">
        <v>3818.65</v>
      </c>
      <c r="H18" s="399" t="s">
        <v>1046</v>
      </c>
      <c r="I18" s="398">
        <v>1764.01</v>
      </c>
    </row>
    <row r="19" spans="2:9" x14ac:dyDescent="0.25">
      <c r="B19" s="399" t="s">
        <v>1045</v>
      </c>
      <c r="C19" s="398">
        <v>9796.52</v>
      </c>
      <c r="E19" s="399" t="s">
        <v>1044</v>
      </c>
      <c r="F19" s="400">
        <v>3942.77</v>
      </c>
      <c r="H19" s="399" t="s">
        <v>1043</v>
      </c>
      <c r="I19" s="398">
        <v>1821.34</v>
      </c>
    </row>
    <row r="20" spans="2:9" x14ac:dyDescent="0.25">
      <c r="B20" s="399" t="s">
        <v>1042</v>
      </c>
      <c r="C20" s="398">
        <v>10114.93</v>
      </c>
      <c r="E20" s="399" t="s">
        <v>1041</v>
      </c>
      <c r="F20" s="400">
        <v>4070.91</v>
      </c>
      <c r="H20" s="399" t="s">
        <v>1040</v>
      </c>
      <c r="I20" s="398">
        <v>1880.55</v>
      </c>
    </row>
    <row r="21" spans="2:9" x14ac:dyDescent="0.25">
      <c r="B21" s="399" t="s">
        <v>1039</v>
      </c>
      <c r="C21" s="398">
        <v>10443.65</v>
      </c>
      <c r="E21" s="399" t="s">
        <v>1038</v>
      </c>
      <c r="F21" s="400">
        <v>4203.18</v>
      </c>
      <c r="H21" s="399" t="s">
        <v>1037</v>
      </c>
      <c r="I21" s="398">
        <v>1941.65</v>
      </c>
    </row>
    <row r="22" spans="2:9" x14ac:dyDescent="0.25">
      <c r="B22" s="399" t="s">
        <v>1036</v>
      </c>
      <c r="C22" s="398">
        <v>10783.03</v>
      </c>
      <c r="E22" s="399" t="s">
        <v>1035</v>
      </c>
      <c r="F22" s="400">
        <v>4339.8100000000004</v>
      </c>
      <c r="H22" s="399" t="s">
        <v>1034</v>
      </c>
      <c r="I22" s="398">
        <v>2004.77</v>
      </c>
    </row>
    <row r="23" spans="2:9" x14ac:dyDescent="0.25">
      <c r="B23" s="399" t="s">
        <v>1033</v>
      </c>
      <c r="C23" s="398">
        <v>11133.51</v>
      </c>
      <c r="E23" s="399" t="s">
        <v>1032</v>
      </c>
      <c r="F23" s="400">
        <v>4480.8599999999997</v>
      </c>
      <c r="H23" s="399" t="s">
        <v>1031</v>
      </c>
      <c r="I23" s="398">
        <v>2069.92</v>
      </c>
    </row>
    <row r="24" spans="2:9" x14ac:dyDescent="0.25">
      <c r="B24" s="399" t="s">
        <v>1030</v>
      </c>
      <c r="C24" s="398">
        <v>11495.36</v>
      </c>
      <c r="E24" s="399" t="s">
        <v>1029</v>
      </c>
      <c r="F24" s="400">
        <v>4626.4799999999996</v>
      </c>
      <c r="H24" s="399" t="s">
        <v>1028</v>
      </c>
      <c r="I24" s="398">
        <v>2137.19</v>
      </c>
    </row>
    <row r="25" spans="2:9" x14ac:dyDescent="0.25">
      <c r="B25" s="399" t="s">
        <v>1027</v>
      </c>
      <c r="C25" s="398">
        <v>11868.93</v>
      </c>
      <c r="E25" s="399" t="s">
        <v>1026</v>
      </c>
      <c r="F25" s="400">
        <v>4776.8500000000004</v>
      </c>
      <c r="H25" s="399" t="s">
        <v>1025</v>
      </c>
      <c r="I25" s="398">
        <v>2206.62</v>
      </c>
    </row>
    <row r="26" spans="2:9" x14ac:dyDescent="0.25">
      <c r="B26" s="399" t="s">
        <v>1024</v>
      </c>
      <c r="C26" s="398">
        <v>12254.69</v>
      </c>
      <c r="E26" s="399" t="s">
        <v>1023</v>
      </c>
      <c r="F26" s="400">
        <v>4932.1099999999997</v>
      </c>
      <c r="H26" s="399" t="s">
        <v>1022</v>
      </c>
      <c r="I26" s="398">
        <v>2278.34</v>
      </c>
    </row>
    <row r="27" spans="2:9" x14ac:dyDescent="0.25">
      <c r="B27" s="399" t="s">
        <v>1021</v>
      </c>
      <c r="C27" s="398">
        <v>12652.97</v>
      </c>
      <c r="E27" s="399" t="s">
        <v>1020</v>
      </c>
      <c r="F27" s="400">
        <v>5092.42</v>
      </c>
      <c r="H27" s="399" t="s">
        <v>1019</v>
      </c>
      <c r="I27" s="401" t="s">
        <v>1018</v>
      </c>
    </row>
    <row r="28" spans="2:9" x14ac:dyDescent="0.25">
      <c r="B28" s="399" t="s">
        <v>1017</v>
      </c>
      <c r="C28" s="398">
        <v>13064.19</v>
      </c>
      <c r="E28" s="399" t="s">
        <v>1016</v>
      </c>
      <c r="F28" s="400">
        <v>5257.93</v>
      </c>
      <c r="H28" s="399" t="s">
        <v>1015</v>
      </c>
      <c r="I28" s="398">
        <v>2428.85</v>
      </c>
    </row>
    <row r="29" spans="2:9" ht="15.75" thickBot="1" x14ac:dyDescent="0.3">
      <c r="B29" s="399" t="s">
        <v>1014</v>
      </c>
      <c r="C29" s="398">
        <v>13488.78</v>
      </c>
      <c r="E29" s="399" t="s">
        <v>1013</v>
      </c>
      <c r="F29" s="400">
        <v>5428.79</v>
      </c>
      <c r="H29" s="397" t="s">
        <v>1012</v>
      </c>
      <c r="I29" s="396">
        <v>2507.79</v>
      </c>
    </row>
    <row r="30" spans="2:9" x14ac:dyDescent="0.25">
      <c r="B30" s="399" t="s">
        <v>1011</v>
      </c>
      <c r="C30" s="398">
        <v>13927.16</v>
      </c>
      <c r="E30" s="399" t="s">
        <v>1010</v>
      </c>
      <c r="F30" s="398">
        <v>5605.23</v>
      </c>
    </row>
    <row r="31" spans="2:9" x14ac:dyDescent="0.25">
      <c r="B31" s="399" t="s">
        <v>1009</v>
      </c>
      <c r="C31" s="398">
        <v>14379.77</v>
      </c>
      <c r="E31" s="399" t="s">
        <v>1008</v>
      </c>
      <c r="F31" s="398">
        <v>5787.41</v>
      </c>
    </row>
    <row r="32" spans="2:9" x14ac:dyDescent="0.25">
      <c r="B32" s="399" t="s">
        <v>1007</v>
      </c>
      <c r="C32" s="398">
        <v>14847.13</v>
      </c>
      <c r="E32" s="399" t="s">
        <v>1006</v>
      </c>
      <c r="F32" s="398">
        <v>5975.51</v>
      </c>
    </row>
    <row r="33" spans="2:14" x14ac:dyDescent="0.25">
      <c r="B33" s="399" t="s">
        <v>1005</v>
      </c>
      <c r="C33" s="398">
        <v>15329.65</v>
      </c>
      <c r="E33" s="399" t="s">
        <v>1004</v>
      </c>
      <c r="F33" s="398">
        <v>6169.69</v>
      </c>
    </row>
    <row r="34" spans="2:14" x14ac:dyDescent="0.25">
      <c r="B34" s="399" t="s">
        <v>1003</v>
      </c>
      <c r="C34" s="398">
        <v>15827.88</v>
      </c>
      <c r="E34" s="399" t="s">
        <v>1002</v>
      </c>
      <c r="F34" s="398">
        <v>6370.22</v>
      </c>
    </row>
    <row r="35" spans="2:14" ht="15.75" thickBot="1" x14ac:dyDescent="0.3">
      <c r="B35" s="397" t="s">
        <v>1001</v>
      </c>
      <c r="C35" s="396">
        <v>16342.28</v>
      </c>
      <c r="E35" s="397" t="s">
        <v>1000</v>
      </c>
      <c r="F35" s="396">
        <v>6577.24</v>
      </c>
    </row>
    <row r="36" spans="2:14" x14ac:dyDescent="0.25">
      <c r="B36" t="s">
        <v>912</v>
      </c>
    </row>
    <row r="37" spans="2:14" x14ac:dyDescent="0.25">
      <c r="B37" t="s">
        <v>911</v>
      </c>
    </row>
    <row r="40" spans="2:14" x14ac:dyDescent="0.25">
      <c r="C40" s="2" t="s">
        <v>999</v>
      </c>
      <c r="D40" s="2"/>
      <c r="E40" s="2"/>
    </row>
    <row r="43" spans="2:14" ht="15.75" thickBot="1" x14ac:dyDescent="0.3">
      <c r="I43" t="s">
        <v>998</v>
      </c>
    </row>
    <row r="44" spans="2:14" ht="15.75" thickBot="1" x14ac:dyDescent="0.3">
      <c r="B44" s="371" t="s">
        <v>910</v>
      </c>
      <c r="C44" s="370" t="s">
        <v>909</v>
      </c>
      <c r="D44" s="370" t="s">
        <v>908</v>
      </c>
      <c r="E44" s="370" t="s">
        <v>907</v>
      </c>
      <c r="F44" s="369" t="s">
        <v>906</v>
      </c>
      <c r="I44" s="864" t="s">
        <v>8</v>
      </c>
      <c r="J44" s="866" t="s">
        <v>40</v>
      </c>
      <c r="K44" s="867"/>
      <c r="L44" s="864" t="s">
        <v>997</v>
      </c>
      <c r="M44" s="864" t="s">
        <v>996</v>
      </c>
      <c r="N44" s="864" t="s">
        <v>995</v>
      </c>
    </row>
    <row r="45" spans="2:14" ht="15.75" thickBot="1" x14ac:dyDescent="0.3">
      <c r="B45" s="860" t="s">
        <v>994</v>
      </c>
      <c r="C45" s="375" t="s">
        <v>930</v>
      </c>
      <c r="D45" s="374" t="s">
        <v>904</v>
      </c>
      <c r="E45" s="374">
        <v>2</v>
      </c>
      <c r="F45" s="854">
        <v>19168.099999999999</v>
      </c>
      <c r="I45" s="865"/>
      <c r="J45" s="395" t="s">
        <v>993</v>
      </c>
      <c r="K45" s="395" t="s">
        <v>992</v>
      </c>
      <c r="L45" s="865"/>
      <c r="M45" s="865"/>
      <c r="N45" s="865"/>
    </row>
    <row r="46" spans="2:14" x14ac:dyDescent="0.25">
      <c r="B46" s="861"/>
      <c r="C46" s="7" t="s">
        <v>929</v>
      </c>
      <c r="D46" s="15" t="s">
        <v>904</v>
      </c>
      <c r="E46" s="15">
        <v>1</v>
      </c>
      <c r="F46" s="855"/>
      <c r="I46" s="392" t="s">
        <v>991</v>
      </c>
      <c r="J46" s="393">
        <v>1773</v>
      </c>
      <c r="K46" s="392"/>
      <c r="L46" s="392">
        <v>929.25</v>
      </c>
      <c r="M46" s="392" t="s">
        <v>990</v>
      </c>
      <c r="N46" s="392" t="s">
        <v>982</v>
      </c>
    </row>
    <row r="47" spans="2:14" ht="15.75" thickBot="1" x14ac:dyDescent="0.3">
      <c r="B47" s="862"/>
      <c r="C47" s="373" t="s">
        <v>928</v>
      </c>
      <c r="D47" s="372" t="s">
        <v>904</v>
      </c>
      <c r="E47" s="372">
        <v>8</v>
      </c>
      <c r="F47" s="856"/>
      <c r="H47" s="18"/>
      <c r="I47" s="392" t="s">
        <v>989</v>
      </c>
      <c r="J47" s="392">
        <v>410</v>
      </c>
      <c r="K47" s="392"/>
      <c r="L47" s="392">
        <v>454.79</v>
      </c>
      <c r="M47" s="392"/>
      <c r="N47" s="392" t="s">
        <v>982</v>
      </c>
    </row>
    <row r="48" spans="2:14" ht="15.75" thickBot="1" x14ac:dyDescent="0.3">
      <c r="B48" s="394" t="s">
        <v>988</v>
      </c>
      <c r="C48" s="367" t="s">
        <v>987</v>
      </c>
      <c r="D48" s="366" t="s">
        <v>904</v>
      </c>
      <c r="E48" s="366">
        <v>3</v>
      </c>
      <c r="F48" s="380">
        <v>17251.73</v>
      </c>
      <c r="I48" s="392" t="s">
        <v>986</v>
      </c>
      <c r="J48" s="392">
        <v>30</v>
      </c>
      <c r="K48" s="392"/>
      <c r="L48" s="392">
        <v>150</v>
      </c>
      <c r="M48" s="392" t="s">
        <v>985</v>
      </c>
      <c r="N48" s="392" t="s">
        <v>982</v>
      </c>
    </row>
    <row r="49" spans="2:14" x14ac:dyDescent="0.25">
      <c r="B49" s="860" t="s">
        <v>984</v>
      </c>
      <c r="C49" s="375" t="s">
        <v>926</v>
      </c>
      <c r="D49" s="374" t="s">
        <v>923</v>
      </c>
      <c r="E49" s="374">
        <v>15</v>
      </c>
      <c r="F49" s="854">
        <v>15333.91</v>
      </c>
      <c r="I49" s="392" t="s">
        <v>983</v>
      </c>
      <c r="J49" s="393">
        <v>1773</v>
      </c>
      <c r="K49" s="392"/>
      <c r="L49" s="392">
        <v>577.44000000000005</v>
      </c>
      <c r="M49" s="392"/>
      <c r="N49" s="392" t="s">
        <v>982</v>
      </c>
    </row>
    <row r="50" spans="2:14" x14ac:dyDescent="0.25">
      <c r="B50" s="861"/>
      <c r="C50" s="7" t="s">
        <v>925</v>
      </c>
      <c r="D50" s="15" t="s">
        <v>923</v>
      </c>
      <c r="E50" s="15">
        <v>12</v>
      </c>
      <c r="F50" s="855"/>
      <c r="I50" s="392" t="s">
        <v>981</v>
      </c>
      <c r="J50" s="393">
        <v>3723</v>
      </c>
      <c r="K50" s="393">
        <v>1773</v>
      </c>
      <c r="L50" s="392" t="s">
        <v>980</v>
      </c>
      <c r="M50" s="392"/>
      <c r="N50" s="392" t="s">
        <v>979</v>
      </c>
    </row>
    <row r="51" spans="2:14" ht="15.75" thickBot="1" x14ac:dyDescent="0.3">
      <c r="B51" s="861"/>
      <c r="C51" s="7" t="s">
        <v>924</v>
      </c>
      <c r="D51" s="15" t="s">
        <v>923</v>
      </c>
      <c r="E51" s="15">
        <v>4</v>
      </c>
      <c r="F51" s="855"/>
      <c r="I51" s="392"/>
      <c r="J51" s="392"/>
      <c r="K51" s="392"/>
      <c r="L51" s="392"/>
      <c r="M51" s="392"/>
      <c r="N51" s="392"/>
    </row>
    <row r="52" spans="2:14" ht="15.75" thickBot="1" x14ac:dyDescent="0.3">
      <c r="B52" s="861"/>
      <c r="C52" s="7" t="s">
        <v>922</v>
      </c>
      <c r="D52" s="15" t="s">
        <v>904</v>
      </c>
      <c r="E52" s="15">
        <v>1</v>
      </c>
      <c r="F52" s="855"/>
      <c r="I52" s="386" t="s">
        <v>9</v>
      </c>
      <c r="J52" s="391">
        <v>5496</v>
      </c>
      <c r="K52" s="391">
        <v>1773</v>
      </c>
      <c r="L52" s="390"/>
      <c r="M52" s="390"/>
      <c r="N52" s="390"/>
    </row>
    <row r="53" spans="2:14" x14ac:dyDescent="0.25">
      <c r="B53" s="861"/>
      <c r="C53" s="7" t="s">
        <v>920</v>
      </c>
      <c r="D53" s="15" t="s">
        <v>904</v>
      </c>
      <c r="E53" s="15">
        <v>2</v>
      </c>
      <c r="F53" s="855"/>
      <c r="I53" s="49" t="s">
        <v>911</v>
      </c>
    </row>
    <row r="54" spans="2:14" ht="15.75" thickBot="1" x14ac:dyDescent="0.3">
      <c r="B54" s="861"/>
      <c r="C54" s="7" t="s">
        <v>978</v>
      </c>
      <c r="D54" s="15" t="s">
        <v>904</v>
      </c>
      <c r="E54" s="15">
        <v>19</v>
      </c>
      <c r="F54" s="855"/>
      <c r="I54" t="s">
        <v>977</v>
      </c>
    </row>
    <row r="55" spans="2:14" x14ac:dyDescent="0.25">
      <c r="B55" s="860" t="s">
        <v>976</v>
      </c>
      <c r="C55" s="375" t="s">
        <v>975</v>
      </c>
      <c r="D55" s="374" t="s">
        <v>904</v>
      </c>
      <c r="E55" s="374">
        <v>41</v>
      </c>
      <c r="F55" s="854">
        <v>12076.34</v>
      </c>
    </row>
    <row r="56" spans="2:14" x14ac:dyDescent="0.25">
      <c r="B56" s="861"/>
      <c r="C56" s="7" t="s">
        <v>974</v>
      </c>
      <c r="D56" s="15" t="s">
        <v>923</v>
      </c>
      <c r="E56" s="15">
        <v>1</v>
      </c>
      <c r="F56" s="855"/>
      <c r="M56" s="16"/>
    </row>
    <row r="57" spans="2:14" ht="15.75" thickBot="1" x14ac:dyDescent="0.3">
      <c r="B57" s="861"/>
      <c r="C57" s="7" t="s">
        <v>973</v>
      </c>
      <c r="D57" s="15" t="s">
        <v>904</v>
      </c>
      <c r="E57" s="15">
        <v>3</v>
      </c>
      <c r="F57" s="855"/>
    </row>
    <row r="58" spans="2:14" ht="15.75" thickBot="1" x14ac:dyDescent="0.3">
      <c r="B58" s="861"/>
      <c r="C58" s="7" t="s">
        <v>972</v>
      </c>
      <c r="D58" s="15" t="s">
        <v>923</v>
      </c>
      <c r="E58" s="15">
        <v>8</v>
      </c>
      <c r="F58" s="855"/>
      <c r="I58" s="866" t="s">
        <v>971</v>
      </c>
      <c r="J58" s="867"/>
    </row>
    <row r="59" spans="2:14" ht="15.75" thickBot="1" x14ac:dyDescent="0.3">
      <c r="B59" s="861"/>
      <c r="C59" s="7" t="s">
        <v>970</v>
      </c>
      <c r="D59" s="15" t="s">
        <v>904</v>
      </c>
      <c r="E59" s="15">
        <v>16</v>
      </c>
      <c r="F59" s="855"/>
      <c r="I59" s="378" t="s">
        <v>958</v>
      </c>
      <c r="J59" s="389">
        <v>250006.03</v>
      </c>
    </row>
    <row r="60" spans="2:14" ht="15.75" thickBot="1" x14ac:dyDescent="0.3">
      <c r="B60" s="861"/>
      <c r="C60" s="7" t="s">
        <v>969</v>
      </c>
      <c r="D60" s="15" t="s">
        <v>904</v>
      </c>
      <c r="E60" s="15">
        <v>8</v>
      </c>
      <c r="F60" s="855"/>
      <c r="I60" s="378" t="s">
        <v>956</v>
      </c>
      <c r="J60" s="389">
        <v>1197600.19</v>
      </c>
    </row>
    <row r="61" spans="2:14" ht="15.75" thickBot="1" x14ac:dyDescent="0.3">
      <c r="B61" s="862"/>
      <c r="C61" s="373" t="s">
        <v>968</v>
      </c>
      <c r="D61" s="372" t="s">
        <v>904</v>
      </c>
      <c r="E61" s="372">
        <v>40</v>
      </c>
      <c r="F61" s="856"/>
      <c r="I61" s="378" t="s">
        <v>954</v>
      </c>
      <c r="J61" s="389">
        <v>1447606.22</v>
      </c>
    </row>
    <row r="62" spans="2:14" x14ac:dyDescent="0.25">
      <c r="B62" s="860" t="s">
        <v>967</v>
      </c>
      <c r="C62" s="375" t="s">
        <v>966</v>
      </c>
      <c r="D62" s="374" t="s">
        <v>904</v>
      </c>
      <c r="E62" s="374">
        <v>129</v>
      </c>
      <c r="F62" s="854">
        <v>9584.76</v>
      </c>
      <c r="I62" s="49" t="s">
        <v>965</v>
      </c>
    </row>
    <row r="63" spans="2:14" x14ac:dyDescent="0.25">
      <c r="B63" s="861"/>
      <c r="C63" s="7" t="s">
        <v>964</v>
      </c>
      <c r="D63" s="15" t="s">
        <v>904</v>
      </c>
      <c r="E63" s="15">
        <v>15</v>
      </c>
      <c r="F63" s="855"/>
    </row>
    <row r="64" spans="2:14" ht="15.75" thickBot="1" x14ac:dyDescent="0.3">
      <c r="B64" s="862"/>
      <c r="C64" s="373" t="s">
        <v>963</v>
      </c>
      <c r="D64" s="372" t="s">
        <v>904</v>
      </c>
      <c r="E64" s="372">
        <v>9</v>
      </c>
      <c r="F64" s="856"/>
    </row>
    <row r="65" spans="2:12" x14ac:dyDescent="0.25">
      <c r="B65" s="860" t="s">
        <v>962</v>
      </c>
      <c r="C65" s="375" t="s">
        <v>961</v>
      </c>
      <c r="D65" s="374" t="s">
        <v>904</v>
      </c>
      <c r="E65" s="374">
        <v>8</v>
      </c>
      <c r="F65" s="854">
        <v>5637.57</v>
      </c>
      <c r="I65" s="2" t="s">
        <v>960</v>
      </c>
      <c r="J65" s="2"/>
      <c r="K65" s="2"/>
      <c r="L65" s="2"/>
    </row>
    <row r="66" spans="2:12" ht="15.75" thickBot="1" x14ac:dyDescent="0.3">
      <c r="B66" s="861"/>
      <c r="C66" s="7" t="s">
        <v>918</v>
      </c>
      <c r="D66" s="15" t="s">
        <v>913</v>
      </c>
      <c r="E66" s="15">
        <v>2</v>
      </c>
      <c r="F66" s="855"/>
    </row>
    <row r="67" spans="2:12" ht="15.75" thickBot="1" x14ac:dyDescent="0.3">
      <c r="B67" s="860" t="s">
        <v>959</v>
      </c>
      <c r="C67" s="375" t="s">
        <v>915</v>
      </c>
      <c r="D67" s="375" t="s">
        <v>913</v>
      </c>
      <c r="E67" s="374">
        <v>4</v>
      </c>
      <c r="F67" s="854">
        <v>4792.37</v>
      </c>
      <c r="I67" s="378" t="s">
        <v>958</v>
      </c>
      <c r="J67" s="389" t="s">
        <v>957</v>
      </c>
    </row>
    <row r="68" spans="2:12" ht="15.75" thickBot="1" x14ac:dyDescent="0.3">
      <c r="B68" s="861"/>
      <c r="C68" s="7" t="s">
        <v>914</v>
      </c>
      <c r="D68" s="7" t="s">
        <v>913</v>
      </c>
      <c r="E68" s="15">
        <v>2</v>
      </c>
      <c r="F68" s="855"/>
      <c r="I68" s="378" t="s">
        <v>956</v>
      </c>
      <c r="J68" s="389">
        <v>724348.94</v>
      </c>
    </row>
    <row r="69" spans="2:12" ht="15.75" thickBot="1" x14ac:dyDescent="0.3">
      <c r="B69" s="862"/>
      <c r="C69" s="373" t="s">
        <v>955</v>
      </c>
      <c r="D69" s="373" t="s">
        <v>913</v>
      </c>
      <c r="E69" s="372">
        <v>8</v>
      </c>
      <c r="F69" s="856"/>
      <c r="I69" s="378" t="s">
        <v>954</v>
      </c>
      <c r="J69" s="389">
        <v>1390141.46</v>
      </c>
    </row>
    <row r="70" spans="2:12" x14ac:dyDescent="0.25">
      <c r="B70" t="s">
        <v>912</v>
      </c>
    </row>
    <row r="71" spans="2:12" x14ac:dyDescent="0.25">
      <c r="B71" t="s">
        <v>911</v>
      </c>
    </row>
    <row r="74" spans="2:12" x14ac:dyDescent="0.25">
      <c r="C74" s="2" t="s">
        <v>953</v>
      </c>
    </row>
    <row r="75" spans="2:12" ht="15.75" thickBot="1" x14ac:dyDescent="0.3"/>
    <row r="76" spans="2:12" ht="15.75" thickBot="1" x14ac:dyDescent="0.3">
      <c r="B76" s="386" t="s">
        <v>910</v>
      </c>
      <c r="C76" s="388" t="s">
        <v>909</v>
      </c>
      <c r="D76" s="370" t="s">
        <v>908</v>
      </c>
      <c r="E76" s="387" t="s">
        <v>907</v>
      </c>
      <c r="F76" s="386" t="s">
        <v>906</v>
      </c>
    </row>
    <row r="77" spans="2:12" x14ac:dyDescent="0.25">
      <c r="B77" s="385" t="s">
        <v>952</v>
      </c>
      <c r="C77" s="375" t="s">
        <v>951</v>
      </c>
      <c r="D77" s="374" t="s">
        <v>949</v>
      </c>
      <c r="E77" s="374">
        <v>25</v>
      </c>
      <c r="F77" s="855">
        <v>3239.99</v>
      </c>
    </row>
    <row r="78" spans="2:12" x14ac:dyDescent="0.25">
      <c r="B78" s="384"/>
      <c r="C78" s="7" t="s">
        <v>950</v>
      </c>
      <c r="D78" s="15" t="s">
        <v>949</v>
      </c>
      <c r="E78" s="15">
        <v>25</v>
      </c>
      <c r="F78" s="863"/>
    </row>
    <row r="79" spans="2:12" ht="15.75" thickBot="1" x14ac:dyDescent="0.3">
      <c r="B79" s="383" t="s">
        <v>948</v>
      </c>
      <c r="C79" s="373" t="s">
        <v>947</v>
      </c>
      <c r="D79" s="372" t="s">
        <v>938</v>
      </c>
      <c r="E79" s="372">
        <v>29</v>
      </c>
      <c r="F79" s="382">
        <v>3239.99</v>
      </c>
    </row>
    <row r="80" spans="2:12" ht="15.75" thickBot="1" x14ac:dyDescent="0.3">
      <c r="B80" s="381" t="s">
        <v>946</v>
      </c>
      <c r="C80" s="367" t="s">
        <v>945</v>
      </c>
      <c r="D80" s="372" t="s">
        <v>938</v>
      </c>
      <c r="E80" s="366">
        <v>11</v>
      </c>
      <c r="F80" s="380">
        <v>3680.14</v>
      </c>
    </row>
    <row r="81" spans="2:6" ht="15.75" thickBot="1" x14ac:dyDescent="0.3">
      <c r="B81" s="379" t="s">
        <v>944</v>
      </c>
      <c r="C81" s="378" t="s">
        <v>943</v>
      </c>
      <c r="D81" s="372" t="s">
        <v>938</v>
      </c>
      <c r="E81" s="377">
        <v>34</v>
      </c>
      <c r="F81" s="376">
        <v>3066.77</v>
      </c>
    </row>
    <row r="82" spans="2:6" x14ac:dyDescent="0.25">
      <c r="B82" s="857" t="s">
        <v>942</v>
      </c>
      <c r="C82" s="375" t="s">
        <v>941</v>
      </c>
      <c r="D82" s="374" t="s">
        <v>938</v>
      </c>
      <c r="E82" s="374">
        <v>15</v>
      </c>
      <c r="F82" s="854">
        <v>1533.39</v>
      </c>
    </row>
    <row r="83" spans="2:6" x14ac:dyDescent="0.25">
      <c r="B83" s="858"/>
      <c r="C83" s="7" t="s">
        <v>940</v>
      </c>
      <c r="D83" s="15" t="s">
        <v>938</v>
      </c>
      <c r="E83" s="15">
        <v>12</v>
      </c>
      <c r="F83" s="855"/>
    </row>
    <row r="84" spans="2:6" ht="15.75" thickBot="1" x14ac:dyDescent="0.3">
      <c r="B84" s="859"/>
      <c r="C84" s="373" t="s">
        <v>939</v>
      </c>
      <c r="D84" s="372" t="s">
        <v>938</v>
      </c>
      <c r="E84" s="372">
        <v>24</v>
      </c>
      <c r="F84" s="856"/>
    </row>
    <row r="85" spans="2:6" ht="15.75" thickBot="1" x14ac:dyDescent="0.3">
      <c r="B85" s="368" t="s">
        <v>937</v>
      </c>
      <c r="C85" s="367" t="s">
        <v>936</v>
      </c>
      <c r="D85" s="366" t="s">
        <v>933</v>
      </c>
      <c r="E85" s="366">
        <v>80</v>
      </c>
      <c r="F85" s="365">
        <v>1295.96</v>
      </c>
    </row>
    <row r="86" spans="2:6" x14ac:dyDescent="0.25">
      <c r="B86" s="860" t="s">
        <v>935</v>
      </c>
      <c r="C86" s="375" t="s">
        <v>934</v>
      </c>
      <c r="D86" s="374" t="s">
        <v>933</v>
      </c>
      <c r="E86" s="374">
        <v>38</v>
      </c>
      <c r="F86" s="854">
        <v>767.4</v>
      </c>
    </row>
    <row r="87" spans="2:6" ht="15.75" thickBot="1" x14ac:dyDescent="0.3">
      <c r="B87" s="862"/>
      <c r="C87" s="373" t="s">
        <v>933</v>
      </c>
      <c r="D87" s="372" t="s">
        <v>933</v>
      </c>
      <c r="E87" s="372">
        <v>12</v>
      </c>
      <c r="F87" s="856"/>
    </row>
    <row r="88" spans="2:6" x14ac:dyDescent="0.25">
      <c r="B88" t="s">
        <v>912</v>
      </c>
    </row>
    <row r="89" spans="2:6" x14ac:dyDescent="0.25">
      <c r="B89" t="s">
        <v>911</v>
      </c>
    </row>
    <row r="92" spans="2:6" x14ac:dyDescent="0.25">
      <c r="C92" s="2" t="s">
        <v>932</v>
      </c>
    </row>
    <row r="93" spans="2:6" ht="15.75" thickBot="1" x14ac:dyDescent="0.3"/>
    <row r="94" spans="2:6" ht="15.75" thickBot="1" x14ac:dyDescent="0.3">
      <c r="B94" s="371" t="s">
        <v>910</v>
      </c>
      <c r="C94" s="370" t="s">
        <v>909</v>
      </c>
      <c r="D94" s="370" t="s">
        <v>908</v>
      </c>
      <c r="E94" s="370" t="s">
        <v>907</v>
      </c>
      <c r="F94" s="369" t="s">
        <v>906</v>
      </c>
    </row>
    <row r="95" spans="2:6" x14ac:dyDescent="0.25">
      <c r="B95" s="860" t="s">
        <v>931</v>
      </c>
      <c r="C95" s="375" t="s">
        <v>930</v>
      </c>
      <c r="D95" s="374" t="s">
        <v>904</v>
      </c>
      <c r="E95" s="374">
        <v>1</v>
      </c>
      <c r="F95" s="854">
        <v>19168.099999999999</v>
      </c>
    </row>
    <row r="96" spans="2:6" x14ac:dyDescent="0.25">
      <c r="B96" s="861"/>
      <c r="C96" s="7" t="s">
        <v>929</v>
      </c>
      <c r="D96" s="15" t="s">
        <v>904</v>
      </c>
      <c r="E96" s="15">
        <v>1</v>
      </c>
      <c r="F96" s="855"/>
    </row>
    <row r="97" spans="2:6" ht="15.75" thickBot="1" x14ac:dyDescent="0.3">
      <c r="B97" s="862"/>
      <c r="C97" s="373" t="s">
        <v>928</v>
      </c>
      <c r="D97" s="372" t="s">
        <v>904</v>
      </c>
      <c r="E97" s="372">
        <v>8</v>
      </c>
      <c r="F97" s="856"/>
    </row>
    <row r="98" spans="2:6" x14ac:dyDescent="0.25">
      <c r="B98" s="860" t="s">
        <v>927</v>
      </c>
      <c r="C98" s="375" t="s">
        <v>926</v>
      </c>
      <c r="D98" s="374" t="s">
        <v>923</v>
      </c>
      <c r="E98" s="374">
        <v>8</v>
      </c>
      <c r="F98" s="854">
        <v>15333.91</v>
      </c>
    </row>
    <row r="99" spans="2:6" x14ac:dyDescent="0.25">
      <c r="B99" s="861"/>
      <c r="C99" s="7" t="s">
        <v>925</v>
      </c>
      <c r="D99" s="15" t="s">
        <v>923</v>
      </c>
      <c r="E99" s="15">
        <v>2</v>
      </c>
      <c r="F99" s="855"/>
    </row>
    <row r="100" spans="2:6" x14ac:dyDescent="0.25">
      <c r="B100" s="861"/>
      <c r="C100" s="7" t="s">
        <v>924</v>
      </c>
      <c r="D100" s="15" t="s">
        <v>923</v>
      </c>
      <c r="E100" s="15">
        <v>2</v>
      </c>
      <c r="F100" s="855"/>
    </row>
    <row r="101" spans="2:6" x14ac:dyDescent="0.25">
      <c r="B101" s="861"/>
      <c r="C101" s="7" t="s">
        <v>922</v>
      </c>
      <c r="D101" s="15" t="s">
        <v>904</v>
      </c>
      <c r="E101" s="15">
        <v>1</v>
      </c>
      <c r="F101" s="855"/>
    </row>
    <row r="102" spans="2:6" x14ac:dyDescent="0.25">
      <c r="B102" s="861"/>
      <c r="C102" s="7" t="s">
        <v>921</v>
      </c>
      <c r="D102" s="15" t="s">
        <v>904</v>
      </c>
      <c r="E102" s="15">
        <v>1</v>
      </c>
      <c r="F102" s="855"/>
    </row>
    <row r="103" spans="2:6" ht="15.75" thickBot="1" x14ac:dyDescent="0.3">
      <c r="B103" s="862"/>
      <c r="C103" s="7" t="s">
        <v>920</v>
      </c>
      <c r="D103" s="15" t="s">
        <v>904</v>
      </c>
      <c r="E103" s="15">
        <v>3</v>
      </c>
      <c r="F103" s="855"/>
    </row>
    <row r="104" spans="2:6" x14ac:dyDescent="0.25">
      <c r="B104" s="860" t="s">
        <v>919</v>
      </c>
      <c r="C104" s="375"/>
      <c r="D104" s="374"/>
      <c r="E104" s="374"/>
      <c r="F104" s="854">
        <v>5637.57</v>
      </c>
    </row>
    <row r="105" spans="2:6" x14ac:dyDescent="0.25">
      <c r="B105" s="861"/>
      <c r="C105" s="7" t="s">
        <v>918</v>
      </c>
      <c r="D105" s="15" t="s">
        <v>913</v>
      </c>
      <c r="E105" s="15">
        <v>2</v>
      </c>
      <c r="F105" s="855"/>
    </row>
    <row r="106" spans="2:6" ht="15.75" thickBot="1" x14ac:dyDescent="0.3">
      <c r="B106" s="862"/>
      <c r="C106" s="373" t="s">
        <v>917</v>
      </c>
      <c r="D106" s="372" t="s">
        <v>913</v>
      </c>
      <c r="E106" s="372">
        <v>6</v>
      </c>
      <c r="F106" s="856"/>
    </row>
    <row r="107" spans="2:6" x14ac:dyDescent="0.25">
      <c r="B107" s="860" t="s">
        <v>916</v>
      </c>
      <c r="C107" s="375" t="s">
        <v>915</v>
      </c>
      <c r="D107" s="375" t="s">
        <v>913</v>
      </c>
      <c r="E107" s="374">
        <v>2</v>
      </c>
      <c r="F107" s="854">
        <v>4792.37</v>
      </c>
    </row>
    <row r="108" spans="2:6" ht="15.75" thickBot="1" x14ac:dyDescent="0.3">
      <c r="B108" s="862"/>
      <c r="C108" s="373" t="s">
        <v>914</v>
      </c>
      <c r="D108" s="373" t="s">
        <v>913</v>
      </c>
      <c r="E108" s="372">
        <v>1</v>
      </c>
      <c r="F108" s="856"/>
    </row>
    <row r="109" spans="2:6" x14ac:dyDescent="0.25">
      <c r="B109" t="s">
        <v>912</v>
      </c>
    </row>
    <row r="110" spans="2:6" x14ac:dyDescent="0.25">
      <c r="B110" t="s">
        <v>911</v>
      </c>
    </row>
    <row r="111" spans="2:6" ht="15.75" thickBot="1" x14ac:dyDescent="0.3"/>
    <row r="112" spans="2:6" ht="15.75" thickBot="1" x14ac:dyDescent="0.3">
      <c r="B112" s="371" t="s">
        <v>910</v>
      </c>
      <c r="C112" s="370" t="s">
        <v>909</v>
      </c>
      <c r="D112" s="370" t="s">
        <v>908</v>
      </c>
      <c r="E112" s="370" t="s">
        <v>907</v>
      </c>
      <c r="F112" s="369" t="s">
        <v>906</v>
      </c>
    </row>
    <row r="113" spans="2:6" ht="15.75" thickBot="1" x14ac:dyDescent="0.3">
      <c r="B113" s="368"/>
      <c r="C113" s="367" t="s">
        <v>905</v>
      </c>
      <c r="D113" s="366" t="s">
        <v>904</v>
      </c>
      <c r="E113" s="366">
        <v>1</v>
      </c>
      <c r="F113" s="365">
        <v>31755.15</v>
      </c>
    </row>
  </sheetData>
  <mergeCells count="31">
    <mergeCell ref="M44:M45"/>
    <mergeCell ref="J44:K44"/>
    <mergeCell ref="I44:I45"/>
    <mergeCell ref="L44:L45"/>
    <mergeCell ref="F55:F61"/>
    <mergeCell ref="N44:N45"/>
    <mergeCell ref="F107:F108"/>
    <mergeCell ref="B98:B103"/>
    <mergeCell ref="B107:B108"/>
    <mergeCell ref="F98:F103"/>
    <mergeCell ref="B95:B97"/>
    <mergeCell ref="F95:F97"/>
    <mergeCell ref="B104:B106"/>
    <mergeCell ref="F104:F106"/>
    <mergeCell ref="F86:F87"/>
    <mergeCell ref="B86:B87"/>
    <mergeCell ref="I58:J58"/>
    <mergeCell ref="B45:B47"/>
    <mergeCell ref="F45:F47"/>
    <mergeCell ref="B49:B54"/>
    <mergeCell ref="F49:F54"/>
    <mergeCell ref="F82:F84"/>
    <mergeCell ref="B82:B84"/>
    <mergeCell ref="B62:B64"/>
    <mergeCell ref="B55:B61"/>
    <mergeCell ref="B65:B66"/>
    <mergeCell ref="F67:F69"/>
    <mergeCell ref="B67:B69"/>
    <mergeCell ref="F77:F78"/>
    <mergeCell ref="F62:F64"/>
    <mergeCell ref="F65:F6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workbookViewId="0">
      <selection activeCell="D15" sqref="D15"/>
    </sheetView>
  </sheetViews>
  <sheetFormatPr defaultRowHeight="15" x14ac:dyDescent="0.25"/>
  <cols>
    <col min="1" max="1" width="12.85546875" customWidth="1"/>
    <col min="2" max="2" width="20.7109375" customWidth="1"/>
    <col min="16" max="16" width="17.28515625" customWidth="1"/>
  </cols>
  <sheetData>
    <row r="1" spans="1:16" x14ac:dyDescent="0.25">
      <c r="A1" s="426" t="s">
        <v>1096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</row>
    <row r="2" spans="1:16" x14ac:dyDescent="0.25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</row>
    <row r="3" spans="1:16" ht="38.25" x14ac:dyDescent="0.25">
      <c r="A3" s="868" t="s">
        <v>1095</v>
      </c>
      <c r="B3" s="868"/>
      <c r="C3" s="424" t="s">
        <v>1094</v>
      </c>
      <c r="D3" s="423">
        <v>42005</v>
      </c>
      <c r="E3" s="423">
        <v>42036</v>
      </c>
      <c r="F3" s="423">
        <v>42064</v>
      </c>
      <c r="G3" s="423">
        <v>42095</v>
      </c>
      <c r="H3" s="423">
        <v>42125</v>
      </c>
      <c r="I3" s="423">
        <v>42156</v>
      </c>
      <c r="J3" s="423">
        <v>42186</v>
      </c>
      <c r="K3" s="423">
        <v>42217</v>
      </c>
      <c r="L3" s="423">
        <v>42248</v>
      </c>
      <c r="M3" s="423">
        <v>42278</v>
      </c>
      <c r="N3" s="423">
        <v>42309</v>
      </c>
      <c r="O3" s="423">
        <v>42339</v>
      </c>
      <c r="P3" s="422" t="s">
        <v>1093</v>
      </c>
    </row>
    <row r="4" spans="1:16" ht="76.5" customHeight="1" x14ac:dyDescent="0.25">
      <c r="A4" s="421" t="s">
        <v>1092</v>
      </c>
      <c r="B4" s="420" t="s">
        <v>1091</v>
      </c>
      <c r="C4" s="420" t="s">
        <v>1088</v>
      </c>
      <c r="D4" s="419">
        <v>1915.4</v>
      </c>
      <c r="E4" s="419">
        <v>1915.4</v>
      </c>
      <c r="F4" s="419">
        <v>2822.9</v>
      </c>
      <c r="G4" s="419">
        <v>8200.16</v>
      </c>
      <c r="H4" s="419">
        <v>12805.42</v>
      </c>
      <c r="I4" s="419">
        <v>26831.84</v>
      </c>
      <c r="J4" s="419">
        <v>27431.84</v>
      </c>
      <c r="K4" s="419">
        <v>27431.84</v>
      </c>
      <c r="L4" s="419">
        <v>27971.84</v>
      </c>
      <c r="M4" s="419">
        <v>27971.84</v>
      </c>
      <c r="N4" s="419">
        <v>28266.84</v>
      </c>
      <c r="O4" s="419">
        <v>28177.84</v>
      </c>
      <c r="P4" s="419">
        <f>SUM(D4:O4)</f>
        <v>221743.15999999997</v>
      </c>
    </row>
    <row r="5" spans="1:16" ht="66" customHeight="1" thickBot="1" x14ac:dyDescent="0.3">
      <c r="A5" s="418" t="s">
        <v>1090</v>
      </c>
      <c r="B5" s="417" t="s">
        <v>1089</v>
      </c>
      <c r="C5" s="417" t="s">
        <v>1088</v>
      </c>
      <c r="D5" s="416">
        <v>4008.84</v>
      </c>
      <c r="E5" s="416">
        <v>4008.84</v>
      </c>
      <c r="F5" s="416">
        <v>4272.2</v>
      </c>
      <c r="G5" s="416">
        <v>6595.92</v>
      </c>
      <c r="H5" s="416">
        <v>7363.48</v>
      </c>
      <c r="I5" s="416">
        <v>21157.98</v>
      </c>
      <c r="J5" s="416">
        <v>21430.99</v>
      </c>
      <c r="K5" s="416">
        <v>21430.99</v>
      </c>
      <c r="L5" s="416">
        <v>21430.99</v>
      </c>
      <c r="M5" s="416">
        <v>21430.99</v>
      </c>
      <c r="N5" s="416">
        <v>26119.32</v>
      </c>
      <c r="O5" s="416">
        <v>26119.32</v>
      </c>
      <c r="P5" s="416">
        <f>SUM(D5:O5)</f>
        <v>185369.86000000002</v>
      </c>
    </row>
    <row r="6" spans="1:16" x14ac:dyDescent="0.25">
      <c r="A6" s="869" t="s">
        <v>146</v>
      </c>
      <c r="B6" s="870"/>
      <c r="C6" s="871"/>
      <c r="D6" s="415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</row>
    <row r="7" spans="1:16" ht="15.75" thickBot="1" x14ac:dyDescent="0.3">
      <c r="A7" s="872"/>
      <c r="B7" s="873"/>
      <c r="C7" s="874"/>
      <c r="D7" s="413">
        <f t="shared" ref="D7:P7" si="0">SUM(D4:D6)</f>
        <v>5924.24</v>
      </c>
      <c r="E7" s="412">
        <f t="shared" si="0"/>
        <v>5924.24</v>
      </c>
      <c r="F7" s="412">
        <f t="shared" si="0"/>
        <v>7095.1</v>
      </c>
      <c r="G7" s="412">
        <f t="shared" si="0"/>
        <v>14796.08</v>
      </c>
      <c r="H7" s="412">
        <f t="shared" si="0"/>
        <v>20168.900000000001</v>
      </c>
      <c r="I7" s="412">
        <f t="shared" si="0"/>
        <v>47989.82</v>
      </c>
      <c r="J7" s="412">
        <f t="shared" si="0"/>
        <v>48862.83</v>
      </c>
      <c r="K7" s="412">
        <f t="shared" si="0"/>
        <v>48862.83</v>
      </c>
      <c r="L7" s="412">
        <f t="shared" si="0"/>
        <v>49402.83</v>
      </c>
      <c r="M7" s="412">
        <f t="shared" si="0"/>
        <v>49402.83</v>
      </c>
      <c r="N7" s="412">
        <f t="shared" si="0"/>
        <v>54386.16</v>
      </c>
      <c r="O7" s="412">
        <f t="shared" si="0"/>
        <v>54297.16</v>
      </c>
      <c r="P7" s="412">
        <f t="shared" si="0"/>
        <v>407113.02</v>
      </c>
    </row>
    <row r="8" spans="1:16" x14ac:dyDescent="0.25">
      <c r="A8" s="875" t="s">
        <v>1087</v>
      </c>
      <c r="B8" s="875"/>
      <c r="C8" s="411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</row>
    <row r="9" spans="1:16" ht="15.75" thickBot="1" x14ac:dyDescent="0.3"/>
    <row r="10" spans="1:16" ht="15.75" thickBot="1" x14ac:dyDescent="0.3">
      <c r="A10" s="409" t="s">
        <v>1086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7"/>
    </row>
  </sheetData>
  <mergeCells count="3">
    <mergeCell ref="A3:B3"/>
    <mergeCell ref="A6:C7"/>
    <mergeCell ref="A8:B8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showGridLines="0" workbookViewId="0">
      <selection activeCell="T15" sqref="T15"/>
    </sheetView>
  </sheetViews>
  <sheetFormatPr defaultRowHeight="15" x14ac:dyDescent="0.25"/>
  <cols>
    <col min="1" max="1" width="14.28515625" customWidth="1"/>
    <col min="2" max="2" width="24.42578125" customWidth="1"/>
    <col min="3" max="3" width="14.5703125" customWidth="1"/>
    <col min="15" max="15" width="12" customWidth="1"/>
    <col min="16" max="16" width="12.5703125" customWidth="1"/>
  </cols>
  <sheetData>
    <row r="2" spans="1:16" x14ac:dyDescent="0.25">
      <c r="A2" s="426" t="s">
        <v>1106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</row>
    <row r="3" spans="1:16" x14ac:dyDescent="0.25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1:16" ht="39" x14ac:dyDescent="0.25">
      <c r="A4" s="876" t="s">
        <v>1095</v>
      </c>
      <c r="B4" s="876"/>
      <c r="C4" s="434" t="s">
        <v>1094</v>
      </c>
      <c r="D4" s="433">
        <v>42370</v>
      </c>
      <c r="E4" s="433">
        <v>42401</v>
      </c>
      <c r="F4" s="433">
        <v>42430</v>
      </c>
      <c r="G4" s="433">
        <v>42461</v>
      </c>
      <c r="H4" s="433">
        <v>42491</v>
      </c>
      <c r="I4" s="433">
        <v>42522</v>
      </c>
      <c r="J4" s="433">
        <v>42552</v>
      </c>
      <c r="K4" s="432" t="s">
        <v>1105</v>
      </c>
      <c r="L4" s="432" t="s">
        <v>1105</v>
      </c>
      <c r="M4" s="432" t="s">
        <v>1105</v>
      </c>
      <c r="N4" s="432" t="s">
        <v>1104</v>
      </c>
      <c r="O4" s="432" t="s">
        <v>1103</v>
      </c>
      <c r="P4" s="431" t="s">
        <v>1102</v>
      </c>
    </row>
    <row r="5" spans="1:16" ht="54.75" customHeight="1" x14ac:dyDescent="0.25">
      <c r="A5" s="430" t="s">
        <v>1101</v>
      </c>
      <c r="B5" s="430" t="s">
        <v>1100</v>
      </c>
      <c r="C5" s="430" t="s">
        <v>1088</v>
      </c>
      <c r="D5" s="429">
        <v>1755</v>
      </c>
      <c r="E5" s="429">
        <v>1755</v>
      </c>
      <c r="F5" s="429">
        <v>1755</v>
      </c>
      <c r="G5" s="429">
        <v>1755</v>
      </c>
      <c r="H5" s="429">
        <v>1755</v>
      </c>
      <c r="I5" s="429">
        <v>1755</v>
      </c>
      <c r="J5" s="429">
        <v>2421.4</v>
      </c>
      <c r="K5" s="429">
        <f>AVERAGE(D5:J5)</f>
        <v>1850.2</v>
      </c>
      <c r="L5" s="429">
        <f>K5</f>
        <v>1850.2</v>
      </c>
      <c r="M5" s="429">
        <f>L5</f>
        <v>1850.2</v>
      </c>
      <c r="N5" s="429">
        <f>M5</f>
        <v>1850.2</v>
      </c>
      <c r="O5" s="429">
        <f>N5</f>
        <v>1850.2</v>
      </c>
      <c r="P5" s="429">
        <f>SUM(D5:O5)</f>
        <v>22202.400000000001</v>
      </c>
    </row>
    <row r="6" spans="1:16" x14ac:dyDescent="0.25">
      <c r="A6" s="428" t="s">
        <v>1099</v>
      </c>
      <c r="B6" s="428"/>
      <c r="C6" s="428"/>
      <c r="D6" s="428"/>
    </row>
    <row r="7" spans="1:16" ht="15.75" x14ac:dyDescent="0.3">
      <c r="A7" s="427" t="s">
        <v>1098</v>
      </c>
      <c r="B7" s="427"/>
    </row>
    <row r="9" spans="1:16" ht="15.75" thickBot="1" x14ac:dyDescent="0.3"/>
    <row r="10" spans="1:16" ht="15.75" thickBot="1" x14ac:dyDescent="0.3">
      <c r="A10" s="409" t="s">
        <v>1097</v>
      </c>
      <c r="B10" s="408"/>
      <c r="C10" s="408"/>
      <c r="D10" s="408"/>
      <c r="E10" s="408"/>
      <c r="F10" s="407"/>
      <c r="G10" s="18"/>
      <c r="H10" s="18"/>
      <c r="I10" s="18"/>
      <c r="J10" s="18"/>
      <c r="K10" s="18"/>
      <c r="L10" s="18"/>
      <c r="M10" s="18"/>
      <c r="N10" s="18"/>
      <c r="O10" s="18"/>
      <c r="P10" s="18"/>
    </row>
  </sheetData>
  <mergeCells count="1">
    <mergeCell ref="A4:B4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workbookViewId="0">
      <selection activeCell="P10" sqref="P10"/>
    </sheetView>
  </sheetViews>
  <sheetFormatPr defaultRowHeight="15" x14ac:dyDescent="0.25"/>
  <cols>
    <col min="1" max="1" width="14" customWidth="1"/>
    <col min="2" max="2" width="16.85546875" customWidth="1"/>
    <col min="3" max="3" width="15.42578125" customWidth="1"/>
    <col min="4" max="4" width="11.140625" customWidth="1"/>
    <col min="5" max="5" width="12.28515625" customWidth="1"/>
    <col min="6" max="6" width="12" customWidth="1"/>
    <col min="7" max="7" width="13" customWidth="1"/>
    <col min="8" max="8" width="12.140625" customWidth="1"/>
    <col min="9" max="9" width="12.28515625" customWidth="1"/>
    <col min="10" max="10" width="21.140625" customWidth="1"/>
    <col min="11" max="11" width="12.42578125" customWidth="1"/>
    <col min="12" max="13" width="11.85546875" customWidth="1"/>
    <col min="14" max="14" width="13" customWidth="1"/>
    <col min="15" max="15" width="13.85546875" customWidth="1"/>
    <col min="16" max="16" width="12.42578125" customWidth="1"/>
    <col min="17" max="17" width="14.7109375" hidden="1" customWidth="1"/>
    <col min="20" max="20" width="22" customWidth="1"/>
  </cols>
  <sheetData>
    <row r="1" spans="1:17" x14ac:dyDescent="0.25">
      <c r="A1" s="426" t="s">
        <v>1137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17" x14ac:dyDescent="0.25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3" spans="1:17" ht="25.5" x14ac:dyDescent="0.25">
      <c r="A3" s="877" t="s">
        <v>1095</v>
      </c>
      <c r="B3" s="877"/>
      <c r="C3" s="448" t="s">
        <v>1094</v>
      </c>
      <c r="D3" s="433">
        <v>42005</v>
      </c>
      <c r="E3" s="433">
        <v>42036</v>
      </c>
      <c r="F3" s="433">
        <v>42064</v>
      </c>
      <c r="G3" s="433">
        <v>42095</v>
      </c>
      <c r="H3" s="433">
        <v>42125</v>
      </c>
      <c r="I3" s="433">
        <v>42156</v>
      </c>
      <c r="J3" s="433">
        <v>42186</v>
      </c>
      <c r="K3" s="433">
        <v>42217</v>
      </c>
      <c r="L3" s="433">
        <v>42248</v>
      </c>
      <c r="M3" s="433">
        <v>42278</v>
      </c>
      <c r="N3" s="433">
        <v>42309</v>
      </c>
      <c r="O3" s="433">
        <v>42339</v>
      </c>
      <c r="P3" s="447" t="s">
        <v>1136</v>
      </c>
      <c r="Q3" s="425"/>
    </row>
    <row r="4" spans="1:17" ht="51" x14ac:dyDescent="0.25">
      <c r="A4" s="440" t="s">
        <v>1132</v>
      </c>
      <c r="B4" s="440" t="s">
        <v>1131</v>
      </c>
      <c r="C4" s="440" t="s">
        <v>1088</v>
      </c>
      <c r="D4" s="429">
        <v>22723.24</v>
      </c>
      <c r="E4" s="429">
        <v>35017.99</v>
      </c>
      <c r="F4" s="429">
        <v>213977.39</v>
      </c>
      <c r="G4" s="429">
        <v>262222.26</v>
      </c>
      <c r="H4" s="429">
        <v>307065.5</v>
      </c>
      <c r="I4" s="429">
        <v>368025.36</v>
      </c>
      <c r="J4" s="429">
        <v>420343.78</v>
      </c>
      <c r="K4" s="429">
        <v>459690.42</v>
      </c>
      <c r="L4" s="429">
        <v>567156.64</v>
      </c>
      <c r="M4" s="429">
        <v>646481.24</v>
      </c>
      <c r="N4" s="429">
        <v>726577.22</v>
      </c>
      <c r="O4" s="429">
        <v>801976.69</v>
      </c>
      <c r="P4" s="429">
        <f>SUM(D4:O4)</f>
        <v>4831257.7300000004</v>
      </c>
      <c r="Q4" s="425"/>
    </row>
    <row r="5" spans="1:17" ht="15.75" x14ac:dyDescent="0.3">
      <c r="A5" s="427" t="s">
        <v>1130</v>
      </c>
      <c r="B5" s="427"/>
      <c r="K5" s="446">
        <f>1-J4/K4</f>
        <v>8.5593778525991371E-2</v>
      </c>
      <c r="L5" s="446">
        <f>1-K4/L4</f>
        <v>0.189482432930698</v>
      </c>
      <c r="M5" s="446">
        <f>1-L4/M4</f>
        <v>0.12270209109238805</v>
      </c>
      <c r="N5" s="446">
        <f>1-M4/N4</f>
        <v>0.11023739500118102</v>
      </c>
      <c r="O5" s="446">
        <f>1-N4/O4</f>
        <v>9.4017034335499128E-2</v>
      </c>
    </row>
    <row r="7" spans="1:17" x14ac:dyDescent="0.25">
      <c r="A7" s="426" t="s">
        <v>1135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</row>
    <row r="8" spans="1:17" x14ac:dyDescent="0.25">
      <c r="A8" s="425"/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</row>
    <row r="9" spans="1:17" ht="26.25" x14ac:dyDescent="0.25">
      <c r="A9" s="878" t="s">
        <v>1095</v>
      </c>
      <c r="B9" s="878"/>
      <c r="C9" s="445" t="s">
        <v>1094</v>
      </c>
      <c r="D9" s="444">
        <v>42370</v>
      </c>
      <c r="E9" s="444">
        <v>42401</v>
      </c>
      <c r="F9" s="444">
        <v>42430</v>
      </c>
      <c r="G9" s="444">
        <v>42461</v>
      </c>
      <c r="H9" s="444">
        <v>42491</v>
      </c>
      <c r="I9" s="444">
        <v>42522</v>
      </c>
      <c r="J9" s="444">
        <v>42552</v>
      </c>
      <c r="K9" s="443" t="s">
        <v>1134</v>
      </c>
      <c r="L9" s="443" t="s">
        <v>1133</v>
      </c>
      <c r="M9" s="443" t="s">
        <v>1105</v>
      </c>
      <c r="N9" s="443" t="s">
        <v>1104</v>
      </c>
      <c r="O9" s="443" t="s">
        <v>1103</v>
      </c>
      <c r="P9" s="442" t="s">
        <v>9</v>
      </c>
      <c r="Q9" s="441" t="s">
        <v>9</v>
      </c>
    </row>
    <row r="10" spans="1:17" ht="51" x14ac:dyDescent="0.25">
      <c r="A10" s="440" t="s">
        <v>1132</v>
      </c>
      <c r="B10" s="440" t="s">
        <v>1131</v>
      </c>
      <c r="C10" s="440" t="s">
        <v>1088</v>
      </c>
      <c r="D10" s="429">
        <v>15461.74</v>
      </c>
      <c r="E10" s="429">
        <v>30923.48</v>
      </c>
      <c r="F10" s="429">
        <v>47885.22</v>
      </c>
      <c r="G10" s="429">
        <v>97784.43</v>
      </c>
      <c r="H10" s="429">
        <v>132186.54</v>
      </c>
      <c r="I10" s="429">
        <v>153352.32999999999</v>
      </c>
      <c r="J10" s="429">
        <v>169954.88</v>
      </c>
      <c r="K10" s="429">
        <f>J10*(1+K5)</f>
        <v>184501.96035813147</v>
      </c>
      <c r="L10" s="429">
        <f>K10*(1+L5)</f>
        <v>219461.84068727339</v>
      </c>
      <c r="M10" s="429">
        <f>L10*(1+M5)</f>
        <v>246390.2674545864</v>
      </c>
      <c r="N10" s="429">
        <f>M10*(1+N5)</f>
        <v>273551.68869242427</v>
      </c>
      <c r="O10" s="429">
        <f>N10*(1+O5)</f>
        <v>299270.20720075368</v>
      </c>
      <c r="P10" s="429">
        <f>SUM(D10:O10)</f>
        <v>1870724.5843931693</v>
      </c>
      <c r="Q10" s="439">
        <f>SUM(N10:P10)</f>
        <v>2443546.4802863472</v>
      </c>
    </row>
    <row r="11" spans="1:17" ht="15.75" x14ac:dyDescent="0.3">
      <c r="A11" s="427" t="s">
        <v>1130</v>
      </c>
      <c r="B11" s="427"/>
      <c r="C11" s="428"/>
      <c r="D11" s="428"/>
      <c r="E11" s="428"/>
    </row>
    <row r="12" spans="1:17" x14ac:dyDescent="0.25">
      <c r="A12" s="438" t="s">
        <v>1129</v>
      </c>
    </row>
    <row r="13" spans="1:17" ht="15.75" x14ac:dyDescent="0.3">
      <c r="A13" s="427"/>
      <c r="B13" s="427"/>
    </row>
    <row r="14" spans="1:17" x14ac:dyDescent="0.25">
      <c r="A14" s="438" t="s">
        <v>1128</v>
      </c>
      <c r="B14" s="438"/>
      <c r="C14" s="438"/>
      <c r="D14" s="438"/>
      <c r="E14" s="438"/>
      <c r="F14" s="438"/>
      <c r="G14" s="438"/>
      <c r="H14" s="438"/>
      <c r="I14" s="438"/>
    </row>
    <row r="15" spans="1:17" x14ac:dyDescent="0.25">
      <c r="A15" s="438" t="s">
        <v>1127</v>
      </c>
    </row>
    <row r="16" spans="1:17" x14ac:dyDescent="0.25">
      <c r="A16" s="438" t="s">
        <v>1126</v>
      </c>
    </row>
    <row r="17" spans="1:20" x14ac:dyDescent="0.25">
      <c r="A17" s="438" t="s">
        <v>1125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x14ac:dyDescent="0.25">
      <c r="A18" s="438" t="s">
        <v>1124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x14ac:dyDescent="0.25">
      <c r="A19" s="438" t="s">
        <v>1123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pans="1:20" x14ac:dyDescent="0.25">
      <c r="A20" s="435" t="s">
        <v>1122</v>
      </c>
      <c r="J20" s="49"/>
      <c r="K20" s="144"/>
      <c r="L20" s="49"/>
      <c r="M20" s="49"/>
      <c r="N20" s="49"/>
      <c r="O20" s="49"/>
      <c r="P20" s="49"/>
      <c r="Q20" s="49"/>
      <c r="R20" s="49"/>
      <c r="S20" s="49"/>
      <c r="T20" s="49"/>
    </row>
    <row r="21" spans="1:20" x14ac:dyDescent="0.25">
      <c r="A21" s="435" t="s">
        <v>1121</v>
      </c>
      <c r="C21" s="14"/>
      <c r="D21" s="14"/>
      <c r="E21" s="14"/>
      <c r="F21" s="14"/>
      <c r="G21" s="14"/>
      <c r="J21" s="436"/>
      <c r="K21" s="144"/>
      <c r="L21" s="49"/>
      <c r="M21" s="49"/>
      <c r="N21" s="49"/>
      <c r="O21" s="49"/>
      <c r="P21" s="49"/>
      <c r="Q21" s="49"/>
      <c r="R21" s="49"/>
      <c r="S21" s="49"/>
      <c r="T21" s="49"/>
    </row>
    <row r="22" spans="1:20" x14ac:dyDescent="0.25">
      <c r="A22" s="435" t="s">
        <v>1120</v>
      </c>
      <c r="C22" s="14"/>
      <c r="D22" s="14"/>
      <c r="E22" s="14"/>
      <c r="F22" s="14"/>
      <c r="G22" s="14"/>
      <c r="J22" s="49"/>
      <c r="K22" s="144"/>
      <c r="L22" s="49"/>
      <c r="M22" s="49"/>
      <c r="N22" s="49"/>
      <c r="O22" s="49"/>
      <c r="P22" s="49"/>
      <c r="Q22" s="49"/>
      <c r="R22" s="49"/>
      <c r="S22" s="49"/>
      <c r="T22" s="49"/>
    </row>
    <row r="23" spans="1:20" x14ac:dyDescent="0.25">
      <c r="A23" s="435" t="s">
        <v>1119</v>
      </c>
      <c r="C23" s="14"/>
      <c r="D23" s="14"/>
      <c r="E23" s="14"/>
      <c r="F23" s="14"/>
      <c r="G23" s="14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 x14ac:dyDescent="0.25">
      <c r="A24" s="435" t="s">
        <v>1118</v>
      </c>
      <c r="C24" s="14"/>
      <c r="D24" s="14"/>
      <c r="E24" s="14"/>
      <c r="F24" s="14"/>
      <c r="G24" s="14"/>
      <c r="J24" s="49"/>
      <c r="K24" s="144"/>
      <c r="L24" s="49"/>
      <c r="M24" s="49"/>
      <c r="N24" s="49"/>
      <c r="O24" s="49"/>
      <c r="P24" s="49"/>
      <c r="Q24" s="49"/>
      <c r="R24" s="49"/>
      <c r="S24" s="49"/>
      <c r="T24" s="49"/>
    </row>
    <row r="25" spans="1:20" x14ac:dyDescent="0.25">
      <c r="A25" s="435" t="s">
        <v>1117</v>
      </c>
      <c r="C25" s="14"/>
      <c r="D25" s="14"/>
      <c r="E25" s="14"/>
      <c r="F25" s="14"/>
      <c r="G25" s="14"/>
      <c r="J25" s="49"/>
      <c r="K25" s="144"/>
      <c r="L25" s="49"/>
      <c r="M25" s="49"/>
      <c r="N25" s="49"/>
      <c r="O25" s="49"/>
      <c r="P25" s="49"/>
      <c r="Q25" s="49"/>
      <c r="R25" s="49"/>
      <c r="S25" s="49"/>
      <c r="T25" s="49"/>
    </row>
    <row r="26" spans="1:20" x14ac:dyDescent="0.25">
      <c r="A26" s="435" t="s">
        <v>1116</v>
      </c>
      <c r="C26" s="14"/>
      <c r="D26" s="14"/>
      <c r="E26" s="14"/>
      <c r="F26" s="14"/>
      <c r="G26" s="14"/>
      <c r="J26" s="49"/>
      <c r="K26" s="144"/>
      <c r="L26" s="49"/>
      <c r="M26" s="49"/>
      <c r="N26" s="49"/>
      <c r="O26" s="49"/>
      <c r="P26" s="49"/>
      <c r="Q26" s="49"/>
      <c r="R26" s="49"/>
      <c r="S26" s="49"/>
      <c r="T26" s="49"/>
    </row>
    <row r="27" spans="1:20" x14ac:dyDescent="0.25">
      <c r="A27" s="435" t="s">
        <v>1115</v>
      </c>
      <c r="C27" s="14"/>
      <c r="D27" s="14"/>
      <c r="E27" s="14"/>
      <c r="F27" s="14"/>
      <c r="G27" s="14"/>
      <c r="J27" s="437"/>
      <c r="K27" s="144"/>
      <c r="L27" s="49"/>
      <c r="M27" s="49"/>
      <c r="N27" s="49"/>
      <c r="O27" s="49"/>
      <c r="P27" s="49"/>
      <c r="Q27" s="49"/>
      <c r="R27" s="49"/>
      <c r="S27" s="49"/>
      <c r="T27" s="49"/>
    </row>
    <row r="28" spans="1:20" x14ac:dyDescent="0.25">
      <c r="A28" s="435" t="s">
        <v>1114</v>
      </c>
      <c r="C28" s="14"/>
      <c r="D28" s="14"/>
      <c r="E28" s="14"/>
      <c r="F28" s="14"/>
      <c r="G28" s="14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20" x14ac:dyDescent="0.25">
      <c r="A29" s="435" t="s">
        <v>1113</v>
      </c>
      <c r="C29" s="14"/>
      <c r="D29" s="14"/>
      <c r="E29" s="14"/>
      <c r="F29" s="14"/>
      <c r="G29" s="14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 x14ac:dyDescent="0.25">
      <c r="A30" s="435" t="s">
        <v>1112</v>
      </c>
      <c r="C30" s="14"/>
      <c r="D30" s="14"/>
      <c r="E30" s="14"/>
      <c r="F30" s="14"/>
      <c r="G30" s="14"/>
      <c r="J30" s="436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 x14ac:dyDescent="0.25">
      <c r="A31" s="435" t="s">
        <v>1111</v>
      </c>
      <c r="C31" s="14"/>
      <c r="D31" s="14"/>
      <c r="E31" s="14"/>
      <c r="F31" s="14"/>
      <c r="G31" s="14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20" x14ac:dyDescent="0.25">
      <c r="A32" s="435" t="s">
        <v>1110</v>
      </c>
      <c r="C32" s="14"/>
      <c r="D32" s="14"/>
      <c r="E32" s="14"/>
      <c r="F32" s="14"/>
      <c r="G32" s="14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 x14ac:dyDescent="0.25">
      <c r="A33" s="435" t="s">
        <v>1109</v>
      </c>
      <c r="C33" s="14"/>
      <c r="D33" s="14"/>
      <c r="E33" s="14"/>
      <c r="F33" s="14"/>
      <c r="G33" s="14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x14ac:dyDescent="0.25">
      <c r="A34" s="435" t="s">
        <v>1108</v>
      </c>
      <c r="C34" s="14"/>
      <c r="D34" s="14"/>
      <c r="E34" s="14"/>
      <c r="F34" s="14"/>
      <c r="G34" s="14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x14ac:dyDescent="0.25">
      <c r="A35" s="435" t="s">
        <v>1107</v>
      </c>
      <c r="C35" s="14"/>
      <c r="D35" s="14"/>
      <c r="E35" s="14"/>
      <c r="F35" s="14"/>
      <c r="G35" s="14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0" x14ac:dyDescent="0.25">
      <c r="C36" s="14"/>
      <c r="D36" s="14"/>
      <c r="E36" s="14"/>
      <c r="F36" s="14"/>
      <c r="G36" s="14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0" x14ac:dyDescent="0.25">
      <c r="B37" s="14"/>
      <c r="C37" s="14"/>
      <c r="D37" s="14"/>
      <c r="E37" s="14"/>
      <c r="F37" s="14"/>
      <c r="G37" s="14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1:20" x14ac:dyDescent="0.25"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x14ac:dyDescent="0.25">
      <c r="A39" s="18"/>
      <c r="B39" s="18"/>
      <c r="C39" s="18"/>
      <c r="D39" s="18"/>
      <c r="E39" s="18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 x14ac:dyDescent="0.25">
      <c r="A40" s="18"/>
      <c r="B40" s="18"/>
      <c r="C40" s="18"/>
      <c r="D40" s="18"/>
      <c r="E40" s="1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  <row r="41" spans="1:20" x14ac:dyDescent="0.25">
      <c r="A41" s="18"/>
      <c r="B41" s="18"/>
      <c r="C41" s="18"/>
      <c r="D41" s="18"/>
      <c r="E41" s="18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x14ac:dyDescent="0.25">
      <c r="A42" s="18"/>
      <c r="B42" s="18"/>
      <c r="C42" s="18"/>
      <c r="D42" s="18"/>
      <c r="E42" s="18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x14ac:dyDescent="0.25">
      <c r="A43" s="18"/>
      <c r="B43" s="18"/>
      <c r="C43" s="18"/>
      <c r="D43" s="18"/>
      <c r="E43" s="18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x14ac:dyDescent="0.25">
      <c r="A44" s="18"/>
      <c r="B44" s="18"/>
      <c r="C44" s="18"/>
      <c r="D44" s="18"/>
      <c r="E44" s="18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</row>
    <row r="45" spans="1:20" x14ac:dyDescent="0.25">
      <c r="A45" s="18"/>
      <c r="B45" s="18"/>
      <c r="C45" s="18"/>
      <c r="D45" s="18"/>
      <c r="E45" s="18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1:20" x14ac:dyDescent="0.25">
      <c r="A46" s="18"/>
      <c r="B46" s="18"/>
      <c r="C46" s="18"/>
      <c r="D46" s="18"/>
      <c r="E46" s="18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</row>
    <row r="47" spans="1:20" x14ac:dyDescent="0.25">
      <c r="A47" s="18"/>
      <c r="B47" s="18"/>
      <c r="C47" s="18"/>
      <c r="D47" s="18"/>
      <c r="E47" s="18"/>
    </row>
    <row r="48" spans="1:20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</sheetData>
  <mergeCells count="2">
    <mergeCell ref="A3:B3"/>
    <mergeCell ref="A9:B9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zoomScale="140" zoomScaleNormal="140" workbookViewId="0">
      <selection activeCell="E14" sqref="E14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546" t="s">
        <v>41</v>
      </c>
      <c r="C2" s="546" t="s">
        <v>1234</v>
      </c>
    </row>
    <row r="3" spans="2:9" ht="33" customHeight="1" x14ac:dyDescent="0.25">
      <c r="B3" s="7" t="s">
        <v>1230</v>
      </c>
      <c r="C3" s="11">
        <f>C4+C8</f>
        <v>3232514.9797880324</v>
      </c>
      <c r="E3" s="506" t="s">
        <v>1178</v>
      </c>
      <c r="F3" s="506" t="s">
        <v>1179</v>
      </c>
      <c r="G3" s="506" t="s">
        <v>1180</v>
      </c>
      <c r="H3" s="506" t="s">
        <v>1181</v>
      </c>
      <c r="I3" s="547" t="s">
        <v>1228</v>
      </c>
    </row>
    <row r="4" spans="2:9" x14ac:dyDescent="0.25">
      <c r="B4" s="7" t="s">
        <v>1227</v>
      </c>
      <c r="C4" s="548">
        <f>C5*C6*C7</f>
        <v>1911969.8621036941</v>
      </c>
      <c r="E4" s="507">
        <f>'Anexo 2_CF_CV Energia Elétrica'!K3</f>
        <v>749401.36067134817</v>
      </c>
      <c r="F4" s="459">
        <v>153.66</v>
      </c>
      <c r="G4" s="507">
        <f>E4*F4</f>
        <v>115153013.08075936</v>
      </c>
      <c r="H4" s="507">
        <f>G4/(1-0.25)-G4</f>
        <v>38384337.693586454</v>
      </c>
      <c r="I4" s="12">
        <f>G4+H4</f>
        <v>153537350.77434582</v>
      </c>
    </row>
    <row r="5" spans="2:9" x14ac:dyDescent="0.25">
      <c r="B5" s="7" t="s">
        <v>1232</v>
      </c>
      <c r="C5" s="527">
        <f>Tarifa!G3+Tarifa!G4+Tarifa!G6+Tarifa!G8</f>
        <v>95598493.105184704</v>
      </c>
      <c r="E5" s="507">
        <f>E4</f>
        <v>749401.36067134817</v>
      </c>
      <c r="F5" s="459">
        <v>240.9</v>
      </c>
      <c r="G5" s="507">
        <f>E5*F5</f>
        <v>180530787.78572777</v>
      </c>
      <c r="H5" s="507">
        <f>G5/(1-0.25)-G5</f>
        <v>60176929.261909246</v>
      </c>
      <c r="I5" s="12">
        <f>G5+H5</f>
        <v>240707717.04763702</v>
      </c>
    </row>
    <row r="6" spans="2:9" x14ac:dyDescent="0.25">
      <c r="B6" s="7" t="s">
        <v>1231</v>
      </c>
      <c r="C6" s="549">
        <v>0.02</v>
      </c>
    </row>
    <row r="7" spans="2:9" x14ac:dyDescent="0.25">
      <c r="B7" s="7" t="s">
        <v>22</v>
      </c>
      <c r="C7" s="307">
        <v>1</v>
      </c>
    </row>
    <row r="8" spans="2:9" x14ac:dyDescent="0.25">
      <c r="B8" s="7" t="s">
        <v>1229</v>
      </c>
      <c r="C8" s="307">
        <f>IF(C9&lt;0,0,C9)</f>
        <v>1320545.117684338</v>
      </c>
    </row>
    <row r="9" spans="2:9" x14ac:dyDescent="0.25">
      <c r="B9" s="695" t="s">
        <v>1328</v>
      </c>
      <c r="C9" s="548">
        <f>(C10-C11)*C12</f>
        <v>1320545.117684338</v>
      </c>
    </row>
    <row r="10" spans="2:9" x14ac:dyDescent="0.25">
      <c r="B10" s="7" t="s">
        <v>1233</v>
      </c>
      <c r="C10" s="12">
        <f>I5</f>
        <v>240707717.04763702</v>
      </c>
    </row>
    <row r="11" spans="2:9" x14ac:dyDescent="0.25">
      <c r="B11" s="7" t="s">
        <v>1228</v>
      </c>
      <c r="C11" s="12">
        <f>'Anexo 2_CF_CV Energia Elétrica'!M3+'Anexo 2_CF_CV Energia Elétrica'!N3</f>
        <v>174680461.16342011</v>
      </c>
    </row>
    <row r="12" spans="2:9" x14ac:dyDescent="0.25">
      <c r="B12" s="7" t="s">
        <v>23</v>
      </c>
      <c r="C12" s="539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2"/>
  <sheetViews>
    <sheetView showGridLines="0" zoomScale="120" zoomScaleNormal="120" workbookViewId="0">
      <selection activeCell="F27" sqref="F27"/>
    </sheetView>
  </sheetViews>
  <sheetFormatPr defaultRowHeight="15" x14ac:dyDescent="0.25"/>
  <cols>
    <col min="2" max="2" width="40.5703125" bestFit="1" customWidth="1"/>
    <col min="3" max="3" width="14.85546875" bestFit="1" customWidth="1"/>
    <col min="4" max="4" width="15.7109375" customWidth="1"/>
    <col min="5" max="5" width="19.28515625" style="535" customWidth="1"/>
    <col min="6" max="6" width="16" customWidth="1"/>
    <col min="7" max="7" width="16.140625" bestFit="1" customWidth="1"/>
    <col min="8" max="8" width="11.85546875" bestFit="1" customWidth="1"/>
  </cols>
  <sheetData>
    <row r="3" spans="2:6" ht="15.75" thickBot="1" x14ac:dyDescent="0.3">
      <c r="C3" s="4"/>
    </row>
    <row r="4" spans="2:6" ht="15.75" thickBot="1" x14ac:dyDescent="0.3">
      <c r="B4" s="879" t="s">
        <v>422</v>
      </c>
      <c r="C4" s="880"/>
      <c r="D4" s="880"/>
      <c r="E4" s="661" t="s">
        <v>1223</v>
      </c>
    </row>
    <row r="5" spans="2:6" ht="15.75" thickBot="1" x14ac:dyDescent="0.3">
      <c r="B5" s="681" t="s">
        <v>1196</v>
      </c>
      <c r="C5" s="682" t="s">
        <v>1197</v>
      </c>
      <c r="D5" s="683" t="s">
        <v>1201</v>
      </c>
      <c r="E5" s="684" t="s">
        <v>1197</v>
      </c>
    </row>
    <row r="6" spans="2:6" ht="15.75" thickBot="1" x14ac:dyDescent="0.3">
      <c r="B6" s="881" t="s">
        <v>1327</v>
      </c>
      <c r="C6" s="882"/>
      <c r="D6" s="882"/>
      <c r="E6" s="883"/>
    </row>
    <row r="7" spans="2:6" ht="15.75" thickBot="1" x14ac:dyDescent="0.3">
      <c r="B7" s="686" t="s">
        <v>1198</v>
      </c>
      <c r="C7" s="520">
        <f>'Anexo 3_CF_O&amp;M'!C5</f>
        <v>59582675.238323562</v>
      </c>
      <c r="D7" s="543">
        <f>C7/$C$17</f>
        <v>0.46333219995145514</v>
      </c>
      <c r="E7" s="685">
        <f>'Anexo 3_CF_O&amp;M'!E25</f>
        <v>86605392.910000011</v>
      </c>
      <c r="F7" s="691"/>
    </row>
    <row r="8" spans="2:6" ht="15.75" thickBot="1" x14ac:dyDescent="0.3">
      <c r="B8" s="686" t="s">
        <v>1200</v>
      </c>
      <c r="C8" s="520">
        <f>'Anexo 5_CF_FRA_valores MI'!B6</f>
        <v>18784827.122308619</v>
      </c>
      <c r="D8" s="543">
        <f>C8/$C$17</f>
        <v>0.14607627538497719</v>
      </c>
      <c r="E8" s="662">
        <f>46540000</f>
        <v>46540000</v>
      </c>
      <c r="F8" s="691"/>
    </row>
    <row r="9" spans="2:6" ht="15.75" thickBot="1" x14ac:dyDescent="0.3">
      <c r="B9" s="686" t="s">
        <v>1199</v>
      </c>
      <c r="C9" s="520">
        <v>11959429.439999999</v>
      </c>
      <c r="D9" s="543">
        <f>C9/$C$17</f>
        <v>9.2999999252052851E-2</v>
      </c>
      <c r="E9" s="662">
        <v>11923761.6</v>
      </c>
      <c r="F9" s="691"/>
    </row>
    <row r="10" spans="2:6" ht="15.75" thickBot="1" x14ac:dyDescent="0.3">
      <c r="B10" s="686" t="s">
        <v>1204</v>
      </c>
      <c r="C10" s="520">
        <f>Tarifa!G9</f>
        <v>1911969.8621036941</v>
      </c>
      <c r="D10" s="543">
        <f>C10/$C$17</f>
        <v>1.4868033348720618E-2</v>
      </c>
      <c r="E10" s="662">
        <v>10311617.34</v>
      </c>
      <c r="F10" s="691"/>
    </row>
    <row r="11" spans="2:6" ht="15.75" thickBot="1" x14ac:dyDescent="0.3">
      <c r="B11" s="686" t="s">
        <v>6</v>
      </c>
      <c r="C11" s="520">
        <v>0</v>
      </c>
      <c r="D11" s="543">
        <v>0</v>
      </c>
      <c r="E11" s="663">
        <v>930800</v>
      </c>
      <c r="F11" s="691"/>
    </row>
    <row r="12" spans="2:6" ht="15.75" thickBot="1" x14ac:dyDescent="0.3">
      <c r="B12" s="686" t="s">
        <v>1203</v>
      </c>
      <c r="C12" s="520">
        <f>Tarifa!G8</f>
        <v>2108614.785343864</v>
      </c>
      <c r="D12" s="543">
        <f>C12/$C$17</f>
        <v>1.6397201425342157E-2</v>
      </c>
      <c r="E12" s="662">
        <v>5651536.6100000003</v>
      </c>
      <c r="F12" s="691"/>
    </row>
    <row r="13" spans="2:6" ht="15.75" thickBot="1" x14ac:dyDescent="0.3">
      <c r="B13" s="680" t="s">
        <v>0</v>
      </c>
      <c r="C13" s="520">
        <f>'Anexo 4_Custos Ambiental'!C17</f>
        <v>19439789.75018796</v>
      </c>
      <c r="D13" s="543">
        <f>C13/$C$17</f>
        <v>0.15116945513978841</v>
      </c>
      <c r="E13" s="662">
        <v>20825808.620000001</v>
      </c>
      <c r="F13" s="691"/>
    </row>
    <row r="14" spans="2:6" ht="15.75" thickBot="1" x14ac:dyDescent="0.3">
      <c r="B14" s="680" t="s">
        <v>1</v>
      </c>
      <c r="C14" s="520">
        <f>'Anexo 6_Desp Adm'!B21</f>
        <v>14467413.33132932</v>
      </c>
      <c r="D14" s="543">
        <f>C14/$C$17</f>
        <v>0.11250281091944518</v>
      </c>
      <c r="E14" s="662">
        <f>15772277.34</f>
        <v>15772277.34</v>
      </c>
      <c r="F14" s="691"/>
    </row>
    <row r="15" spans="2:6" ht="15.75" thickBot="1" x14ac:dyDescent="0.3">
      <c r="B15" s="680" t="s">
        <v>1224</v>
      </c>
      <c r="C15" s="520">
        <v>0</v>
      </c>
      <c r="D15" s="543">
        <v>0</v>
      </c>
      <c r="E15" s="663">
        <v>0</v>
      </c>
      <c r="F15" s="691"/>
    </row>
    <row r="16" spans="2:6" ht="15.75" thickBot="1" x14ac:dyDescent="0.3">
      <c r="B16" s="680" t="s">
        <v>82</v>
      </c>
      <c r="C16" s="520">
        <f>'Anexo 3_CF_O&amp;M'!C39</f>
        <v>341296.98849999998</v>
      </c>
      <c r="D16" s="543">
        <f>C16/$C$17</f>
        <v>2.6540245782183309E-3</v>
      </c>
      <c r="E16" s="687">
        <v>117451.75</v>
      </c>
      <c r="F16" s="691"/>
    </row>
    <row r="17" spans="2:7" ht="15.75" thickBot="1" x14ac:dyDescent="0.3">
      <c r="B17" s="521" t="s">
        <v>9</v>
      </c>
      <c r="C17" s="522">
        <f>SUM(C7:C16)</f>
        <v>128596016.51809703</v>
      </c>
      <c r="D17" s="545">
        <f>SUM(D7:D16)</f>
        <v>0.99999999999999989</v>
      </c>
      <c r="E17" s="666">
        <f>SUM(E7:E16)</f>
        <v>198678646.17000005</v>
      </c>
      <c r="G17" s="3"/>
    </row>
    <row r="18" spans="2:7" ht="4.5" customHeight="1" thickBot="1" x14ac:dyDescent="0.3">
      <c r="B18" s="44"/>
      <c r="C18" s="18"/>
      <c r="D18" s="18"/>
      <c r="E18" s="664"/>
    </row>
    <row r="19" spans="2:7" ht="15.75" thickBot="1" x14ac:dyDescent="0.3">
      <c r="B19" s="517" t="s">
        <v>1196</v>
      </c>
      <c r="C19" s="518" t="s">
        <v>1197</v>
      </c>
      <c r="D19" s="544" t="s">
        <v>1201</v>
      </c>
      <c r="E19" s="517" t="s">
        <v>1197</v>
      </c>
    </row>
    <row r="20" spans="2:7" ht="15.75" thickBot="1" x14ac:dyDescent="0.3">
      <c r="B20" s="519" t="s">
        <v>1202</v>
      </c>
      <c r="C20" s="520">
        <f>Tarifa!G16</f>
        <v>189357122.14083573</v>
      </c>
      <c r="D20" s="543">
        <f>C20/C22</f>
        <v>0.99307446363976148</v>
      </c>
      <c r="E20" s="662">
        <v>327213837.97000003</v>
      </c>
      <c r="F20" s="3"/>
    </row>
    <row r="21" spans="2:7" ht="15.75" thickBot="1" x14ac:dyDescent="0.3">
      <c r="B21" s="519" t="s">
        <v>1205</v>
      </c>
      <c r="C21" s="520">
        <f>Tarifa!G17</f>
        <v>1320545.117684338</v>
      </c>
      <c r="D21" s="543">
        <f>C21/C22</f>
        <v>6.9255363602384956E-3</v>
      </c>
      <c r="E21" s="662" t="s">
        <v>1326</v>
      </c>
    </row>
    <row r="22" spans="2:7" ht="15.75" thickBot="1" x14ac:dyDescent="0.3">
      <c r="B22" s="521" t="s">
        <v>9</v>
      </c>
      <c r="C22" s="522">
        <f>SUM(C20:C21)</f>
        <v>190677667.25852007</v>
      </c>
      <c r="D22" s="545">
        <f>SUM(D20:D21)</f>
        <v>1</v>
      </c>
      <c r="E22" s="665">
        <f>SUM(E20:E21)</f>
        <v>327213837.97000003</v>
      </c>
    </row>
  </sheetData>
  <mergeCells count="2">
    <mergeCell ref="B4:D4"/>
    <mergeCell ref="B6:E6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showGridLines="0" workbookViewId="0">
      <selection activeCell="A2" sqref="A2:E14"/>
    </sheetView>
  </sheetViews>
  <sheetFormatPr defaultRowHeight="15" x14ac:dyDescent="0.25"/>
  <cols>
    <col min="1" max="1" width="31" bestFit="1" customWidth="1"/>
    <col min="2" max="2" width="19.5703125" bestFit="1" customWidth="1"/>
    <col min="3" max="3" width="28.42578125" bestFit="1" customWidth="1"/>
    <col min="4" max="4" width="8.42578125" bestFit="1" customWidth="1"/>
    <col min="5" max="5" width="83.140625" bestFit="1" customWidth="1"/>
  </cols>
  <sheetData>
    <row r="2" s="16" customFormat="1" x14ac:dyDescent="0.25"/>
    <row r="13" s="2" customFormat="1" x14ac:dyDescent="0.25"/>
    <row r="14" s="2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showGridLines="0" workbookViewId="0">
      <selection activeCell="A36" sqref="A36:E36"/>
    </sheetView>
  </sheetViews>
  <sheetFormatPr defaultRowHeight="15" x14ac:dyDescent="0.25"/>
  <cols>
    <col min="2" max="2" width="57" bestFit="1" customWidth="1"/>
    <col min="3" max="3" width="22.7109375" customWidth="1"/>
    <col min="9" max="9" width="11.7109375" bestFit="1" customWidth="1"/>
  </cols>
  <sheetData>
    <row r="1" spans="2:3" ht="15" customHeight="1" x14ac:dyDescent="0.25"/>
    <row r="2" spans="2:3" ht="15.75" thickBot="1" x14ac:dyDescent="0.3"/>
    <row r="3" spans="2:3" x14ac:dyDescent="0.25">
      <c r="B3" s="47" t="s">
        <v>615</v>
      </c>
      <c r="C3" s="45">
        <f>'Anexo 4_Custos Ambiental'!I34</f>
        <v>11370282.767475</v>
      </c>
    </row>
    <row r="4" spans="2:3" x14ac:dyDescent="0.25">
      <c r="B4" s="44" t="s">
        <v>614</v>
      </c>
      <c r="C4" s="43">
        <f>'Anexo 4_Custos Ambiental'!I40</f>
        <v>32880</v>
      </c>
    </row>
    <row r="5" spans="2:3" x14ac:dyDescent="0.25">
      <c r="B5" s="44" t="s">
        <v>311</v>
      </c>
      <c r="C5" s="43">
        <f>'Anexo 4_Custos Ambiental'!I45</f>
        <v>200760</v>
      </c>
    </row>
    <row r="6" spans="2:3" x14ac:dyDescent="0.25">
      <c r="B6" s="44" t="s">
        <v>613</v>
      </c>
      <c r="C6" s="43">
        <f>'Anexo 4_Custos Ambiental'!I49</f>
        <v>261482.4</v>
      </c>
    </row>
    <row r="7" spans="2:3" x14ac:dyDescent="0.25">
      <c r="B7" s="44" t="s">
        <v>612</v>
      </c>
      <c r="C7" s="43">
        <f>'Anexo 4_Custos Ambiental'!I60</f>
        <v>170276.16</v>
      </c>
    </row>
    <row r="8" spans="2:3" x14ac:dyDescent="0.25">
      <c r="B8" s="44" t="s">
        <v>611</v>
      </c>
      <c r="C8" s="43">
        <f>'Anexo 4_Custos Ambiental'!I71</f>
        <v>31569.64</v>
      </c>
    </row>
    <row r="9" spans="2:3" x14ac:dyDescent="0.25">
      <c r="B9" s="44" t="s">
        <v>610</v>
      </c>
      <c r="C9" s="43">
        <f>'Anexo 4_Custos Ambiental'!I79</f>
        <v>89475</v>
      </c>
    </row>
    <row r="10" spans="2:3" x14ac:dyDescent="0.25">
      <c r="B10" s="44" t="s">
        <v>609</v>
      </c>
      <c r="C10" s="43">
        <f>'Anexo 4_Custos Ambiental'!I86</f>
        <v>138840</v>
      </c>
    </row>
    <row r="11" spans="2:3" x14ac:dyDescent="0.25">
      <c r="B11" s="44" t="s">
        <v>608</v>
      </c>
      <c r="C11" s="43">
        <f>'Anexo 4_Custos Ambiental'!I99</f>
        <v>489600</v>
      </c>
    </row>
    <row r="12" spans="2:3" x14ac:dyDescent="0.25">
      <c r="B12" s="44" t="s">
        <v>607</v>
      </c>
      <c r="C12" s="43">
        <f>'Anexo 4_Custos Ambiental'!I114</f>
        <v>2722500</v>
      </c>
    </row>
    <row r="13" spans="2:3" x14ac:dyDescent="0.25">
      <c r="B13" s="44" t="s">
        <v>606</v>
      </c>
      <c r="C13" s="43">
        <f>SUM(C3:C12)</f>
        <v>15507665.967475001</v>
      </c>
    </row>
    <row r="14" spans="2:3" x14ac:dyDescent="0.25">
      <c r="B14" s="44" t="s">
        <v>605</v>
      </c>
      <c r="C14" s="43">
        <f>C13*10%</f>
        <v>1550766.5967475001</v>
      </c>
    </row>
    <row r="15" spans="2:3" x14ac:dyDescent="0.25">
      <c r="B15" s="44" t="s">
        <v>604</v>
      </c>
      <c r="C15" s="43">
        <f>C13+C14</f>
        <v>17058432.5642225</v>
      </c>
    </row>
    <row r="16" spans="2:3" x14ac:dyDescent="0.25">
      <c r="B16" s="44" t="s">
        <v>603</v>
      </c>
      <c r="C16" s="43">
        <f>0.1396*C15</f>
        <v>2381357.1859654612</v>
      </c>
    </row>
    <row r="17" spans="1:12" ht="15.75" thickBot="1" x14ac:dyDescent="0.3">
      <c r="B17" s="288" t="s">
        <v>9</v>
      </c>
      <c r="C17" s="289">
        <f>C15+C16</f>
        <v>19439789.75018796</v>
      </c>
    </row>
    <row r="18" spans="1:12" x14ac:dyDescent="0.25">
      <c r="C18" s="4"/>
    </row>
    <row r="20" spans="1:12" ht="15.75" thickBot="1" x14ac:dyDescent="0.3">
      <c r="A20" s="745" t="s">
        <v>706</v>
      </c>
      <c r="B20" s="745"/>
      <c r="C20" s="745"/>
      <c r="D20" s="745"/>
      <c r="E20" s="745"/>
      <c r="F20" s="745"/>
      <c r="G20" s="745"/>
      <c r="H20" s="745"/>
      <c r="I20" s="745"/>
    </row>
    <row r="21" spans="1:12" ht="16.5" thickTop="1" thickBot="1" x14ac:dyDescent="0.3">
      <c r="A21" s="745"/>
      <c r="B21" s="745"/>
      <c r="C21" s="745"/>
      <c r="D21" s="745"/>
      <c r="E21" s="745"/>
      <c r="F21" s="745"/>
      <c r="G21" s="745"/>
      <c r="H21" s="745"/>
      <c r="I21" s="745"/>
    </row>
    <row r="22" spans="1:12" ht="15.75" thickTop="1" x14ac:dyDescent="0.25">
      <c r="A22" s="755" t="s">
        <v>705</v>
      </c>
      <c r="B22" s="755"/>
      <c r="C22" s="755"/>
      <c r="D22" s="755"/>
      <c r="E22" s="755"/>
      <c r="F22" s="754" t="s">
        <v>704</v>
      </c>
      <c r="G22" s="754" t="s">
        <v>703</v>
      </c>
      <c r="H22" s="753" t="s">
        <v>702</v>
      </c>
      <c r="I22" s="753"/>
    </row>
    <row r="23" spans="1:12" x14ac:dyDescent="0.25">
      <c r="A23" s="755"/>
      <c r="B23" s="755"/>
      <c r="C23" s="755"/>
      <c r="D23" s="755"/>
      <c r="E23" s="755"/>
      <c r="F23" s="754"/>
      <c r="G23" s="754"/>
      <c r="H23" s="282" t="s">
        <v>701</v>
      </c>
      <c r="I23" s="281" t="s">
        <v>146</v>
      </c>
    </row>
    <row r="24" spans="1:12" x14ac:dyDescent="0.25">
      <c r="A24" s="717" t="s">
        <v>615</v>
      </c>
      <c r="B24" s="718"/>
      <c r="C24" s="718"/>
      <c r="D24" s="718"/>
      <c r="E24" s="719"/>
      <c r="F24" s="268"/>
      <c r="G24" s="278"/>
      <c r="H24" s="274"/>
      <c r="I24" s="274"/>
    </row>
    <row r="25" spans="1:12" x14ac:dyDescent="0.25">
      <c r="A25" s="720" t="s">
        <v>700</v>
      </c>
      <c r="B25" s="721"/>
      <c r="C25" s="721"/>
      <c r="D25" s="721"/>
      <c r="E25" s="722"/>
      <c r="F25" s="268" t="s">
        <v>617</v>
      </c>
      <c r="G25" s="278">
        <v>5</v>
      </c>
      <c r="H25" s="274">
        <v>18343.79</v>
      </c>
      <c r="I25" s="274">
        <f t="shared" ref="I25:I30" si="0">G25*H25</f>
        <v>91718.950000000012</v>
      </c>
    </row>
    <row r="26" spans="1:12" x14ac:dyDescent="0.25">
      <c r="A26" s="720" t="s">
        <v>699</v>
      </c>
      <c r="B26" s="721"/>
      <c r="C26" s="721"/>
      <c r="D26" s="721"/>
      <c r="E26" s="722"/>
      <c r="F26" s="268" t="s">
        <v>617</v>
      </c>
      <c r="G26" s="278">
        <v>12</v>
      </c>
      <c r="H26" s="274">
        <v>12561</v>
      </c>
      <c r="I26" s="274">
        <f t="shared" si="0"/>
        <v>150732</v>
      </c>
    </row>
    <row r="27" spans="1:12" x14ac:dyDescent="0.25">
      <c r="A27" s="720" t="s">
        <v>698</v>
      </c>
      <c r="B27" s="721"/>
      <c r="C27" s="721"/>
      <c r="D27" s="721"/>
      <c r="E27" s="722"/>
      <c r="F27" s="268" t="s">
        <v>617</v>
      </c>
      <c r="G27" s="278">
        <v>84</v>
      </c>
      <c r="H27" s="274">
        <v>9826.7800000000007</v>
      </c>
      <c r="I27" s="274">
        <f t="shared" si="0"/>
        <v>825449.52</v>
      </c>
      <c r="L27" s="22"/>
    </row>
    <row r="28" spans="1:12" x14ac:dyDescent="0.25">
      <c r="A28" s="720" t="s">
        <v>697</v>
      </c>
      <c r="B28" s="721"/>
      <c r="C28" s="721"/>
      <c r="D28" s="721"/>
      <c r="E28" s="722"/>
      <c r="F28" s="268" t="s">
        <v>617</v>
      </c>
      <c r="G28" s="278">
        <v>396</v>
      </c>
      <c r="H28" s="274">
        <v>8084.56</v>
      </c>
      <c r="I28" s="274">
        <f t="shared" si="0"/>
        <v>3201485.7600000002</v>
      </c>
      <c r="L28" s="22"/>
    </row>
    <row r="29" spans="1:12" x14ac:dyDescent="0.25">
      <c r="A29" s="720" t="s">
        <v>696</v>
      </c>
      <c r="B29" s="721"/>
      <c r="C29" s="721"/>
      <c r="D29" s="721"/>
      <c r="E29" s="722"/>
      <c r="F29" s="268" t="s">
        <v>617</v>
      </c>
      <c r="G29" s="278">
        <v>384</v>
      </c>
      <c r="H29" s="274">
        <v>3284.75</v>
      </c>
      <c r="I29" s="274">
        <f t="shared" si="0"/>
        <v>1261344</v>
      </c>
      <c r="L29" s="22"/>
    </row>
    <row r="30" spans="1:12" x14ac:dyDescent="0.25">
      <c r="A30" s="720" t="s">
        <v>695</v>
      </c>
      <c r="B30" s="721"/>
      <c r="C30" s="721"/>
      <c r="D30" s="721"/>
      <c r="E30" s="722"/>
      <c r="F30" s="268" t="s">
        <v>617</v>
      </c>
      <c r="G30" s="278">
        <v>132</v>
      </c>
      <c r="H30" s="274">
        <v>1770.24</v>
      </c>
      <c r="I30" s="274">
        <f t="shared" si="0"/>
        <v>233671.67999999999</v>
      </c>
    </row>
    <row r="31" spans="1:12" x14ac:dyDescent="0.25">
      <c r="A31" s="737" t="s">
        <v>606</v>
      </c>
      <c r="B31" s="738"/>
      <c r="C31" s="738"/>
      <c r="D31" s="738"/>
      <c r="E31" s="739"/>
      <c r="F31" s="283"/>
      <c r="G31" s="283"/>
      <c r="H31" s="282"/>
      <c r="I31" s="284">
        <f>SUM(I25:I30)</f>
        <v>5764401.9100000001</v>
      </c>
      <c r="K31" s="284"/>
    </row>
    <row r="32" spans="1:12" x14ac:dyDescent="0.25">
      <c r="A32" s="720" t="s">
        <v>694</v>
      </c>
      <c r="B32" s="721"/>
      <c r="C32" s="721"/>
      <c r="D32" s="721"/>
      <c r="E32" s="722"/>
      <c r="F32" s="283"/>
      <c r="G32" s="283"/>
      <c r="H32" s="282"/>
      <c r="I32" s="274">
        <f>0.7725*I31</f>
        <v>4453000.4754750002</v>
      </c>
    </row>
    <row r="33" spans="1:9" x14ac:dyDescent="0.25">
      <c r="A33" s="720" t="s">
        <v>693</v>
      </c>
      <c r="B33" s="721"/>
      <c r="C33" s="721"/>
      <c r="D33" s="721"/>
      <c r="E33" s="722"/>
      <c r="F33" s="283"/>
      <c r="G33" s="283"/>
      <c r="H33" s="282"/>
      <c r="I33" s="274">
        <f>0.2*I31</f>
        <v>1152880.382</v>
      </c>
    </row>
    <row r="34" spans="1:9" ht="15.75" thickBot="1" x14ac:dyDescent="0.3">
      <c r="A34" s="726" t="s">
        <v>692</v>
      </c>
      <c r="B34" s="727"/>
      <c r="C34" s="727"/>
      <c r="D34" s="727"/>
      <c r="E34" s="727"/>
      <c r="F34" s="727"/>
      <c r="G34" s="728"/>
      <c r="H34" s="250"/>
      <c r="I34" s="284">
        <f>I31+I32+I33</f>
        <v>11370282.767475</v>
      </c>
    </row>
    <row r="35" spans="1:9" ht="15.75" thickTop="1" x14ac:dyDescent="0.25">
      <c r="A35" s="740"/>
      <c r="B35" s="741"/>
      <c r="C35" s="741"/>
      <c r="D35" s="741"/>
      <c r="E35" s="742"/>
      <c r="F35" s="283"/>
      <c r="G35" s="283"/>
      <c r="H35" s="282"/>
      <c r="I35" s="281"/>
    </row>
    <row r="36" spans="1:9" x14ac:dyDescent="0.25">
      <c r="A36" s="717" t="s">
        <v>614</v>
      </c>
      <c r="B36" s="718"/>
      <c r="C36" s="718"/>
      <c r="D36" s="718"/>
      <c r="E36" s="719"/>
      <c r="F36" s="283"/>
      <c r="G36" s="283"/>
      <c r="H36" s="282"/>
      <c r="I36" s="281"/>
    </row>
    <row r="37" spans="1:9" x14ac:dyDescent="0.25">
      <c r="A37" s="720" t="s">
        <v>691</v>
      </c>
      <c r="B37" s="721"/>
      <c r="C37" s="721"/>
      <c r="D37" s="721"/>
      <c r="E37" s="722"/>
      <c r="F37" s="268" t="s">
        <v>686</v>
      </c>
      <c r="G37" s="278">
        <v>24</v>
      </c>
      <c r="H37" s="278">
        <v>900</v>
      </c>
      <c r="I37" s="274">
        <v>21600</v>
      </c>
    </row>
    <row r="38" spans="1:9" x14ac:dyDescent="0.25">
      <c r="A38" s="720" t="s">
        <v>690</v>
      </c>
      <c r="B38" s="721"/>
      <c r="C38" s="721"/>
      <c r="D38" s="721"/>
      <c r="E38" s="722"/>
      <c r="F38" s="268" t="s">
        <v>686</v>
      </c>
      <c r="G38" s="278">
        <v>24</v>
      </c>
      <c r="H38" s="278">
        <v>120</v>
      </c>
      <c r="I38" s="274">
        <v>2880</v>
      </c>
    </row>
    <row r="39" spans="1:9" x14ac:dyDescent="0.25">
      <c r="A39" s="720" t="s">
        <v>689</v>
      </c>
      <c r="B39" s="721"/>
      <c r="C39" s="721"/>
      <c r="D39" s="721"/>
      <c r="E39" s="722"/>
      <c r="F39" s="268" t="s">
        <v>686</v>
      </c>
      <c r="G39" s="278">
        <v>120</v>
      </c>
      <c r="H39" s="278">
        <v>70</v>
      </c>
      <c r="I39" s="274">
        <v>8400</v>
      </c>
    </row>
    <row r="40" spans="1:9" ht="15.75" thickBot="1" x14ac:dyDescent="0.3">
      <c r="A40" s="726" t="s">
        <v>685</v>
      </c>
      <c r="B40" s="727"/>
      <c r="C40" s="727"/>
      <c r="D40" s="727"/>
      <c r="E40" s="727"/>
      <c r="F40" s="727"/>
      <c r="G40" s="728"/>
      <c r="H40" s="250"/>
      <c r="I40" s="284">
        <f>SUM(I37:I39)</f>
        <v>32880</v>
      </c>
    </row>
    <row r="41" spans="1:9" ht="15.75" thickTop="1" x14ac:dyDescent="0.25">
      <c r="A41" s="720"/>
      <c r="B41" s="721"/>
      <c r="C41" s="721"/>
      <c r="D41" s="721"/>
      <c r="E41" s="722"/>
      <c r="F41" s="283"/>
      <c r="G41" s="283"/>
      <c r="H41" s="282"/>
      <c r="I41" s="281"/>
    </row>
    <row r="42" spans="1:9" x14ac:dyDescent="0.25">
      <c r="A42" s="717" t="s">
        <v>311</v>
      </c>
      <c r="B42" s="718"/>
      <c r="C42" s="718"/>
      <c r="D42" s="718"/>
      <c r="E42" s="719"/>
      <c r="F42" s="283"/>
      <c r="G42" s="283"/>
      <c r="H42" s="282"/>
      <c r="I42" s="281"/>
    </row>
    <row r="43" spans="1:9" x14ac:dyDescent="0.25">
      <c r="A43" s="720" t="s">
        <v>688</v>
      </c>
      <c r="B43" s="721"/>
      <c r="C43" s="721"/>
      <c r="D43" s="721"/>
      <c r="E43" s="722"/>
      <c r="F43" s="268" t="s">
        <v>686</v>
      </c>
      <c r="G43" s="287">
        <f>(G38+G37)*5</f>
        <v>240</v>
      </c>
      <c r="H43" s="286">
        <v>239</v>
      </c>
      <c r="I43" s="285">
        <f>ROUND(H43*G43,2)</f>
        <v>57360</v>
      </c>
    </row>
    <row r="44" spans="1:9" x14ac:dyDescent="0.25">
      <c r="A44" s="720" t="s">
        <v>687</v>
      </c>
      <c r="B44" s="721"/>
      <c r="C44" s="721"/>
      <c r="D44" s="721"/>
      <c r="E44" s="722"/>
      <c r="F44" s="268" t="s">
        <v>686</v>
      </c>
      <c r="G44" s="287">
        <f>G39*5</f>
        <v>600</v>
      </c>
      <c r="H44" s="286">
        <v>239</v>
      </c>
      <c r="I44" s="285">
        <f>ROUND(H44*G44,2)</f>
        <v>143400</v>
      </c>
    </row>
    <row r="45" spans="1:9" ht="15.75" thickBot="1" x14ac:dyDescent="0.3">
      <c r="A45" s="726" t="s">
        <v>685</v>
      </c>
      <c r="B45" s="727"/>
      <c r="C45" s="727"/>
      <c r="D45" s="727"/>
      <c r="E45" s="727"/>
      <c r="F45" s="727"/>
      <c r="G45" s="728"/>
      <c r="H45" s="250"/>
      <c r="I45" s="284">
        <f>SUM(I42:I44)</f>
        <v>200760</v>
      </c>
    </row>
    <row r="46" spans="1:9" ht="15.75" thickTop="1" x14ac:dyDescent="0.25">
      <c r="A46" s="740"/>
      <c r="B46" s="741"/>
      <c r="C46" s="741"/>
      <c r="D46" s="741"/>
      <c r="E46" s="742"/>
      <c r="F46" s="283"/>
      <c r="G46" s="283"/>
      <c r="H46" s="282"/>
      <c r="I46" s="281"/>
    </row>
    <row r="47" spans="1:9" x14ac:dyDescent="0.25">
      <c r="A47" s="743" t="s">
        <v>684</v>
      </c>
      <c r="B47" s="743"/>
      <c r="C47" s="743"/>
      <c r="D47" s="743"/>
      <c r="E47" s="743"/>
      <c r="F47" s="278"/>
      <c r="G47" s="277"/>
      <c r="H47" s="280"/>
      <c r="I47" s="279"/>
    </row>
    <row r="48" spans="1:9" x14ac:dyDescent="0.25">
      <c r="A48" s="743" t="s">
        <v>683</v>
      </c>
      <c r="B48" s="743"/>
      <c r="C48" s="743"/>
      <c r="D48" s="743"/>
      <c r="E48" s="743"/>
      <c r="F48" s="278" t="s">
        <v>617</v>
      </c>
      <c r="G48" s="277">
        <v>60</v>
      </c>
      <c r="H48" s="263">
        <v>4358.04</v>
      </c>
      <c r="I48" s="276">
        <f>ROUND(G48*H48,2)</f>
        <v>261482.4</v>
      </c>
    </row>
    <row r="49" spans="1:9" ht="15.75" thickBot="1" x14ac:dyDescent="0.3">
      <c r="A49" s="729" t="s">
        <v>682</v>
      </c>
      <c r="B49" s="729"/>
      <c r="C49" s="729"/>
      <c r="D49" s="729"/>
      <c r="E49" s="729"/>
      <c r="F49" s="729"/>
      <c r="G49" s="729"/>
      <c r="H49" s="250"/>
      <c r="I49" s="249">
        <f>SUM(I48:I48)</f>
        <v>261482.4</v>
      </c>
    </row>
    <row r="50" spans="1:9" ht="16.5" thickTop="1" thickBot="1" x14ac:dyDescent="0.3">
      <c r="A50" s="744"/>
      <c r="B50" s="744"/>
      <c r="C50" s="744"/>
      <c r="D50" s="744"/>
      <c r="E50" s="744"/>
      <c r="F50" s="744"/>
      <c r="G50" s="744"/>
      <c r="H50" s="744"/>
      <c r="I50" s="744"/>
    </row>
    <row r="51" spans="1:9" ht="15.75" thickTop="1" x14ac:dyDescent="0.25">
      <c r="A51" s="732" t="s">
        <v>681</v>
      </c>
      <c r="B51" s="732"/>
      <c r="C51" s="732"/>
      <c r="D51" s="732"/>
      <c r="E51" s="732"/>
      <c r="F51" s="732"/>
      <c r="G51" s="732"/>
      <c r="H51" s="732"/>
      <c r="I51" s="732"/>
    </row>
    <row r="52" spans="1:9" x14ac:dyDescent="0.25">
      <c r="A52" s="261" t="s">
        <v>680</v>
      </c>
      <c r="B52" s="260"/>
      <c r="C52" s="260"/>
      <c r="D52" s="275"/>
      <c r="E52" s="259"/>
      <c r="F52" s="268" t="s">
        <v>617</v>
      </c>
      <c r="G52" s="267">
        <v>48</v>
      </c>
      <c r="H52" s="274">
        <v>2400</v>
      </c>
      <c r="I52" s="257">
        <f t="shared" ref="I52:I58" si="1">ROUND(G52*H52,2)</f>
        <v>115200</v>
      </c>
    </row>
    <row r="53" spans="1:9" x14ac:dyDescent="0.25">
      <c r="A53" s="261" t="s">
        <v>679</v>
      </c>
      <c r="B53" s="260"/>
      <c r="C53" s="260"/>
      <c r="D53" s="260"/>
      <c r="E53" s="259"/>
      <c r="F53" s="268" t="s">
        <v>617</v>
      </c>
      <c r="G53" s="267">
        <v>48</v>
      </c>
      <c r="H53" s="257">
        <v>315</v>
      </c>
      <c r="I53" s="257">
        <f t="shared" si="1"/>
        <v>15120</v>
      </c>
    </row>
    <row r="54" spans="1:9" x14ac:dyDescent="0.25">
      <c r="A54" s="261" t="s">
        <v>678</v>
      </c>
      <c r="B54" s="260"/>
      <c r="C54" s="260"/>
      <c r="D54" s="260"/>
      <c r="E54" s="259"/>
      <c r="F54" s="268" t="s">
        <v>617</v>
      </c>
      <c r="G54" s="267">
        <v>48</v>
      </c>
      <c r="H54" s="257">
        <v>147</v>
      </c>
      <c r="I54" s="257">
        <f t="shared" si="1"/>
        <v>7056</v>
      </c>
    </row>
    <row r="55" spans="1:9" x14ac:dyDescent="0.25">
      <c r="A55" s="261" t="s">
        <v>677</v>
      </c>
      <c r="B55" s="260"/>
      <c r="C55" s="260"/>
      <c r="D55" s="260"/>
      <c r="E55" s="259"/>
      <c r="F55" s="268" t="s">
        <v>617</v>
      </c>
      <c r="G55" s="267">
        <v>48</v>
      </c>
      <c r="H55" s="257">
        <v>225.52</v>
      </c>
      <c r="I55" s="257">
        <f t="shared" si="1"/>
        <v>10824.96</v>
      </c>
    </row>
    <row r="56" spans="1:9" x14ac:dyDescent="0.25">
      <c r="A56" s="273" t="s">
        <v>676</v>
      </c>
      <c r="B56" s="272"/>
      <c r="C56" s="272"/>
      <c r="D56" s="272"/>
      <c r="E56" s="271"/>
      <c r="F56" s="268" t="s">
        <v>617</v>
      </c>
      <c r="G56" s="267">
        <v>48</v>
      </c>
      <c r="H56" s="254">
        <v>100</v>
      </c>
      <c r="I56" s="257">
        <f t="shared" si="1"/>
        <v>4800</v>
      </c>
    </row>
    <row r="57" spans="1:9" x14ac:dyDescent="0.25">
      <c r="A57" s="273" t="s">
        <v>675</v>
      </c>
      <c r="B57" s="272"/>
      <c r="C57" s="272"/>
      <c r="D57" s="272"/>
      <c r="E57" s="271"/>
      <c r="F57" s="268" t="s">
        <v>617</v>
      </c>
      <c r="G57" s="267">
        <v>48</v>
      </c>
      <c r="H57" s="254">
        <v>99.9</v>
      </c>
      <c r="I57" s="257">
        <f t="shared" si="1"/>
        <v>4795.2</v>
      </c>
    </row>
    <row r="58" spans="1:9" x14ac:dyDescent="0.25">
      <c r="A58" s="273" t="s">
        <v>674</v>
      </c>
      <c r="B58" s="272"/>
      <c r="C58" s="272"/>
      <c r="D58" s="272"/>
      <c r="E58" s="271"/>
      <c r="F58" s="268" t="s">
        <v>617</v>
      </c>
      <c r="G58" s="267">
        <v>48</v>
      </c>
      <c r="H58" s="254">
        <v>260</v>
      </c>
      <c r="I58" s="257">
        <f t="shared" si="1"/>
        <v>12480</v>
      </c>
    </row>
    <row r="59" spans="1:9" x14ac:dyDescent="0.25">
      <c r="A59" s="261"/>
      <c r="B59" s="260"/>
      <c r="C59" s="260"/>
      <c r="D59" s="260"/>
      <c r="E59" s="259"/>
      <c r="F59" s="262"/>
      <c r="G59" s="258"/>
      <c r="H59" s="257"/>
      <c r="I59" s="257"/>
    </row>
    <row r="60" spans="1:9" ht="15.75" thickBot="1" x14ac:dyDescent="0.3">
      <c r="A60" s="729" t="s">
        <v>673</v>
      </c>
      <c r="B60" s="729"/>
      <c r="C60" s="729"/>
      <c r="D60" s="729"/>
      <c r="E60" s="729"/>
      <c r="F60" s="729"/>
      <c r="G60" s="729"/>
      <c r="H60" s="250"/>
      <c r="I60" s="249">
        <f>SUM(I52:I59)</f>
        <v>170276.16</v>
      </c>
    </row>
    <row r="61" spans="1:9" ht="16.5" thickTop="1" thickBot="1" x14ac:dyDescent="0.3">
      <c r="A61" s="713" t="s">
        <v>672</v>
      </c>
      <c r="B61" s="714"/>
      <c r="C61" s="714"/>
      <c r="D61" s="714"/>
      <c r="E61" s="714"/>
      <c r="F61" s="714"/>
      <c r="G61" s="714"/>
      <c r="H61" s="714"/>
      <c r="I61" s="714"/>
    </row>
    <row r="62" spans="1:9" x14ac:dyDescent="0.25">
      <c r="A62" s="238" t="s">
        <v>671</v>
      </c>
      <c r="B62" s="238"/>
      <c r="C62" s="238"/>
      <c r="D62" s="238"/>
      <c r="E62" s="238"/>
      <c r="F62" s="270" t="s">
        <v>661</v>
      </c>
      <c r="G62" s="269">
        <v>1</v>
      </c>
      <c r="H62" s="263">
        <v>2797.08</v>
      </c>
      <c r="I62" s="234">
        <f t="shared" ref="I62:I70" si="2">ROUND(G62*H62,2)</f>
        <v>2797.08</v>
      </c>
    </row>
    <row r="63" spans="1:9" x14ac:dyDescent="0.25">
      <c r="A63" s="238" t="s">
        <v>670</v>
      </c>
      <c r="B63" s="238"/>
      <c r="C63" s="238"/>
      <c r="D63" s="238"/>
      <c r="E63" s="238"/>
      <c r="F63" s="268" t="s">
        <v>661</v>
      </c>
      <c r="G63" s="267">
        <v>1</v>
      </c>
      <c r="H63" s="263">
        <v>3142.85</v>
      </c>
      <c r="I63" s="257">
        <f t="shared" si="2"/>
        <v>3142.85</v>
      </c>
    </row>
    <row r="64" spans="1:9" x14ac:dyDescent="0.25">
      <c r="A64" s="238" t="s">
        <v>669</v>
      </c>
      <c r="B64" s="238"/>
      <c r="C64" s="238"/>
      <c r="D64" s="238"/>
      <c r="E64" s="238"/>
      <c r="F64" s="268" t="s">
        <v>661</v>
      </c>
      <c r="G64" s="267">
        <v>1</v>
      </c>
      <c r="H64" s="263">
        <v>2325.71</v>
      </c>
      <c r="I64" s="257">
        <f t="shared" si="2"/>
        <v>2325.71</v>
      </c>
    </row>
    <row r="65" spans="1:9" x14ac:dyDescent="0.25">
      <c r="A65" s="238" t="s">
        <v>668</v>
      </c>
      <c r="B65" s="238"/>
      <c r="C65" s="238"/>
      <c r="D65" s="238"/>
      <c r="E65" s="238"/>
      <c r="F65" s="268" t="s">
        <v>663</v>
      </c>
      <c r="G65" s="267">
        <v>100</v>
      </c>
      <c r="H65" s="263">
        <v>145</v>
      </c>
      <c r="I65" s="257">
        <f t="shared" si="2"/>
        <v>14500</v>
      </c>
    </row>
    <row r="66" spans="1:9" x14ac:dyDescent="0.25">
      <c r="A66" s="238" t="s">
        <v>667</v>
      </c>
      <c r="B66" s="238"/>
      <c r="C66" s="238"/>
      <c r="D66" s="238"/>
      <c r="E66" s="238"/>
      <c r="F66" s="268" t="s">
        <v>661</v>
      </c>
      <c r="G66" s="267">
        <v>1</v>
      </c>
      <c r="H66" s="263">
        <v>1500</v>
      </c>
      <c r="I66" s="257">
        <f t="shared" si="2"/>
        <v>1500</v>
      </c>
    </row>
    <row r="67" spans="1:9" x14ac:dyDescent="0.25">
      <c r="A67" s="238" t="s">
        <v>666</v>
      </c>
      <c r="B67" s="238"/>
      <c r="C67" s="238"/>
      <c r="D67" s="238"/>
      <c r="E67" s="238"/>
      <c r="F67" s="268" t="s">
        <v>661</v>
      </c>
      <c r="G67" s="267">
        <v>1</v>
      </c>
      <c r="H67" s="263">
        <v>3500</v>
      </c>
      <c r="I67" s="257">
        <f t="shared" si="2"/>
        <v>3500</v>
      </c>
    </row>
    <row r="68" spans="1:9" x14ac:dyDescent="0.25">
      <c r="A68" s="238" t="s">
        <v>665</v>
      </c>
      <c r="B68" s="238"/>
      <c r="C68" s="238"/>
      <c r="D68" s="238"/>
      <c r="E68" s="238"/>
      <c r="F68" s="268" t="s">
        <v>661</v>
      </c>
      <c r="G68" s="267">
        <v>200</v>
      </c>
      <c r="H68" s="263">
        <v>9.2200000000000006</v>
      </c>
      <c r="I68" s="257">
        <f t="shared" si="2"/>
        <v>1844</v>
      </c>
    </row>
    <row r="69" spans="1:9" x14ac:dyDescent="0.25">
      <c r="A69" s="238" t="s">
        <v>664</v>
      </c>
      <c r="B69" s="238"/>
      <c r="C69" s="238"/>
      <c r="D69" s="238"/>
      <c r="E69" s="238"/>
      <c r="F69" s="266" t="s">
        <v>663</v>
      </c>
      <c r="G69" s="255">
        <v>2500</v>
      </c>
      <c r="H69" s="263">
        <v>0.74</v>
      </c>
      <c r="I69" s="254">
        <f t="shared" si="2"/>
        <v>1850</v>
      </c>
    </row>
    <row r="70" spans="1:9" ht="15.75" thickBot="1" x14ac:dyDescent="0.3">
      <c r="A70" s="238" t="s">
        <v>662</v>
      </c>
      <c r="B70" s="238"/>
      <c r="C70" s="238"/>
      <c r="D70" s="238"/>
      <c r="E70" s="238"/>
      <c r="F70" s="266" t="s">
        <v>661</v>
      </c>
      <c r="G70" s="255">
        <v>2</v>
      </c>
      <c r="H70" s="263">
        <v>55</v>
      </c>
      <c r="I70" s="254">
        <f t="shared" si="2"/>
        <v>110</v>
      </c>
    </row>
    <row r="71" spans="1:9" ht="15.75" thickBot="1" x14ac:dyDescent="0.3">
      <c r="A71" s="733" t="s">
        <v>660</v>
      </c>
      <c r="B71" s="734"/>
      <c r="C71" s="734"/>
      <c r="D71" s="734"/>
      <c r="E71" s="734"/>
      <c r="F71" s="734"/>
      <c r="G71" s="734"/>
      <c r="H71" s="265"/>
      <c r="I71" s="264">
        <f>SUM(I62:I70)</f>
        <v>31569.64</v>
      </c>
    </row>
    <row r="72" spans="1:9" ht="15.75" thickTop="1" x14ac:dyDescent="0.25">
      <c r="A72" s="732" t="s">
        <v>659</v>
      </c>
      <c r="B72" s="732"/>
      <c r="C72" s="732"/>
      <c r="D72" s="732"/>
      <c r="E72" s="732"/>
      <c r="F72" s="732"/>
      <c r="G72" s="732"/>
      <c r="H72" s="732"/>
      <c r="I72" s="732"/>
    </row>
    <row r="73" spans="1:9" x14ac:dyDescent="0.25">
      <c r="A73" s="261" t="s">
        <v>658</v>
      </c>
      <c r="B73" s="260"/>
      <c r="C73" s="260"/>
      <c r="D73" s="260"/>
      <c r="E73" s="259"/>
      <c r="F73" s="262" t="s">
        <v>617</v>
      </c>
      <c r="G73" s="258">
        <v>881</v>
      </c>
      <c r="H73" s="263">
        <v>69</v>
      </c>
      <c r="I73" s="257">
        <f>ROUND(G73*H73,2)</f>
        <v>60789</v>
      </c>
    </row>
    <row r="74" spans="1:9" x14ac:dyDescent="0.25">
      <c r="A74" s="261" t="s">
        <v>657</v>
      </c>
      <c r="B74" s="260"/>
      <c r="C74" s="260"/>
      <c r="D74" s="260"/>
      <c r="E74" s="259"/>
      <c r="F74" s="262" t="s">
        <v>617</v>
      </c>
      <c r="G74" s="258">
        <v>48</v>
      </c>
      <c r="H74" s="257">
        <v>64</v>
      </c>
      <c r="I74" s="257">
        <f>ROUND(G74*H74,2)</f>
        <v>3072</v>
      </c>
    </row>
    <row r="75" spans="1:9" x14ac:dyDescent="0.25">
      <c r="A75" s="261" t="s">
        <v>656</v>
      </c>
      <c r="B75" s="260"/>
      <c r="C75" s="260"/>
      <c r="D75" s="260"/>
      <c r="E75" s="259"/>
      <c r="F75" s="262" t="s">
        <v>617</v>
      </c>
      <c r="G75" s="258">
        <v>297</v>
      </c>
      <c r="H75" s="257">
        <v>23</v>
      </c>
      <c r="I75" s="257">
        <f>ROUND(G75*H75,2)</f>
        <v>6831</v>
      </c>
    </row>
    <row r="76" spans="1:9" x14ac:dyDescent="0.25">
      <c r="A76" s="261" t="s">
        <v>655</v>
      </c>
      <c r="B76" s="260"/>
      <c r="C76" s="260"/>
      <c r="D76" s="260"/>
      <c r="E76" s="259"/>
      <c r="F76" s="241" t="s">
        <v>617</v>
      </c>
      <c r="G76" s="258">
        <v>297</v>
      </c>
      <c r="H76" s="257">
        <v>39</v>
      </c>
      <c r="I76" s="257">
        <f>ROUND(G76*H76,2)</f>
        <v>11583</v>
      </c>
    </row>
    <row r="77" spans="1:9" x14ac:dyDescent="0.25">
      <c r="A77" s="261" t="s">
        <v>654</v>
      </c>
      <c r="B77" s="260"/>
      <c r="C77" s="260"/>
      <c r="D77" s="260"/>
      <c r="E77" s="259"/>
      <c r="F77" s="241" t="s">
        <v>617</v>
      </c>
      <c r="G77" s="258">
        <v>48</v>
      </c>
      <c r="H77" s="257">
        <v>150</v>
      </c>
      <c r="I77" s="257">
        <f>ROUND(G77*H77,2)</f>
        <v>7200</v>
      </c>
    </row>
    <row r="78" spans="1:9" x14ac:dyDescent="0.25">
      <c r="A78" s="261"/>
      <c r="B78" s="260"/>
      <c r="C78" s="260"/>
      <c r="D78" s="260"/>
      <c r="E78" s="259"/>
      <c r="F78" s="262"/>
      <c r="G78" s="258"/>
      <c r="H78" s="257"/>
      <c r="I78" s="257"/>
    </row>
    <row r="79" spans="1:9" ht="15.75" thickBot="1" x14ac:dyDescent="0.3">
      <c r="A79" s="729" t="s">
        <v>653</v>
      </c>
      <c r="B79" s="729"/>
      <c r="C79" s="729"/>
      <c r="D79" s="729"/>
      <c r="E79" s="729"/>
      <c r="F79" s="729"/>
      <c r="G79" s="729"/>
      <c r="H79" s="250"/>
      <c r="I79" s="249">
        <f>SUM(I73:I78)</f>
        <v>89475</v>
      </c>
    </row>
    <row r="80" spans="1:9" ht="15.75" thickTop="1" x14ac:dyDescent="0.25">
      <c r="A80" s="732" t="s">
        <v>652</v>
      </c>
      <c r="B80" s="732"/>
      <c r="C80" s="732"/>
      <c r="D80" s="732"/>
      <c r="E80" s="732"/>
      <c r="F80" s="732"/>
      <c r="G80" s="732"/>
      <c r="H80" s="732"/>
      <c r="I80" s="732"/>
    </row>
    <row r="81" spans="1:11" x14ac:dyDescent="0.25">
      <c r="A81" s="261" t="s">
        <v>651</v>
      </c>
      <c r="B81" s="260"/>
      <c r="C81" s="260"/>
      <c r="D81" s="260"/>
      <c r="E81" s="259"/>
      <c r="F81" s="241" t="s">
        <v>623</v>
      </c>
      <c r="G81" s="258">
        <v>12</v>
      </c>
      <c r="H81" s="257">
        <v>50</v>
      </c>
      <c r="I81" s="257">
        <f>ROUND(G81*H81,2)</f>
        <v>600</v>
      </c>
    </row>
    <row r="82" spans="1:11" x14ac:dyDescent="0.25">
      <c r="A82" s="261" t="s">
        <v>650</v>
      </c>
      <c r="B82" s="260"/>
      <c r="C82" s="260"/>
      <c r="D82" s="260"/>
      <c r="E82" s="259"/>
      <c r="F82" s="241" t="s">
        <v>623</v>
      </c>
      <c r="G82" s="258">
        <v>84</v>
      </c>
      <c r="H82" s="257">
        <v>30</v>
      </c>
      <c r="I82" s="257">
        <f>ROUND(G82*H82,2)</f>
        <v>2520</v>
      </c>
    </row>
    <row r="83" spans="1:11" ht="21" customHeight="1" x14ac:dyDescent="0.25">
      <c r="A83" s="752" t="s">
        <v>649</v>
      </c>
      <c r="B83" s="730"/>
      <c r="C83" s="730"/>
      <c r="D83" s="730"/>
      <c r="E83" s="731"/>
      <c r="F83" s="241" t="s">
        <v>623</v>
      </c>
      <c r="G83" s="258">
        <v>12000</v>
      </c>
      <c r="H83" s="257">
        <v>1.31</v>
      </c>
      <c r="I83" s="257">
        <f>ROUND(G83*H83,2)</f>
        <v>15720</v>
      </c>
    </row>
    <row r="84" spans="1:11" x14ac:dyDescent="0.25">
      <c r="A84" s="746" t="s">
        <v>648</v>
      </c>
      <c r="B84" s="736"/>
      <c r="C84" s="736"/>
      <c r="D84" s="736"/>
      <c r="E84" s="747"/>
      <c r="F84" s="256" t="s">
        <v>623</v>
      </c>
      <c r="G84" s="255">
        <v>72</v>
      </c>
      <c r="H84" s="254">
        <v>250</v>
      </c>
      <c r="I84" s="254">
        <f>ROUND(G84*H84,2)</f>
        <v>18000</v>
      </c>
    </row>
    <row r="85" spans="1:11" x14ac:dyDescent="0.25">
      <c r="A85" s="748" t="s">
        <v>647</v>
      </c>
      <c r="B85" s="749"/>
      <c r="C85" s="749"/>
      <c r="D85" s="749"/>
      <c r="E85" s="750"/>
      <c r="F85" s="253" t="s">
        <v>623</v>
      </c>
      <c r="G85" s="252">
        <v>3400</v>
      </c>
      <c r="H85" s="251">
        <v>30</v>
      </c>
      <c r="I85" s="251">
        <f>ROUND(G85*H85,2)</f>
        <v>102000</v>
      </c>
    </row>
    <row r="86" spans="1:11" ht="15.75" thickBot="1" x14ac:dyDescent="0.3">
      <c r="A86" s="751" t="s">
        <v>646</v>
      </c>
      <c r="B86" s="729"/>
      <c r="C86" s="729"/>
      <c r="D86" s="729"/>
      <c r="E86" s="729"/>
      <c r="F86" s="729"/>
      <c r="G86" s="729"/>
      <c r="H86" s="250"/>
      <c r="I86" s="249">
        <f>SUM(I81:I85)</f>
        <v>138840</v>
      </c>
    </row>
    <row r="87" spans="1:11" ht="16.5" thickTop="1" thickBot="1" x14ac:dyDescent="0.3">
      <c r="A87" s="713" t="s">
        <v>645</v>
      </c>
      <c r="B87" s="714"/>
      <c r="C87" s="714"/>
      <c r="D87" s="714"/>
      <c r="E87" s="714"/>
      <c r="F87" s="714"/>
      <c r="G87" s="714"/>
      <c r="H87" s="714"/>
      <c r="I87" s="714"/>
    </row>
    <row r="88" spans="1:11" x14ac:dyDescent="0.25">
      <c r="A88" s="248" t="s">
        <v>644</v>
      </c>
      <c r="B88" s="247"/>
      <c r="C88" s="247"/>
      <c r="D88" s="247"/>
      <c r="E88" s="247"/>
      <c r="F88" s="246"/>
      <c r="G88" s="245"/>
      <c r="H88" s="244"/>
      <c r="I88" s="243"/>
      <c r="K88" t="s">
        <v>643</v>
      </c>
    </row>
    <row r="89" spans="1:11" x14ac:dyDescent="0.25">
      <c r="A89" s="715" t="s">
        <v>642</v>
      </c>
      <c r="B89" s="716"/>
      <c r="C89" s="716"/>
      <c r="D89" s="716"/>
      <c r="E89" s="716"/>
      <c r="F89" s="236" t="s">
        <v>623</v>
      </c>
      <c r="G89" s="235">
        <v>480</v>
      </c>
      <c r="H89" s="234">
        <v>45</v>
      </c>
      <c r="I89" s="234">
        <f t="shared" ref="I89:I98" si="3">ROUND(G89*H89,2)</f>
        <v>21600</v>
      </c>
      <c r="K89">
        <v>108</v>
      </c>
    </row>
    <row r="90" spans="1:11" x14ac:dyDescent="0.25">
      <c r="A90" s="715" t="s">
        <v>641</v>
      </c>
      <c r="B90" s="716"/>
      <c r="C90" s="716"/>
      <c r="D90" s="716"/>
      <c r="E90" s="716"/>
      <c r="F90" s="236" t="s">
        <v>623</v>
      </c>
      <c r="G90" s="235">
        <v>480</v>
      </c>
      <c r="H90" s="234">
        <v>45</v>
      </c>
      <c r="I90" s="234">
        <f t="shared" si="3"/>
        <v>21600</v>
      </c>
      <c r="K90">
        <v>40</v>
      </c>
    </row>
    <row r="91" spans="1:11" x14ac:dyDescent="0.25">
      <c r="A91" s="715" t="s">
        <v>640</v>
      </c>
      <c r="B91" s="716"/>
      <c r="C91" s="716"/>
      <c r="D91" s="716"/>
      <c r="E91" s="716"/>
      <c r="F91" s="236" t="s">
        <v>623</v>
      </c>
      <c r="G91" s="235">
        <v>480</v>
      </c>
      <c r="H91" s="234">
        <v>45</v>
      </c>
      <c r="I91" s="234">
        <f t="shared" si="3"/>
        <v>21600</v>
      </c>
      <c r="K91">
        <v>108</v>
      </c>
    </row>
    <row r="92" spans="1:11" x14ac:dyDescent="0.25">
      <c r="A92" s="715" t="s">
        <v>639</v>
      </c>
      <c r="B92" s="716"/>
      <c r="C92" s="716"/>
      <c r="D92" s="716"/>
      <c r="E92" s="716"/>
      <c r="F92" s="236" t="s">
        <v>623</v>
      </c>
      <c r="G92" s="235">
        <v>480</v>
      </c>
      <c r="H92" s="234">
        <v>45</v>
      </c>
      <c r="I92" s="234">
        <f t="shared" si="3"/>
        <v>21600</v>
      </c>
    </row>
    <row r="93" spans="1:11" x14ac:dyDescent="0.25">
      <c r="A93" s="715" t="s">
        <v>638</v>
      </c>
      <c r="B93" s="716"/>
      <c r="C93" s="716"/>
      <c r="D93" s="716"/>
      <c r="E93" s="716"/>
      <c r="F93" s="236" t="s">
        <v>623</v>
      </c>
      <c r="G93" s="235">
        <v>480</v>
      </c>
      <c r="H93" s="234">
        <v>140</v>
      </c>
      <c r="I93" s="234">
        <f t="shared" si="3"/>
        <v>67200</v>
      </c>
      <c r="K93">
        <v>166</v>
      </c>
    </row>
    <row r="94" spans="1:11" x14ac:dyDescent="0.25">
      <c r="A94" s="715" t="s">
        <v>637</v>
      </c>
      <c r="B94" s="716"/>
      <c r="C94" s="716"/>
      <c r="D94" s="716"/>
      <c r="E94" s="716"/>
      <c r="F94" s="236" t="s">
        <v>623</v>
      </c>
      <c r="G94" s="235">
        <v>480</v>
      </c>
      <c r="H94" s="234">
        <v>140</v>
      </c>
      <c r="I94" s="234">
        <f t="shared" si="3"/>
        <v>67200</v>
      </c>
      <c r="K94">
        <v>166</v>
      </c>
    </row>
    <row r="95" spans="1:11" x14ac:dyDescent="0.25">
      <c r="A95" s="715" t="s">
        <v>636</v>
      </c>
      <c r="B95" s="716"/>
      <c r="C95" s="716"/>
      <c r="D95" s="716"/>
      <c r="E95" s="716"/>
      <c r="F95" s="236" t="s">
        <v>623</v>
      </c>
      <c r="G95" s="235">
        <v>480</v>
      </c>
      <c r="H95" s="234">
        <v>140</v>
      </c>
      <c r="I95" s="234">
        <f t="shared" si="3"/>
        <v>67200</v>
      </c>
    </row>
    <row r="96" spans="1:11" x14ac:dyDescent="0.25">
      <c r="A96" s="715" t="s">
        <v>635</v>
      </c>
      <c r="B96" s="716"/>
      <c r="C96" s="716"/>
      <c r="D96" s="716"/>
      <c r="E96" s="716"/>
      <c r="F96" s="236" t="s">
        <v>623</v>
      </c>
      <c r="G96" s="235">
        <v>480</v>
      </c>
      <c r="H96" s="234">
        <v>140</v>
      </c>
      <c r="I96" s="234">
        <f t="shared" si="3"/>
        <v>67200</v>
      </c>
      <c r="K96">
        <v>166</v>
      </c>
    </row>
    <row r="97" spans="1:11" x14ac:dyDescent="0.25">
      <c r="A97" s="715" t="s">
        <v>634</v>
      </c>
      <c r="B97" s="716"/>
      <c r="C97" s="716"/>
      <c r="D97" s="716"/>
      <c r="E97" s="716"/>
      <c r="F97" s="236" t="s">
        <v>623</v>
      </c>
      <c r="G97" s="235">
        <v>480</v>
      </c>
      <c r="H97" s="234">
        <v>140</v>
      </c>
      <c r="I97" s="234">
        <f t="shared" si="3"/>
        <v>67200</v>
      </c>
      <c r="K97">
        <v>218</v>
      </c>
    </row>
    <row r="98" spans="1:11" x14ac:dyDescent="0.25">
      <c r="A98" s="715" t="s">
        <v>633</v>
      </c>
      <c r="B98" s="716"/>
      <c r="C98" s="716"/>
      <c r="D98" s="716"/>
      <c r="E98" s="716"/>
      <c r="F98" s="236" t="s">
        <v>623</v>
      </c>
      <c r="G98" s="235">
        <v>480</v>
      </c>
      <c r="H98" s="234">
        <v>140</v>
      </c>
      <c r="I98" s="234">
        <f t="shared" si="3"/>
        <v>67200</v>
      </c>
      <c r="K98">
        <v>218</v>
      </c>
    </row>
    <row r="99" spans="1:11" ht="15.75" thickBot="1" x14ac:dyDescent="0.3">
      <c r="A99" s="723" t="s">
        <v>632</v>
      </c>
      <c r="B99" s="724"/>
      <c r="C99" s="724"/>
      <c r="D99" s="724"/>
      <c r="E99" s="724"/>
      <c r="F99" s="724"/>
      <c r="G99" s="725"/>
      <c r="H99" s="227"/>
      <c r="I99" s="226">
        <f>SUM(I89:I98)</f>
        <v>489600</v>
      </c>
    </row>
    <row r="100" spans="1:11" ht="16.5" thickTop="1" thickBot="1" x14ac:dyDescent="0.3">
      <c r="A100" s="713" t="s">
        <v>631</v>
      </c>
      <c r="B100" s="714"/>
      <c r="C100" s="714"/>
      <c r="D100" s="714"/>
      <c r="E100" s="714"/>
      <c r="F100" s="714"/>
      <c r="G100" s="714"/>
      <c r="H100" s="714"/>
      <c r="I100" s="714"/>
    </row>
    <row r="101" spans="1:11" x14ac:dyDescent="0.25">
      <c r="A101" s="735" t="s">
        <v>630</v>
      </c>
      <c r="B101" s="736"/>
      <c r="C101" s="736"/>
      <c r="D101" s="736"/>
      <c r="E101" s="736"/>
      <c r="F101" s="736"/>
      <c r="G101" s="736"/>
      <c r="H101" s="736"/>
      <c r="I101" s="736"/>
    </row>
    <row r="102" spans="1:11" x14ac:dyDescent="0.25">
      <c r="A102" s="710" t="s">
        <v>629</v>
      </c>
      <c r="B102" s="711"/>
      <c r="C102" s="711"/>
      <c r="D102" s="711"/>
      <c r="E102" s="712"/>
      <c r="F102" s="242" t="s">
        <v>155</v>
      </c>
      <c r="G102" s="240">
        <v>2</v>
      </c>
      <c r="H102" s="237">
        <v>200000</v>
      </c>
      <c r="I102" s="237">
        <f>ROUND(G102*H102,2)</f>
        <v>400000</v>
      </c>
    </row>
    <row r="103" spans="1:11" x14ac:dyDescent="0.25">
      <c r="A103" s="710" t="s">
        <v>626</v>
      </c>
      <c r="B103" s="711"/>
      <c r="C103" s="711"/>
      <c r="D103" s="711"/>
      <c r="E103" s="712"/>
      <c r="F103" s="242" t="s">
        <v>155</v>
      </c>
      <c r="G103" s="240">
        <v>2</v>
      </c>
      <c r="H103" s="237">
        <v>50000</v>
      </c>
      <c r="I103" s="237">
        <f>ROUND(G103*H103,2)</f>
        <v>100000</v>
      </c>
    </row>
    <row r="104" spans="1:11" x14ac:dyDescent="0.25">
      <c r="A104" s="708" t="s">
        <v>628</v>
      </c>
      <c r="B104" s="709"/>
      <c r="C104" s="709"/>
      <c r="D104" s="709"/>
      <c r="E104" s="709"/>
      <c r="F104" s="709"/>
      <c r="G104" s="709"/>
      <c r="H104" s="709"/>
      <c r="I104" s="709"/>
    </row>
    <row r="105" spans="1:11" x14ac:dyDescent="0.25">
      <c r="A105" s="710" t="s">
        <v>627</v>
      </c>
      <c r="B105" s="711"/>
      <c r="C105" s="711"/>
      <c r="D105" s="711"/>
      <c r="E105" s="712"/>
      <c r="F105" s="241" t="s">
        <v>617</v>
      </c>
      <c r="G105" s="240">
        <v>12</v>
      </c>
      <c r="H105" s="237">
        <v>30000</v>
      </c>
      <c r="I105" s="237">
        <f>ROUND(G105*H105,2)</f>
        <v>360000</v>
      </c>
    </row>
    <row r="106" spans="1:11" x14ac:dyDescent="0.25">
      <c r="A106" s="708" t="s">
        <v>626</v>
      </c>
      <c r="B106" s="709"/>
      <c r="C106" s="709"/>
      <c r="D106" s="709"/>
      <c r="E106" s="709"/>
      <c r="F106" s="709"/>
      <c r="G106" s="709"/>
      <c r="H106" s="709"/>
      <c r="I106" s="709"/>
    </row>
    <row r="107" spans="1:11" x14ac:dyDescent="0.25">
      <c r="A107" s="730" t="s">
        <v>625</v>
      </c>
      <c r="B107" s="730"/>
      <c r="C107" s="730"/>
      <c r="D107" s="730"/>
      <c r="E107" s="731"/>
      <c r="F107" s="236" t="s">
        <v>623</v>
      </c>
      <c r="G107" s="235">
        <v>90000</v>
      </c>
      <c r="H107" s="234">
        <v>1.5</v>
      </c>
      <c r="I107" s="234">
        <f t="shared" ref="I107:I112" si="4">ROUND(G107*H107,2)</f>
        <v>135000</v>
      </c>
    </row>
    <row r="108" spans="1:11" ht="29.25" customHeight="1" x14ac:dyDescent="0.25">
      <c r="A108" s="730" t="s">
        <v>624</v>
      </c>
      <c r="B108" s="730"/>
      <c r="C108" s="730"/>
      <c r="D108" s="730"/>
      <c r="E108" s="731"/>
      <c r="F108" s="236" t="s">
        <v>623</v>
      </c>
      <c r="G108" s="235">
        <v>90000</v>
      </c>
      <c r="H108" s="234">
        <v>2.5</v>
      </c>
      <c r="I108" s="234">
        <f t="shared" si="4"/>
        <v>225000</v>
      </c>
    </row>
    <row r="109" spans="1:11" x14ac:dyDescent="0.25">
      <c r="A109" s="238" t="s">
        <v>622</v>
      </c>
      <c r="B109" s="238"/>
      <c r="C109" s="239"/>
      <c r="D109" s="238"/>
      <c r="E109" s="238"/>
      <c r="F109" s="236" t="s">
        <v>620</v>
      </c>
      <c r="G109" s="235">
        <v>500</v>
      </c>
      <c r="H109" s="237">
        <v>80</v>
      </c>
      <c r="I109" s="237">
        <f t="shared" si="4"/>
        <v>40000</v>
      </c>
    </row>
    <row r="110" spans="1:11" ht="26.25" customHeight="1" x14ac:dyDescent="0.25">
      <c r="A110" s="730" t="s">
        <v>621</v>
      </c>
      <c r="B110" s="730"/>
      <c r="C110" s="730"/>
      <c r="D110" s="730"/>
      <c r="E110" s="731"/>
      <c r="F110" s="236" t="s">
        <v>620</v>
      </c>
      <c r="G110" s="235">
        <v>1250</v>
      </c>
      <c r="H110" s="234">
        <v>450</v>
      </c>
      <c r="I110" s="234">
        <f t="shared" si="4"/>
        <v>562500</v>
      </c>
    </row>
    <row r="111" spans="1:11" ht="25.5" customHeight="1" x14ac:dyDescent="0.25">
      <c r="A111" s="730" t="s">
        <v>619</v>
      </c>
      <c r="B111" s="730"/>
      <c r="C111" s="730"/>
      <c r="D111" s="730"/>
      <c r="E111" s="731"/>
      <c r="F111" s="236" t="s">
        <v>617</v>
      </c>
      <c r="G111" s="235">
        <v>6</v>
      </c>
      <c r="H111" s="234">
        <v>50000</v>
      </c>
      <c r="I111" s="234">
        <f t="shared" si="4"/>
        <v>300000</v>
      </c>
    </row>
    <row r="112" spans="1:11" x14ac:dyDescent="0.25">
      <c r="A112" s="730" t="s">
        <v>618</v>
      </c>
      <c r="B112" s="730"/>
      <c r="C112" s="730"/>
      <c r="D112" s="730"/>
      <c r="E112" s="731"/>
      <c r="F112" s="236" t="s">
        <v>617</v>
      </c>
      <c r="G112" s="235">
        <v>6</v>
      </c>
      <c r="H112" s="234">
        <v>100000</v>
      </c>
      <c r="I112" s="234">
        <f t="shared" si="4"/>
        <v>600000</v>
      </c>
    </row>
    <row r="113" spans="1:9" x14ac:dyDescent="0.25">
      <c r="A113" s="233"/>
      <c r="B113" s="232"/>
      <c r="C113" s="232"/>
      <c r="D113" s="232"/>
      <c r="E113" s="232"/>
      <c r="F113" s="231"/>
      <c r="G113" s="230"/>
      <c r="H113" s="229"/>
      <c r="I113" s="228"/>
    </row>
    <row r="114" spans="1:9" ht="15.75" thickBot="1" x14ac:dyDescent="0.3">
      <c r="A114" s="723" t="s">
        <v>616</v>
      </c>
      <c r="B114" s="724"/>
      <c r="C114" s="724"/>
      <c r="D114" s="724"/>
      <c r="E114" s="724"/>
      <c r="F114" s="724"/>
      <c r="G114" s="725"/>
      <c r="H114" s="227"/>
      <c r="I114" s="22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4137383.2</v>
      </c>
    </row>
  </sheetData>
  <mergeCells count="68"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9:E39"/>
    <mergeCell ref="A41:E41"/>
    <mergeCell ref="A33:E33"/>
    <mergeCell ref="A40:G40"/>
    <mergeCell ref="A60:G60"/>
    <mergeCell ref="A94:E94"/>
    <mergeCell ref="A97:E97"/>
    <mergeCell ref="A98:E98"/>
    <mergeCell ref="A99:G99"/>
    <mergeCell ref="A102:E102"/>
    <mergeCell ref="A24:E24"/>
    <mergeCell ref="A25:E25"/>
    <mergeCell ref="A26:E26"/>
    <mergeCell ref="A27:E27"/>
    <mergeCell ref="A28:E28"/>
    <mergeCell ref="A104:I104"/>
    <mergeCell ref="A105:E105"/>
    <mergeCell ref="A100:I100"/>
    <mergeCell ref="A95:E95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9"/>
  <sheetViews>
    <sheetView showGridLines="0" zoomScale="90" zoomScaleNormal="90" workbookViewId="0">
      <selection activeCell="D33" sqref="D33"/>
    </sheetView>
  </sheetViews>
  <sheetFormatPr defaultRowHeight="15" x14ac:dyDescent="0.25"/>
  <cols>
    <col min="1" max="1" width="24.42578125" bestFit="1" customWidth="1"/>
    <col min="2" max="2" width="67.140625" style="312" customWidth="1"/>
    <col min="3" max="3" width="35.85546875" style="313" bestFit="1" customWidth="1"/>
    <col min="4" max="4" width="96.140625" bestFit="1" customWidth="1"/>
    <col min="5" max="5" width="14.7109375" style="314" customWidth="1"/>
    <col min="6" max="6" width="16.5703125" customWidth="1"/>
    <col min="7" max="7" width="19.8554687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9" t="s">
        <v>707</v>
      </c>
      <c r="E3"/>
      <c r="F3" s="295" t="s">
        <v>711</v>
      </c>
      <c r="G3" s="296">
        <f>'Anexo 5_CF_FRA_valores MI'!I58</f>
        <v>1208077582.5599613</v>
      </c>
    </row>
    <row r="4" spans="1:9" x14ac:dyDescent="0.25">
      <c r="A4" s="7" t="s">
        <v>708</v>
      </c>
      <c r="B4" s="290">
        <f>SUM(B5:B8)</f>
        <v>30758588.722308621</v>
      </c>
      <c r="C4" s="7"/>
      <c r="E4"/>
      <c r="F4" s="7" t="s">
        <v>712</v>
      </c>
      <c r="G4" s="297">
        <f>G3</f>
        <v>1208077582.5599613</v>
      </c>
    </row>
    <row r="5" spans="1:9" x14ac:dyDescent="0.25">
      <c r="A5" s="7" t="s">
        <v>6</v>
      </c>
      <c r="B5" s="291">
        <v>50000</v>
      </c>
      <c r="C5" s="292">
        <v>1E-3</v>
      </c>
      <c r="E5"/>
      <c r="F5" s="7" t="s">
        <v>713</v>
      </c>
      <c r="G5" s="298">
        <v>0</v>
      </c>
    </row>
    <row r="6" spans="1:9" x14ac:dyDescent="0.25">
      <c r="A6" s="7" t="s">
        <v>7</v>
      </c>
      <c r="B6" s="293">
        <f>G6</f>
        <v>18784827.122308619</v>
      </c>
      <c r="C6" s="7"/>
      <c r="E6"/>
      <c r="F6" s="7" t="s">
        <v>714</v>
      </c>
      <c r="G6" s="299">
        <f>-PMT(G8,G7,,G4)</f>
        <v>18784827.122308619</v>
      </c>
    </row>
    <row r="7" spans="1:9" x14ac:dyDescent="0.25">
      <c r="A7" s="7" t="s">
        <v>709</v>
      </c>
      <c r="B7" s="303">
        <v>11923761.6</v>
      </c>
      <c r="C7" s="7"/>
      <c r="E7"/>
      <c r="F7" s="7" t="s">
        <v>715</v>
      </c>
      <c r="G7" s="298">
        <f>'Anexo 5_CF_FRA_valores MI'!D75</f>
        <v>30</v>
      </c>
    </row>
    <row r="8" spans="1:9" x14ac:dyDescent="0.25">
      <c r="A8" s="301" t="s">
        <v>710</v>
      </c>
      <c r="B8" s="294">
        <v>0</v>
      </c>
      <c r="C8" s="302">
        <v>5.0000000000000001E-3</v>
      </c>
      <c r="E8"/>
      <c r="F8" s="7" t="s">
        <v>716</v>
      </c>
      <c r="G8" s="300">
        <v>4.8099999999999997E-2</v>
      </c>
    </row>
    <row r="15" spans="1:9" ht="21" x14ac:dyDescent="0.25">
      <c r="B15" s="762" t="s">
        <v>740</v>
      </c>
      <c r="C15" s="762"/>
      <c r="D15" s="762"/>
      <c r="E15" s="762"/>
      <c r="F15" s="762"/>
      <c r="G15" s="762"/>
    </row>
    <row r="16" spans="1:9" s="316" customFormat="1" ht="45" x14ac:dyDescent="0.25">
      <c r="A16" s="315" t="s">
        <v>741</v>
      </c>
      <c r="B16" s="315" t="s">
        <v>559</v>
      </c>
      <c r="C16" s="315" t="s">
        <v>742</v>
      </c>
      <c r="D16" s="315" t="s">
        <v>743</v>
      </c>
      <c r="E16" s="315" t="s">
        <v>744</v>
      </c>
      <c r="F16" s="315" t="s">
        <v>745</v>
      </c>
      <c r="G16" s="315" t="s">
        <v>746</v>
      </c>
      <c r="H16" s="315" t="s">
        <v>747</v>
      </c>
      <c r="I16" s="315" t="s">
        <v>748</v>
      </c>
    </row>
    <row r="17" spans="1:9" s="316" customFormat="1" x14ac:dyDescent="0.25">
      <c r="A17" s="460"/>
      <c r="B17" s="759" t="s">
        <v>749</v>
      </c>
      <c r="C17" s="759"/>
      <c r="D17" s="759"/>
      <c r="E17" s="317"/>
      <c r="F17" s="318"/>
      <c r="G17" s="319">
        <f>SUM(G18:G24)</f>
        <v>200582845.56</v>
      </c>
      <c r="H17" s="318"/>
      <c r="I17" s="319">
        <f>SUM(I18:I24)</f>
        <v>354996944.75927991</v>
      </c>
    </row>
    <row r="18" spans="1:9" ht="30" x14ac:dyDescent="0.25">
      <c r="A18" s="7" t="s">
        <v>721</v>
      </c>
      <c r="B18" s="462" t="s">
        <v>750</v>
      </c>
      <c r="C18" s="224" t="s">
        <v>751</v>
      </c>
      <c r="D18" s="320" t="s">
        <v>752</v>
      </c>
      <c r="E18" s="320" t="s">
        <v>753</v>
      </c>
      <c r="F18" s="220">
        <v>38481</v>
      </c>
      <c r="G18" s="219">
        <v>34290314</v>
      </c>
      <c r="H18" s="321">
        <v>1.9279999999999999</v>
      </c>
      <c r="I18" s="12">
        <f t="shared" ref="I18:I24" si="0">G18*H18</f>
        <v>66111725.391999997</v>
      </c>
    </row>
    <row r="19" spans="1:9" ht="15" customHeight="1" x14ac:dyDescent="0.25">
      <c r="A19" s="7" t="s">
        <v>721</v>
      </c>
      <c r="B19" s="760" t="s">
        <v>754</v>
      </c>
      <c r="C19" s="763" t="s">
        <v>751</v>
      </c>
      <c r="D19" s="320" t="s">
        <v>755</v>
      </c>
      <c r="E19" s="320" t="s">
        <v>756</v>
      </c>
      <c r="F19" s="220">
        <v>38481</v>
      </c>
      <c r="G19" s="219">
        <v>18297602</v>
      </c>
      <c r="H19" s="321">
        <v>1.9279999999999999</v>
      </c>
      <c r="I19" s="12">
        <f t="shared" si="0"/>
        <v>35277776.655999996</v>
      </c>
    </row>
    <row r="20" spans="1:9" x14ac:dyDescent="0.25">
      <c r="A20" s="7" t="s">
        <v>721</v>
      </c>
      <c r="B20" s="761"/>
      <c r="C20" s="764"/>
      <c r="D20" s="320" t="s">
        <v>757</v>
      </c>
      <c r="E20" s="320" t="s">
        <v>753</v>
      </c>
      <c r="F20" s="220">
        <v>38481</v>
      </c>
      <c r="G20" s="219">
        <v>45188398</v>
      </c>
      <c r="H20" s="321">
        <v>1.9279999999999999</v>
      </c>
      <c r="I20" s="12">
        <f t="shared" si="0"/>
        <v>87123231.343999997</v>
      </c>
    </row>
    <row r="21" spans="1:9" x14ac:dyDescent="0.25">
      <c r="A21" s="7" t="s">
        <v>721</v>
      </c>
      <c r="B21" s="462" t="s">
        <v>758</v>
      </c>
      <c r="C21" s="224" t="s">
        <v>759</v>
      </c>
      <c r="D21" s="320" t="s">
        <v>760</v>
      </c>
      <c r="E21" s="320" t="s">
        <v>756</v>
      </c>
      <c r="F21" s="220">
        <v>38492</v>
      </c>
      <c r="G21" s="219">
        <v>47482000</v>
      </c>
      <c r="H21" s="321">
        <v>1.9279999999999999</v>
      </c>
      <c r="I21" s="12">
        <f t="shared" si="0"/>
        <v>91545296</v>
      </c>
    </row>
    <row r="22" spans="1:9" x14ac:dyDescent="0.25">
      <c r="A22" s="7" t="s">
        <v>721</v>
      </c>
      <c r="B22" s="462" t="s">
        <v>761</v>
      </c>
      <c r="C22" s="224" t="s">
        <v>762</v>
      </c>
      <c r="D22" s="320" t="s">
        <v>763</v>
      </c>
      <c r="E22" s="320" t="s">
        <v>756</v>
      </c>
      <c r="F22" s="220">
        <v>40848</v>
      </c>
      <c r="G22" s="219">
        <v>11141775.189999999</v>
      </c>
      <c r="H22" s="321">
        <v>1.3859999999999999</v>
      </c>
      <c r="I22" s="12">
        <f t="shared" si="0"/>
        <v>15442500.413339999</v>
      </c>
    </row>
    <row r="23" spans="1:9" x14ac:dyDescent="0.25">
      <c r="A23" s="7" t="s">
        <v>721</v>
      </c>
      <c r="B23" s="462" t="s">
        <v>764</v>
      </c>
      <c r="C23" s="224" t="s">
        <v>765</v>
      </c>
      <c r="D23" s="320" t="s">
        <v>766</v>
      </c>
      <c r="E23" s="320"/>
      <c r="F23" s="220">
        <v>41091</v>
      </c>
      <c r="G23" s="219">
        <v>36268445.31000001</v>
      </c>
      <c r="H23" s="321">
        <v>1.3380000000000001</v>
      </c>
      <c r="I23" s="12">
        <f t="shared" si="0"/>
        <v>48527179.824780017</v>
      </c>
    </row>
    <row r="24" spans="1:9" x14ac:dyDescent="0.25">
      <c r="A24" s="307" t="s">
        <v>731</v>
      </c>
      <c r="B24" s="462" t="s">
        <v>767</v>
      </c>
      <c r="C24" s="224" t="s">
        <v>768</v>
      </c>
      <c r="D24" s="320" t="s">
        <v>769</v>
      </c>
      <c r="E24" s="320" t="s">
        <v>756</v>
      </c>
      <c r="F24" s="220">
        <v>40848</v>
      </c>
      <c r="G24" s="219">
        <v>7914311.0599999996</v>
      </c>
      <c r="H24" s="321">
        <v>1.3859999999999999</v>
      </c>
      <c r="I24" s="12">
        <f t="shared" si="0"/>
        <v>10969235.129159998</v>
      </c>
    </row>
    <row r="25" spans="1:9" s="316" customFormat="1" x14ac:dyDescent="0.25">
      <c r="A25" s="460"/>
      <c r="B25" s="759" t="s">
        <v>770</v>
      </c>
      <c r="C25" s="759"/>
      <c r="D25" s="759"/>
      <c r="E25" s="317"/>
      <c r="F25" s="318"/>
      <c r="G25" s="319">
        <f>SUM(G26:G36)</f>
        <v>243424941.77871838</v>
      </c>
      <c r="H25" s="318"/>
      <c r="I25" s="319">
        <f>SUM(I26:I36)</f>
        <v>371158664.50029087</v>
      </c>
    </row>
    <row r="26" spans="1:9" ht="30" x14ac:dyDescent="0.25">
      <c r="A26" s="307" t="s">
        <v>771</v>
      </c>
      <c r="B26" s="462" t="s">
        <v>772</v>
      </c>
      <c r="C26" s="322" t="s">
        <v>773</v>
      </c>
      <c r="D26" s="320" t="s">
        <v>774</v>
      </c>
      <c r="E26" s="222" t="s">
        <v>753</v>
      </c>
      <c r="F26" s="220">
        <v>39892</v>
      </c>
      <c r="G26" s="219">
        <v>41371400.27871836</v>
      </c>
      <c r="H26" s="7">
        <v>1.591</v>
      </c>
      <c r="I26" s="12">
        <f t="shared" ref="I26:I36" si="1">G26*H26</f>
        <v>65821897.843440913</v>
      </c>
    </row>
    <row r="27" spans="1:9" ht="30" x14ac:dyDescent="0.25">
      <c r="A27" s="307" t="s">
        <v>723</v>
      </c>
      <c r="B27" s="462" t="s">
        <v>775</v>
      </c>
      <c r="C27" s="322" t="s">
        <v>773</v>
      </c>
      <c r="D27" s="320" t="s">
        <v>776</v>
      </c>
      <c r="E27" s="222" t="s">
        <v>756</v>
      </c>
      <c r="F27" s="220"/>
      <c r="G27" s="219">
        <v>57656162.530000001</v>
      </c>
      <c r="H27" s="7">
        <v>1.591</v>
      </c>
      <c r="I27" s="12">
        <f t="shared" si="1"/>
        <v>91730954.585229993</v>
      </c>
    </row>
    <row r="28" spans="1:9" x14ac:dyDescent="0.25">
      <c r="A28" s="307" t="s">
        <v>731</v>
      </c>
      <c r="B28" s="463" t="s">
        <v>777</v>
      </c>
      <c r="C28" s="323" t="s">
        <v>778</v>
      </c>
      <c r="D28" s="320" t="s">
        <v>779</v>
      </c>
      <c r="E28" s="320" t="s">
        <v>756</v>
      </c>
      <c r="F28" s="220">
        <v>39892</v>
      </c>
      <c r="G28" s="219">
        <v>0</v>
      </c>
      <c r="H28" s="321"/>
      <c r="I28" s="12">
        <f t="shared" si="1"/>
        <v>0</v>
      </c>
    </row>
    <row r="29" spans="1:9" x14ac:dyDescent="0.25">
      <c r="A29" s="307" t="s">
        <v>733</v>
      </c>
      <c r="B29" s="462" t="s">
        <v>780</v>
      </c>
      <c r="C29" s="324" t="s">
        <v>781</v>
      </c>
      <c r="D29" s="325" t="s">
        <v>782</v>
      </c>
      <c r="E29" s="222" t="s">
        <v>756</v>
      </c>
      <c r="F29" s="220"/>
      <c r="G29" s="219">
        <v>14619857</v>
      </c>
      <c r="H29" s="7">
        <v>1.591</v>
      </c>
      <c r="I29" s="12">
        <f t="shared" si="1"/>
        <v>23260192.487</v>
      </c>
    </row>
    <row r="30" spans="1:9" x14ac:dyDescent="0.25">
      <c r="A30" s="307" t="s">
        <v>771</v>
      </c>
      <c r="B30" s="462" t="s">
        <v>783</v>
      </c>
      <c r="C30" s="324" t="s">
        <v>784</v>
      </c>
      <c r="D30" s="320" t="s">
        <v>785</v>
      </c>
      <c r="E30" s="222" t="s">
        <v>753</v>
      </c>
      <c r="F30" s="220">
        <v>41671</v>
      </c>
      <c r="G30" s="219">
        <v>38690655.719999999</v>
      </c>
      <c r="H30" s="321">
        <v>1.208</v>
      </c>
      <c r="I30" s="12">
        <f t="shared" si="1"/>
        <v>46738312.109759994</v>
      </c>
    </row>
    <row r="31" spans="1:9" x14ac:dyDescent="0.25">
      <c r="A31" s="307" t="s">
        <v>730</v>
      </c>
      <c r="B31" s="462" t="s">
        <v>786</v>
      </c>
      <c r="C31" s="324" t="s">
        <v>787</v>
      </c>
      <c r="D31" s="325" t="s">
        <v>788</v>
      </c>
      <c r="E31" s="222" t="s">
        <v>753</v>
      </c>
      <c r="F31" s="220">
        <v>41671</v>
      </c>
      <c r="G31" s="219">
        <v>2279364.9000000004</v>
      </c>
      <c r="H31" s="321">
        <v>1.208</v>
      </c>
      <c r="I31" s="12">
        <f t="shared" si="1"/>
        <v>2753472.7992000002</v>
      </c>
    </row>
    <row r="32" spans="1:9" x14ac:dyDescent="0.25">
      <c r="A32" s="307" t="s">
        <v>733</v>
      </c>
      <c r="B32" s="462" t="s">
        <v>789</v>
      </c>
      <c r="C32" s="324" t="s">
        <v>787</v>
      </c>
      <c r="D32" s="221" t="s">
        <v>790</v>
      </c>
      <c r="E32" s="222" t="s">
        <v>791</v>
      </c>
      <c r="F32" s="220">
        <v>41671</v>
      </c>
      <c r="G32" s="219">
        <v>1145952.93</v>
      </c>
      <c r="H32" s="321">
        <v>1.208</v>
      </c>
      <c r="I32" s="12">
        <f t="shared" si="1"/>
        <v>1384311.1394399998</v>
      </c>
    </row>
    <row r="33" spans="1:9" x14ac:dyDescent="0.25">
      <c r="A33" s="307" t="s">
        <v>733</v>
      </c>
      <c r="B33" s="462" t="s">
        <v>792</v>
      </c>
      <c r="C33" s="324" t="s">
        <v>793</v>
      </c>
      <c r="D33" s="320" t="s">
        <v>794</v>
      </c>
      <c r="E33" s="222" t="s">
        <v>753</v>
      </c>
      <c r="F33" s="220">
        <v>39892</v>
      </c>
      <c r="G33" s="219">
        <v>10521695.710000001</v>
      </c>
      <c r="H33" s="7">
        <v>1.591</v>
      </c>
      <c r="I33" s="12">
        <f t="shared" si="1"/>
        <v>16740017.874610001</v>
      </c>
    </row>
    <row r="34" spans="1:9" x14ac:dyDescent="0.25">
      <c r="A34" s="307" t="s">
        <v>730</v>
      </c>
      <c r="B34" s="462" t="s">
        <v>795</v>
      </c>
      <c r="C34" s="324" t="s">
        <v>796</v>
      </c>
      <c r="D34" s="325" t="s">
        <v>797</v>
      </c>
      <c r="E34" s="222" t="s">
        <v>753</v>
      </c>
      <c r="F34" s="220">
        <v>39892</v>
      </c>
      <c r="G34" s="219">
        <v>23471086.82</v>
      </c>
      <c r="H34" s="7">
        <v>1.591</v>
      </c>
      <c r="I34" s="12">
        <f t="shared" si="1"/>
        <v>37342499.130620003</v>
      </c>
    </row>
    <row r="35" spans="1:9" x14ac:dyDescent="0.25">
      <c r="A35" s="307" t="s">
        <v>730</v>
      </c>
      <c r="B35" s="462" t="s">
        <v>798</v>
      </c>
      <c r="C35" s="324" t="s">
        <v>796</v>
      </c>
      <c r="D35" s="325" t="s">
        <v>799</v>
      </c>
      <c r="E35" s="222" t="s">
        <v>756</v>
      </c>
      <c r="F35" s="220">
        <v>39892</v>
      </c>
      <c r="G35" s="219">
        <v>28494245.920000002</v>
      </c>
      <c r="H35" s="7">
        <v>1.591</v>
      </c>
      <c r="I35" s="12">
        <f t="shared" si="1"/>
        <v>45334345.258720003</v>
      </c>
    </row>
    <row r="36" spans="1:9" x14ac:dyDescent="0.25">
      <c r="A36" s="307" t="s">
        <v>731</v>
      </c>
      <c r="B36" s="462" t="s">
        <v>800</v>
      </c>
      <c r="C36" s="324" t="s">
        <v>796</v>
      </c>
      <c r="D36" s="320" t="s">
        <v>801</v>
      </c>
      <c r="E36" s="222" t="s">
        <v>753</v>
      </c>
      <c r="F36" s="220">
        <v>39892</v>
      </c>
      <c r="G36" s="219">
        <v>25174519.969999999</v>
      </c>
      <c r="H36" s="7">
        <v>1.591</v>
      </c>
      <c r="I36" s="12">
        <f t="shared" si="1"/>
        <v>40052661.272269994</v>
      </c>
    </row>
    <row r="37" spans="1:9" s="316" customFormat="1" x14ac:dyDescent="0.25">
      <c r="A37" s="460"/>
      <c r="B37" s="759" t="s">
        <v>802</v>
      </c>
      <c r="C37" s="759"/>
      <c r="D37" s="759"/>
      <c r="E37" s="317"/>
      <c r="F37" s="318"/>
      <c r="G37" s="319">
        <f>SUM(G38:G57)</f>
        <v>342034795.67164117</v>
      </c>
      <c r="H37" s="318"/>
      <c r="I37" s="319">
        <f>SUM(I38:I57)</f>
        <v>481921973.3003906</v>
      </c>
    </row>
    <row r="38" spans="1:9" x14ac:dyDescent="0.25">
      <c r="A38" s="307" t="s">
        <v>735</v>
      </c>
      <c r="B38" s="464" t="s">
        <v>602</v>
      </c>
      <c r="C38" s="224" t="s">
        <v>803</v>
      </c>
      <c r="D38" s="222" t="s">
        <v>601</v>
      </c>
      <c r="E38" s="222" t="s">
        <v>753</v>
      </c>
      <c r="F38" s="220">
        <v>41573</v>
      </c>
      <c r="G38" s="219">
        <v>13977401.869999999</v>
      </c>
      <c r="H38" s="7">
        <v>1.2350000000000001</v>
      </c>
      <c r="I38" s="12">
        <f t="shared" ref="I38:I57" si="2">G38*H38</f>
        <v>17262091.309450001</v>
      </c>
    </row>
    <row r="39" spans="1:9" x14ac:dyDescent="0.25">
      <c r="A39" s="307" t="s">
        <v>735</v>
      </c>
      <c r="B39" s="464" t="s">
        <v>600</v>
      </c>
      <c r="C39" s="224" t="s">
        <v>803</v>
      </c>
      <c r="D39" s="222" t="s">
        <v>599</v>
      </c>
      <c r="E39" s="222" t="s">
        <v>753</v>
      </c>
      <c r="F39" s="220">
        <v>41573</v>
      </c>
      <c r="G39" s="219">
        <v>16480155.34</v>
      </c>
      <c r="H39" s="7">
        <v>1.2350000000000001</v>
      </c>
      <c r="I39" s="12">
        <f t="shared" si="2"/>
        <v>20352991.844900001</v>
      </c>
    </row>
    <row r="40" spans="1:9" x14ac:dyDescent="0.25">
      <c r="A40" s="307" t="s">
        <v>727</v>
      </c>
      <c r="B40" s="462" t="s">
        <v>554</v>
      </c>
      <c r="C40" s="224" t="s">
        <v>804</v>
      </c>
      <c r="D40" s="222" t="s">
        <v>553</v>
      </c>
      <c r="E40" s="222" t="s">
        <v>756</v>
      </c>
      <c r="F40" s="220">
        <v>40017</v>
      </c>
      <c r="G40" s="219">
        <v>35309770.784000002</v>
      </c>
      <c r="H40" s="321">
        <v>1.6080000000000001</v>
      </c>
      <c r="I40" s="12">
        <f t="shared" si="2"/>
        <v>56778111.420672007</v>
      </c>
    </row>
    <row r="41" spans="1:9" x14ac:dyDescent="0.25">
      <c r="A41" s="307" t="s">
        <v>727</v>
      </c>
      <c r="B41" s="462" t="s">
        <v>552</v>
      </c>
      <c r="C41" s="224" t="s">
        <v>804</v>
      </c>
      <c r="D41" s="222" t="s">
        <v>551</v>
      </c>
      <c r="E41" s="222" t="s">
        <v>753</v>
      </c>
      <c r="F41" s="220">
        <v>40017</v>
      </c>
      <c r="G41" s="219">
        <v>40251043.048999995</v>
      </c>
      <c r="H41" s="321">
        <v>1.6080000000000001</v>
      </c>
      <c r="I41" s="12">
        <f t="shared" si="2"/>
        <v>64723677.222791992</v>
      </c>
    </row>
    <row r="42" spans="1:9" ht="30" x14ac:dyDescent="0.25">
      <c r="A42" s="307" t="s">
        <v>727</v>
      </c>
      <c r="B42" s="462" t="s">
        <v>550</v>
      </c>
      <c r="C42" s="224" t="s">
        <v>805</v>
      </c>
      <c r="D42" s="223" t="s">
        <v>549</v>
      </c>
      <c r="E42" s="222" t="s">
        <v>756</v>
      </c>
      <c r="F42" s="220">
        <v>41500</v>
      </c>
      <c r="G42" s="219">
        <v>20161090.785599999</v>
      </c>
      <c r="H42" s="321">
        <v>1.2549999999999999</v>
      </c>
      <c r="I42" s="12">
        <f t="shared" si="2"/>
        <v>25302168.935927998</v>
      </c>
    </row>
    <row r="43" spans="1:9" ht="30" x14ac:dyDescent="0.25">
      <c r="A43" s="307" t="s">
        <v>725</v>
      </c>
      <c r="B43" s="462" t="s">
        <v>597</v>
      </c>
      <c r="C43" s="224" t="s">
        <v>806</v>
      </c>
      <c r="D43" s="223" t="s">
        <v>596</v>
      </c>
      <c r="E43" s="222" t="s">
        <v>753</v>
      </c>
      <c r="F43" s="220">
        <v>40017</v>
      </c>
      <c r="G43" s="219">
        <v>30616347.631999988</v>
      </c>
      <c r="H43" s="321">
        <v>1.6080000000000001</v>
      </c>
      <c r="I43" s="12">
        <f t="shared" si="2"/>
        <v>49231086.992255986</v>
      </c>
    </row>
    <row r="44" spans="1:9" ht="30" x14ac:dyDescent="0.25">
      <c r="A44" s="307" t="s">
        <v>725</v>
      </c>
      <c r="B44" s="462" t="s">
        <v>594</v>
      </c>
      <c r="C44" s="224" t="s">
        <v>807</v>
      </c>
      <c r="D44" s="223" t="s">
        <v>595</v>
      </c>
      <c r="E44" s="222" t="s">
        <v>756</v>
      </c>
      <c r="F44" s="220">
        <v>41410</v>
      </c>
      <c r="G44" s="219">
        <v>21119291.794</v>
      </c>
      <c r="H44" s="218">
        <v>1.268</v>
      </c>
      <c r="I44" s="12">
        <f t="shared" si="2"/>
        <v>26779261.994791999</v>
      </c>
    </row>
    <row r="45" spans="1:9" ht="30" x14ac:dyDescent="0.25">
      <c r="A45" s="307" t="s">
        <v>725</v>
      </c>
      <c r="B45" s="462" t="s">
        <v>594</v>
      </c>
      <c r="C45" s="224" t="s">
        <v>808</v>
      </c>
      <c r="D45" s="223" t="s">
        <v>593</v>
      </c>
      <c r="E45" s="222" t="s">
        <v>756</v>
      </c>
      <c r="F45" s="220">
        <v>41410</v>
      </c>
      <c r="G45" s="219">
        <v>33980015.173999995</v>
      </c>
      <c r="H45" s="218">
        <v>1.268</v>
      </c>
      <c r="I45" s="12">
        <f t="shared" si="2"/>
        <v>43086659.240631998</v>
      </c>
    </row>
    <row r="46" spans="1:9" ht="30" x14ac:dyDescent="0.25">
      <c r="A46" s="307" t="s">
        <v>737</v>
      </c>
      <c r="B46" s="462" t="s">
        <v>809</v>
      </c>
      <c r="C46" s="224" t="s">
        <v>810</v>
      </c>
      <c r="D46" s="223" t="s">
        <v>811</v>
      </c>
      <c r="E46" s="222" t="s">
        <v>756</v>
      </c>
      <c r="F46" s="220">
        <v>40359</v>
      </c>
      <c r="G46" s="219">
        <v>6871270.2400000002</v>
      </c>
      <c r="H46" s="321">
        <v>1.5409999999999999</v>
      </c>
      <c r="I46" s="12">
        <f t="shared" si="2"/>
        <v>10588627.43984</v>
      </c>
    </row>
    <row r="47" spans="1:9" ht="30" x14ac:dyDescent="0.25">
      <c r="A47" s="307" t="s">
        <v>737</v>
      </c>
      <c r="B47" s="462" t="s">
        <v>812</v>
      </c>
      <c r="C47" s="224" t="s">
        <v>813</v>
      </c>
      <c r="D47" s="223" t="s">
        <v>814</v>
      </c>
      <c r="E47" s="222" t="s">
        <v>756</v>
      </c>
      <c r="F47" s="220">
        <v>41499</v>
      </c>
      <c r="G47" s="219">
        <v>996000</v>
      </c>
      <c r="H47" s="321">
        <v>1.2549999999999999</v>
      </c>
      <c r="I47" s="12">
        <f t="shared" si="2"/>
        <v>1249980</v>
      </c>
    </row>
    <row r="48" spans="1:9" ht="30" x14ac:dyDescent="0.25">
      <c r="A48" s="307" t="s">
        <v>737</v>
      </c>
      <c r="B48" s="462" t="s">
        <v>815</v>
      </c>
      <c r="C48" s="224" t="s">
        <v>816</v>
      </c>
      <c r="D48" s="223" t="s">
        <v>817</v>
      </c>
      <c r="E48" s="222" t="s">
        <v>753</v>
      </c>
      <c r="F48" s="220">
        <v>41370</v>
      </c>
      <c r="G48" s="219">
        <v>1960640</v>
      </c>
      <c r="H48" s="321">
        <v>1.27</v>
      </c>
      <c r="I48" s="12">
        <f t="shared" si="2"/>
        <v>2490012.7999999998</v>
      </c>
    </row>
    <row r="49" spans="1:9" ht="30" x14ac:dyDescent="0.25">
      <c r="A49" s="307" t="s">
        <v>737</v>
      </c>
      <c r="B49" s="465" t="s">
        <v>818</v>
      </c>
      <c r="C49" s="326" t="s">
        <v>816</v>
      </c>
      <c r="D49" s="327" t="s">
        <v>819</v>
      </c>
      <c r="E49" s="222" t="s">
        <v>756</v>
      </c>
      <c r="F49" s="220">
        <v>41370</v>
      </c>
      <c r="G49" s="219">
        <v>3000860</v>
      </c>
      <c r="H49" s="321">
        <v>1.27</v>
      </c>
      <c r="I49" s="12">
        <f t="shared" si="2"/>
        <v>3811092.2</v>
      </c>
    </row>
    <row r="50" spans="1:9" ht="30" x14ac:dyDescent="0.25">
      <c r="A50" s="307" t="s">
        <v>729</v>
      </c>
      <c r="B50" s="462" t="s">
        <v>820</v>
      </c>
      <c r="C50" s="224" t="s">
        <v>821</v>
      </c>
      <c r="D50" s="223" t="s">
        <v>822</v>
      </c>
      <c r="E50" s="222" t="s">
        <v>753</v>
      </c>
      <c r="F50" s="220">
        <v>40242</v>
      </c>
      <c r="G50" s="219">
        <v>23403194.578400001</v>
      </c>
      <c r="H50" s="321">
        <v>1.587</v>
      </c>
      <c r="I50" s="12">
        <f t="shared" si="2"/>
        <v>37140869.795920804</v>
      </c>
    </row>
    <row r="51" spans="1:9" ht="30" x14ac:dyDescent="0.25">
      <c r="A51" s="307" t="s">
        <v>729</v>
      </c>
      <c r="B51" s="462" t="s">
        <v>823</v>
      </c>
      <c r="C51" s="224" t="s">
        <v>821</v>
      </c>
      <c r="D51" s="223" t="s">
        <v>824</v>
      </c>
      <c r="E51" s="222" t="s">
        <v>756</v>
      </c>
      <c r="F51" s="220">
        <v>40160</v>
      </c>
      <c r="G51" s="219">
        <v>33274844.963600002</v>
      </c>
      <c r="H51" s="321">
        <v>1.611</v>
      </c>
      <c r="I51" s="12">
        <f t="shared" si="2"/>
        <v>53605775.236359604</v>
      </c>
    </row>
    <row r="52" spans="1:9" x14ac:dyDescent="0.25">
      <c r="A52" s="307" t="s">
        <v>733</v>
      </c>
      <c r="B52" s="462" t="s">
        <v>825</v>
      </c>
      <c r="C52" s="324" t="s">
        <v>787</v>
      </c>
      <c r="D52" s="221" t="s">
        <v>826</v>
      </c>
      <c r="E52" s="222" t="s">
        <v>756</v>
      </c>
      <c r="F52" s="328">
        <v>41738</v>
      </c>
      <c r="G52" s="219">
        <v>157288.69</v>
      </c>
      <c r="H52" s="321">
        <v>1.1830000000000001</v>
      </c>
      <c r="I52" s="12">
        <f t="shared" si="2"/>
        <v>186072.52027000001</v>
      </c>
    </row>
    <row r="53" spans="1:9" x14ac:dyDescent="0.25">
      <c r="A53" s="307" t="s">
        <v>733</v>
      </c>
      <c r="B53" s="462" t="s">
        <v>825</v>
      </c>
      <c r="C53" s="324" t="s">
        <v>787</v>
      </c>
      <c r="D53" s="221" t="s">
        <v>827</v>
      </c>
      <c r="E53" s="222" t="s">
        <v>756</v>
      </c>
      <c r="F53" s="328">
        <v>41738</v>
      </c>
      <c r="G53" s="219">
        <v>906531.93</v>
      </c>
      <c r="H53" s="321">
        <v>1.1830000000000001</v>
      </c>
      <c r="I53" s="12">
        <f t="shared" si="2"/>
        <v>1072427.2731900001</v>
      </c>
    </row>
    <row r="54" spans="1:9" ht="30" x14ac:dyDescent="0.25">
      <c r="A54" s="307" t="s">
        <v>737</v>
      </c>
      <c r="B54" s="462" t="s">
        <v>828</v>
      </c>
      <c r="C54" s="324" t="s">
        <v>829</v>
      </c>
      <c r="D54" s="221" t="s">
        <v>830</v>
      </c>
      <c r="E54" s="320" t="s">
        <v>756</v>
      </c>
      <c r="F54" s="220">
        <v>41791</v>
      </c>
      <c r="G54" s="219">
        <v>2389042.1021412001</v>
      </c>
      <c r="H54" s="321">
        <v>1.1759999999999999</v>
      </c>
      <c r="I54" s="12">
        <f t="shared" si="2"/>
        <v>2809513.5121180513</v>
      </c>
    </row>
    <row r="55" spans="1:9" ht="30" x14ac:dyDescent="0.25">
      <c r="A55" s="307" t="s">
        <v>727</v>
      </c>
      <c r="B55" s="462" t="s">
        <v>548</v>
      </c>
      <c r="C55" s="324" t="s">
        <v>805</v>
      </c>
      <c r="D55" s="221" t="s">
        <v>547</v>
      </c>
      <c r="E55" s="222" t="s">
        <v>753</v>
      </c>
      <c r="F55" s="220">
        <v>41879</v>
      </c>
      <c r="G55" s="219">
        <v>10507343.437200001</v>
      </c>
      <c r="H55" s="321">
        <v>1.1919999999999999</v>
      </c>
      <c r="I55" s="12">
        <f t="shared" si="2"/>
        <v>12524753.3771424</v>
      </c>
    </row>
    <row r="56" spans="1:9" x14ac:dyDescent="0.25">
      <c r="A56" s="7" t="s">
        <v>725</v>
      </c>
      <c r="B56" s="462" t="s">
        <v>592</v>
      </c>
      <c r="C56" s="324" t="s">
        <v>831</v>
      </c>
      <c r="D56" s="221" t="s">
        <v>591</v>
      </c>
      <c r="E56" s="222" t="s">
        <v>756</v>
      </c>
      <c r="F56" s="220">
        <v>42148</v>
      </c>
      <c r="G56" s="219">
        <v>39703524.853199996</v>
      </c>
      <c r="H56" s="218">
        <v>1.1339999999999999</v>
      </c>
      <c r="I56" s="12">
        <f t="shared" si="2"/>
        <v>45023797.183528788</v>
      </c>
    </row>
    <row r="57" spans="1:9" x14ac:dyDescent="0.25">
      <c r="A57" s="7" t="s">
        <v>725</v>
      </c>
      <c r="B57" s="466" t="s">
        <v>590</v>
      </c>
      <c r="C57" s="324" t="s">
        <v>831</v>
      </c>
      <c r="D57" s="221" t="s">
        <v>589</v>
      </c>
      <c r="E57" s="222" t="s">
        <v>756</v>
      </c>
      <c r="F57" s="220">
        <v>42148</v>
      </c>
      <c r="G57" s="219">
        <v>6969138.4484999999</v>
      </c>
      <c r="H57" s="218">
        <v>1.1339999999999999</v>
      </c>
      <c r="I57" s="12">
        <f t="shared" si="2"/>
        <v>7903003.0005989997</v>
      </c>
    </row>
    <row r="58" spans="1:9" s="316" customFormat="1" x14ac:dyDescent="0.25">
      <c r="A58" s="460"/>
      <c r="B58" s="759" t="s">
        <v>146</v>
      </c>
      <c r="C58" s="759"/>
      <c r="D58" s="759"/>
      <c r="E58" s="317"/>
      <c r="F58" s="318"/>
      <c r="G58" s="319">
        <f>G17+G25+G37</f>
        <v>786042583.01035953</v>
      </c>
      <c r="H58" s="318"/>
      <c r="I58" s="319">
        <f>I17+I25+I37</f>
        <v>1208077582.5599613</v>
      </c>
    </row>
    <row r="59" spans="1:9" x14ac:dyDescent="0.25">
      <c r="B59" s="329" t="s">
        <v>832</v>
      </c>
      <c r="C59" s="330"/>
      <c r="D59" s="331"/>
      <c r="E59" s="332"/>
      <c r="F59" s="331"/>
      <c r="G59" s="331"/>
      <c r="H59" s="331"/>
    </row>
    <row r="60" spans="1:9" x14ac:dyDescent="0.25">
      <c r="B60" s="329"/>
      <c r="C60" s="333"/>
      <c r="D60" s="331"/>
      <c r="E60" s="332"/>
      <c r="F60" s="331"/>
      <c r="G60" s="331"/>
      <c r="H60" s="331"/>
    </row>
    <row r="61" spans="1:9" x14ac:dyDescent="0.25">
      <c r="B61" s="329"/>
      <c r="C61" s="333"/>
      <c r="D61" s="331"/>
      <c r="E61" s="332"/>
      <c r="F61" s="331"/>
      <c r="G61" s="331"/>
      <c r="H61" s="331"/>
    </row>
    <row r="62" spans="1:9" x14ac:dyDescent="0.25">
      <c r="B62" s="329"/>
      <c r="C62" s="333"/>
      <c r="D62" s="331"/>
      <c r="E62" s="332"/>
      <c r="F62" s="331"/>
      <c r="G62" s="331"/>
      <c r="H62" s="331"/>
    </row>
    <row r="63" spans="1:9" x14ac:dyDescent="0.25">
      <c r="A63" s="304" t="s">
        <v>41</v>
      </c>
      <c r="B63" s="304" t="s">
        <v>717</v>
      </c>
      <c r="C63" s="304" t="s">
        <v>718</v>
      </c>
      <c r="D63" s="304" t="s">
        <v>719</v>
      </c>
      <c r="E63" s="758" t="s">
        <v>720</v>
      </c>
      <c r="F63" s="758"/>
      <c r="G63" s="758"/>
      <c r="H63" s="331"/>
    </row>
    <row r="64" spans="1:9" x14ac:dyDescent="0.25">
      <c r="A64" s="7" t="s">
        <v>721</v>
      </c>
      <c r="B64" s="305">
        <f>SUMIF('Anexo 5_CF_FRA_valores MI'!$A$18:$A$57,'Anexo 5_CF_FRA_valores MI'!A64,'Anexo 5_CF_FRA_valores MI'!$I$18:$I$57)</f>
        <v>344027709.63011992</v>
      </c>
      <c r="C64" s="306">
        <f t="shared" ref="C64:C73" si="3">B64/$B$74</f>
        <v>0.28477286111138028</v>
      </c>
      <c r="D64" s="15">
        <v>30</v>
      </c>
      <c r="E64" s="756" t="s">
        <v>722</v>
      </c>
      <c r="F64" s="756"/>
      <c r="G64" s="756"/>
      <c r="H64" s="331"/>
    </row>
    <row r="65" spans="1:8" x14ac:dyDescent="0.25">
      <c r="A65" s="307" t="s">
        <v>723</v>
      </c>
      <c r="B65" s="305">
        <f>SUMIF('Anexo 5_CF_FRA_valores MI'!$A$18:$A$57,'Anexo 5_CF_FRA_valores MI'!A65,'Anexo 5_CF_FRA_valores MI'!$I$18:$I$57)</f>
        <v>204291164.5384309</v>
      </c>
      <c r="C65" s="306">
        <f t="shared" si="3"/>
        <v>0.16910434187970802</v>
      </c>
      <c r="D65" s="15">
        <v>30</v>
      </c>
      <c r="E65" s="756" t="s">
        <v>724</v>
      </c>
      <c r="F65" s="756"/>
      <c r="G65" s="756"/>
      <c r="H65" s="331"/>
    </row>
    <row r="66" spans="1:8" x14ac:dyDescent="0.25">
      <c r="A66" s="307" t="s">
        <v>725</v>
      </c>
      <c r="B66" s="305">
        <f>SUMIF('Anexo 5_CF_FRA_valores MI'!$A$18:$A$57,'Anexo 5_CF_FRA_valores MI'!A66,'Anexo 5_CF_FRA_valores MI'!$I$18:$I$57)</f>
        <v>172023808.41180778</v>
      </c>
      <c r="C66" s="306">
        <f t="shared" si="3"/>
        <v>0.14239466975894291</v>
      </c>
      <c r="D66" s="15">
        <v>28</v>
      </c>
      <c r="E66" s="756" t="s">
        <v>726</v>
      </c>
      <c r="F66" s="756"/>
      <c r="G66" s="756"/>
      <c r="H66" s="331"/>
    </row>
    <row r="67" spans="1:8" x14ac:dyDescent="0.25">
      <c r="A67" s="307" t="s">
        <v>727</v>
      </c>
      <c r="B67" s="305">
        <f>SUMIF('Anexo 5_CF_FRA_valores MI'!$A$18:$A$57,'Anexo 5_CF_FRA_valores MI'!A67,'Anexo 5_CF_FRA_valores MI'!$I$18:$I$57)</f>
        <v>159328710.95653439</v>
      </c>
      <c r="C67" s="306">
        <f t="shared" si="3"/>
        <v>0.13188615802216189</v>
      </c>
      <c r="D67" s="15">
        <v>40</v>
      </c>
      <c r="E67" s="756" t="s">
        <v>728</v>
      </c>
      <c r="F67" s="756"/>
      <c r="G67" s="756"/>
      <c r="H67" s="331"/>
    </row>
    <row r="68" spans="1:8" x14ac:dyDescent="0.25">
      <c r="A68" s="307" t="s">
        <v>729</v>
      </c>
      <c r="B68" s="305">
        <f>SUMIF('Anexo 5_CF_FRA_valores MI'!$A$18:$A$57,'Anexo 5_CF_FRA_valores MI'!A68,'Anexo 5_CF_FRA_valores MI'!$I$18:$I$57)</f>
        <v>90746645.032280415</v>
      </c>
      <c r="C68" s="306">
        <f t="shared" si="3"/>
        <v>7.5116570609633282E-2</v>
      </c>
      <c r="D68" s="15">
        <v>25</v>
      </c>
      <c r="E68" s="756" t="s">
        <v>722</v>
      </c>
      <c r="F68" s="756"/>
      <c r="G68" s="756"/>
      <c r="H68" s="331"/>
    </row>
    <row r="69" spans="1:8" x14ac:dyDescent="0.25">
      <c r="A69" s="307" t="s">
        <v>730</v>
      </c>
      <c r="B69" s="305">
        <f>SUMIF('Anexo 5_CF_FRA_valores MI'!$A$18:$A$57,'Anexo 5_CF_FRA_valores MI'!A69,'Anexo 5_CF_FRA_valores MI'!$I$18:$I$57)</f>
        <v>85430317.188540012</v>
      </c>
      <c r="C69" s="306">
        <f t="shared" si="3"/>
        <v>7.0715919591447088E-2</v>
      </c>
      <c r="D69" s="15">
        <v>20</v>
      </c>
      <c r="E69" s="756" t="s">
        <v>722</v>
      </c>
      <c r="F69" s="756"/>
      <c r="G69" s="756"/>
      <c r="H69" s="331"/>
    </row>
    <row r="70" spans="1:8" x14ac:dyDescent="0.25">
      <c r="A70" s="307" t="s">
        <v>731</v>
      </c>
      <c r="B70" s="305">
        <f>SUMIF('Anexo 5_CF_FRA_valores MI'!$A$18:$A$57,'Anexo 5_CF_FRA_valores MI'!A70,'Anexo 5_CF_FRA_valores MI'!$I$18:$I$57)</f>
        <v>51021896.401429996</v>
      </c>
      <c r="C70" s="306">
        <f t="shared" si="3"/>
        <v>4.2233956773962064E-2</v>
      </c>
      <c r="D70" s="15">
        <v>30</v>
      </c>
      <c r="E70" s="756" t="s">
        <v>732</v>
      </c>
      <c r="F70" s="756"/>
      <c r="G70" s="756"/>
      <c r="H70" s="331"/>
    </row>
    <row r="71" spans="1:8" x14ac:dyDescent="0.25">
      <c r="A71" s="307" t="s">
        <v>733</v>
      </c>
      <c r="B71" s="305">
        <f>SUMIF('Anexo 5_CF_FRA_valores MI'!$A$18:$A$57,'Anexo 5_CF_FRA_valores MI'!A71,'Anexo 5_CF_FRA_valores MI'!$I$18:$I$57)</f>
        <v>42643021.294509999</v>
      </c>
      <c r="C71" s="306">
        <f t="shared" si="3"/>
        <v>3.5298247322947465E-2</v>
      </c>
      <c r="D71" s="15">
        <v>30</v>
      </c>
      <c r="E71" s="756" t="s">
        <v>734</v>
      </c>
      <c r="F71" s="756"/>
      <c r="G71" s="756"/>
      <c r="H71" s="331"/>
    </row>
    <row r="72" spans="1:8" x14ac:dyDescent="0.25">
      <c r="A72" s="307" t="s">
        <v>735</v>
      </c>
      <c r="B72" s="305">
        <f>SUMIF('Anexo 5_CF_FRA_valores MI'!$A$18:$A$57,'Anexo 5_CF_FRA_valores MI'!A72,'Anexo 5_CF_FRA_valores MI'!$I$18:$I$57)</f>
        <v>37615083.154349998</v>
      </c>
      <c r="C72" s="306">
        <f t="shared" si="3"/>
        <v>3.1136314171679468E-2</v>
      </c>
      <c r="D72" s="15">
        <v>22.5</v>
      </c>
      <c r="E72" s="756" t="s">
        <v>736</v>
      </c>
      <c r="F72" s="756"/>
      <c r="G72" s="756"/>
      <c r="H72" s="331"/>
    </row>
    <row r="73" spans="1:8" x14ac:dyDescent="0.25">
      <c r="A73" s="307" t="s">
        <v>737</v>
      </c>
      <c r="B73" s="305">
        <f>SUMIF('Anexo 5_CF_FRA_valores MI'!$A$18:$A$57,'Anexo 5_CF_FRA_valores MI'!A73,'Anexo 5_CF_FRA_valores MI'!$I$18:$I$57)</f>
        <v>20949225.951958053</v>
      </c>
      <c r="C73" s="306">
        <f t="shared" si="3"/>
        <v>1.7340960758137621E-2</v>
      </c>
      <c r="D73" s="15">
        <v>30</v>
      </c>
      <c r="E73" s="756" t="s">
        <v>738</v>
      </c>
      <c r="F73" s="756"/>
      <c r="G73" s="756"/>
      <c r="H73" s="331"/>
    </row>
    <row r="74" spans="1:8" x14ac:dyDescent="0.25">
      <c r="A74" s="308" t="s">
        <v>9</v>
      </c>
      <c r="B74" s="309">
        <f>SUM(B64:B73)</f>
        <v>1208077582.5599613</v>
      </c>
      <c r="C74" s="310">
        <f>SUM(C64:C73)</f>
        <v>1</v>
      </c>
      <c r="D74" s="311">
        <f>SUMPRODUCT(B64:B73,D64:D73)/B74</f>
        <v>29.717807835453502</v>
      </c>
      <c r="E74" s="757"/>
      <c r="F74" s="757"/>
      <c r="G74" s="757"/>
      <c r="H74" s="331"/>
    </row>
    <row r="75" spans="1:8" x14ac:dyDescent="0.25">
      <c r="A75" s="308"/>
      <c r="B75" s="308"/>
      <c r="C75" s="308" t="s">
        <v>739</v>
      </c>
      <c r="D75" s="308">
        <v>30</v>
      </c>
      <c r="E75" s="757" t="s">
        <v>478</v>
      </c>
      <c r="F75" s="757"/>
      <c r="G75" s="757"/>
      <c r="H75" s="331"/>
    </row>
    <row r="76" spans="1:8" x14ac:dyDescent="0.25">
      <c r="B76" s="329"/>
      <c r="C76" s="333"/>
      <c r="D76" s="331"/>
      <c r="E76" s="332"/>
      <c r="F76" s="331"/>
      <c r="G76" s="331"/>
      <c r="H76" s="331"/>
    </row>
    <row r="77" spans="1:8" x14ac:dyDescent="0.25">
      <c r="B77" s="329"/>
      <c r="C77" s="333"/>
      <c r="D77" s="331"/>
      <c r="E77" s="332"/>
      <c r="F77" s="331"/>
      <c r="G77" s="331"/>
      <c r="H77" s="331"/>
    </row>
    <row r="78" spans="1:8" x14ac:dyDescent="0.25">
      <c r="B78" s="329"/>
      <c r="C78" s="333"/>
      <c r="D78" s="331"/>
      <c r="E78" s="332"/>
      <c r="F78" s="331"/>
      <c r="G78" s="331"/>
      <c r="H78" s="331"/>
    </row>
    <row r="79" spans="1:8" x14ac:dyDescent="0.25">
      <c r="B79" s="329"/>
      <c r="C79" s="333"/>
      <c r="D79" s="331"/>
      <c r="E79" s="332"/>
      <c r="F79" s="331"/>
      <c r="G79" s="331"/>
      <c r="H79" s="331"/>
    </row>
    <row r="80" spans="1:8" x14ac:dyDescent="0.25">
      <c r="B80" s="329"/>
      <c r="C80" s="333"/>
      <c r="D80" s="331"/>
      <c r="E80" s="332"/>
      <c r="F80" s="331"/>
      <c r="G80" s="331"/>
      <c r="H80" s="331"/>
    </row>
    <row r="81" spans="2:8" x14ac:dyDescent="0.25">
      <c r="B81" s="329"/>
      <c r="C81" s="333"/>
      <c r="D81" s="331"/>
      <c r="E81" s="332"/>
      <c r="F81" s="331"/>
      <c r="G81" s="331"/>
      <c r="H81" s="331"/>
    </row>
    <row r="82" spans="2:8" x14ac:dyDescent="0.25">
      <c r="B82" s="329"/>
      <c r="C82" s="333"/>
      <c r="D82" s="331"/>
      <c r="E82" s="332"/>
      <c r="F82" s="331"/>
      <c r="G82" s="331"/>
      <c r="H82" s="331"/>
    </row>
    <row r="83" spans="2:8" x14ac:dyDescent="0.25">
      <c r="B83" s="329"/>
      <c r="C83" s="333"/>
      <c r="D83" s="534"/>
      <c r="E83" s="332"/>
      <c r="F83" s="331"/>
      <c r="G83" s="331"/>
      <c r="H83" s="331"/>
    </row>
    <row r="84" spans="2:8" x14ac:dyDescent="0.25">
      <c r="B84" s="329"/>
      <c r="C84" s="333"/>
      <c r="D84" s="331"/>
      <c r="E84" s="332"/>
      <c r="F84" s="331"/>
      <c r="G84" s="331"/>
      <c r="H84" s="331"/>
    </row>
    <row r="85" spans="2:8" x14ac:dyDescent="0.25">
      <c r="B85" s="329"/>
      <c r="C85" s="333"/>
      <c r="D85" s="331"/>
      <c r="E85" s="332"/>
      <c r="F85" s="331"/>
      <c r="G85" s="331"/>
      <c r="H85" s="331"/>
    </row>
    <row r="86" spans="2:8" x14ac:dyDescent="0.25">
      <c r="B86" s="329"/>
      <c r="C86" s="333"/>
      <c r="D86" s="331"/>
      <c r="E86" s="332"/>
      <c r="F86" s="331"/>
      <c r="G86" s="331"/>
      <c r="H86" s="331"/>
    </row>
    <row r="87" spans="2:8" x14ac:dyDescent="0.25">
      <c r="B87" s="329"/>
      <c r="C87" s="333"/>
      <c r="D87" s="331"/>
      <c r="E87" s="332"/>
      <c r="F87" s="331"/>
      <c r="G87" s="331"/>
      <c r="H87" s="331"/>
    </row>
    <row r="88" spans="2:8" x14ac:dyDescent="0.25">
      <c r="B88" s="329"/>
      <c r="C88" s="333"/>
      <c r="D88" s="331"/>
      <c r="E88" s="332"/>
      <c r="F88" s="331"/>
      <c r="G88" s="331"/>
      <c r="H88" s="331"/>
    </row>
    <row r="89" spans="2:8" x14ac:dyDescent="0.25">
      <c r="B89" s="329"/>
      <c r="C89" s="333"/>
      <c r="D89" s="331"/>
      <c r="E89" s="332"/>
      <c r="F89" s="331"/>
      <c r="G89" s="331"/>
      <c r="H89" s="331"/>
    </row>
  </sheetData>
  <mergeCells count="20">
    <mergeCell ref="B37:D37"/>
    <mergeCell ref="B19:B20"/>
    <mergeCell ref="B15:G15"/>
    <mergeCell ref="B17:D17"/>
    <mergeCell ref="C19:C20"/>
    <mergeCell ref="B25:D25"/>
    <mergeCell ref="E63:G63"/>
    <mergeCell ref="E64:G64"/>
    <mergeCell ref="E65:G65"/>
    <mergeCell ref="E66:G66"/>
    <mergeCell ref="B58:D58"/>
    <mergeCell ref="E72:G72"/>
    <mergeCell ref="E73:G73"/>
    <mergeCell ref="E74:G74"/>
    <mergeCell ref="E75:G75"/>
    <mergeCell ref="E67:G67"/>
    <mergeCell ref="E68:G68"/>
    <mergeCell ref="E69:G69"/>
    <mergeCell ref="E70:G70"/>
    <mergeCell ref="E71:G7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5"/>
  <sheetViews>
    <sheetView showGridLines="0" workbookViewId="0">
      <selection activeCell="B1" sqref="B1:H7"/>
    </sheetView>
  </sheetViews>
  <sheetFormatPr defaultRowHeight="15" x14ac:dyDescent="0.25"/>
  <cols>
    <col min="1" max="1" width="4.5703125" customWidth="1"/>
    <col min="2" max="2" width="33.42578125" bestFit="1" customWidth="1"/>
    <col min="3" max="3" width="19.140625" bestFit="1" customWidth="1"/>
    <col min="5" max="5" width="10.7109375" bestFit="1" customWidth="1"/>
    <col min="6" max="6" width="15.28515625" bestFit="1" customWidth="1"/>
    <col min="7" max="7" width="27.7109375" bestFit="1" customWidth="1"/>
    <col min="8" max="8" width="16.85546875" bestFit="1" customWidth="1"/>
  </cols>
  <sheetData>
    <row r="15" spans="8:8" x14ac:dyDescent="0.25">
      <c r="H15" s="334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showGridLines="0" workbookViewId="0">
      <selection activeCell="E29" sqref="E29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18" ht="38.25" x14ac:dyDescent="0.25">
      <c r="A2" s="765" t="s">
        <v>41</v>
      </c>
      <c r="B2" s="765" t="s">
        <v>354</v>
      </c>
      <c r="C2" s="765" t="s">
        <v>40</v>
      </c>
      <c r="D2" s="765" t="s">
        <v>362</v>
      </c>
      <c r="E2" s="39" t="s">
        <v>361</v>
      </c>
      <c r="F2" s="39" t="s">
        <v>360</v>
      </c>
      <c r="G2" s="39" t="s">
        <v>359</v>
      </c>
      <c r="H2" s="39" t="s">
        <v>358</v>
      </c>
      <c r="I2" s="39" t="s">
        <v>357</v>
      </c>
      <c r="J2" s="765" t="s">
        <v>356</v>
      </c>
      <c r="L2" t="s">
        <v>355</v>
      </c>
    </row>
    <row r="3" spans="1:18" ht="15" customHeight="1" x14ac:dyDescent="0.25">
      <c r="A3" s="765"/>
      <c r="B3" s="765"/>
      <c r="C3" s="765"/>
      <c r="D3" s="765"/>
      <c r="E3" s="38">
        <v>0.73570000000000002</v>
      </c>
      <c r="F3" s="38">
        <v>0.2177</v>
      </c>
      <c r="G3" s="38">
        <v>0.15</v>
      </c>
      <c r="H3" s="38">
        <v>0.3</v>
      </c>
      <c r="I3" s="38">
        <v>0.21</v>
      </c>
      <c r="J3" s="765"/>
      <c r="L3" s="39" t="s">
        <v>41</v>
      </c>
      <c r="M3" s="39" t="s">
        <v>354</v>
      </c>
      <c r="N3" s="39" t="s">
        <v>40</v>
      </c>
      <c r="O3" s="39" t="s">
        <v>353</v>
      </c>
      <c r="P3" s="39" t="s">
        <v>352</v>
      </c>
      <c r="Q3" s="39" t="s">
        <v>351</v>
      </c>
      <c r="R3" s="39" t="s">
        <v>2</v>
      </c>
    </row>
    <row r="4" spans="1:18" x14ac:dyDescent="0.25">
      <c r="A4" s="35">
        <v>1</v>
      </c>
      <c r="B4" s="36" t="s">
        <v>350</v>
      </c>
      <c r="C4" s="35">
        <v>36</v>
      </c>
      <c r="D4" s="147">
        <v>3284.75</v>
      </c>
      <c r="E4" s="146">
        <f t="shared" ref="E4:E19" si="0">D4*$E$3</f>
        <v>2416.5905750000002</v>
      </c>
      <c r="F4" s="146">
        <f t="shared" ref="F4:F19" si="1">D4*$F$3</f>
        <v>715.09007500000007</v>
      </c>
      <c r="G4" s="146">
        <f>D4*$G$3</f>
        <v>492.71249999999998</v>
      </c>
      <c r="H4" s="146">
        <f>D4*$H$3</f>
        <v>985.42499999999995</v>
      </c>
      <c r="I4" s="146">
        <v>0</v>
      </c>
      <c r="J4" s="146">
        <f t="shared" ref="J4:J19" si="2">(SUM(D4:I4)*C4*12)</f>
        <v>3410453.4408</v>
      </c>
      <c r="L4" s="7">
        <v>1</v>
      </c>
      <c r="M4" s="36" t="s">
        <v>349</v>
      </c>
      <c r="N4" s="152">
        <v>1440</v>
      </c>
      <c r="O4" s="152">
        <f>P26</f>
        <v>300</v>
      </c>
      <c r="P4" s="152"/>
      <c r="Q4" s="151" t="s">
        <v>60</v>
      </c>
      <c r="R4" s="150">
        <f>N4*O4</f>
        <v>432000</v>
      </c>
    </row>
    <row r="5" spans="1:18" x14ac:dyDescent="0.25">
      <c r="A5" s="35">
        <v>2</v>
      </c>
      <c r="B5" s="36" t="s">
        <v>348</v>
      </c>
      <c r="C5" s="35">
        <v>36</v>
      </c>
      <c r="D5" s="147">
        <v>3284.75</v>
      </c>
      <c r="E5" s="146">
        <f t="shared" si="0"/>
        <v>2416.5905750000002</v>
      </c>
      <c r="F5" s="146">
        <f t="shared" si="1"/>
        <v>715.09007500000007</v>
      </c>
      <c r="G5" s="146">
        <f>D5*$G$3</f>
        <v>492.71249999999998</v>
      </c>
      <c r="H5" s="146">
        <f>D5*$H$3</f>
        <v>985.42499999999995</v>
      </c>
      <c r="I5" s="146">
        <f>D5*(8/12)*$I$3</f>
        <v>459.8649999999999</v>
      </c>
      <c r="J5" s="146">
        <f t="shared" si="2"/>
        <v>3609115.1208000001</v>
      </c>
      <c r="L5" s="7">
        <v>2</v>
      </c>
      <c r="M5" s="36" t="s">
        <v>347</v>
      </c>
      <c r="N5" s="152">
        <v>180</v>
      </c>
      <c r="O5" s="152">
        <f>N37</f>
        <v>400</v>
      </c>
      <c r="P5" s="152"/>
      <c r="Q5" s="151" t="s">
        <v>328</v>
      </c>
      <c r="R5" s="150">
        <f t="shared" ref="R5:R11" si="3">O5*N5</f>
        <v>72000</v>
      </c>
    </row>
    <row r="6" spans="1:18" x14ac:dyDescent="0.25">
      <c r="A6" s="35">
        <v>3</v>
      </c>
      <c r="B6" s="36" t="s">
        <v>346</v>
      </c>
      <c r="C6" s="35">
        <f>57+46+9+29</f>
        <v>141</v>
      </c>
      <c r="D6" s="147">
        <v>1543.25</v>
      </c>
      <c r="E6" s="146">
        <f t="shared" si="0"/>
        <v>1135.369025</v>
      </c>
      <c r="F6" s="146">
        <f t="shared" si="1"/>
        <v>335.96552500000001</v>
      </c>
      <c r="G6" s="146">
        <v>0</v>
      </c>
      <c r="H6" s="146">
        <v>0</v>
      </c>
      <c r="I6" s="146">
        <v>0</v>
      </c>
      <c r="J6" s="146">
        <f t="shared" si="2"/>
        <v>5100677.0586000001</v>
      </c>
      <c r="L6" s="7">
        <v>3</v>
      </c>
      <c r="M6" s="36" t="s">
        <v>345</v>
      </c>
      <c r="N6" s="152">
        <v>180</v>
      </c>
      <c r="O6" s="152">
        <f>12.82*8</f>
        <v>102.56</v>
      </c>
      <c r="P6" s="152" t="s">
        <v>344</v>
      </c>
      <c r="Q6" s="151" t="s">
        <v>328</v>
      </c>
      <c r="R6" s="150">
        <f t="shared" si="3"/>
        <v>18460.8</v>
      </c>
    </row>
    <row r="7" spans="1:18" x14ac:dyDescent="0.25">
      <c r="A7" s="35">
        <v>3</v>
      </c>
      <c r="B7" s="36" t="s">
        <v>343</v>
      </c>
      <c r="C7" s="35">
        <v>4</v>
      </c>
      <c r="D7" s="147">
        <v>3284.75</v>
      </c>
      <c r="E7" s="146">
        <f t="shared" si="0"/>
        <v>2416.5905750000002</v>
      </c>
      <c r="F7" s="146">
        <f t="shared" si="1"/>
        <v>715.09007500000007</v>
      </c>
      <c r="G7" s="146">
        <v>0</v>
      </c>
      <c r="H7" s="146">
        <f t="shared" ref="H7:H18" si="4">D7*$H$3</f>
        <v>985.42499999999995</v>
      </c>
      <c r="I7" s="146">
        <v>0</v>
      </c>
      <c r="J7" s="146">
        <f t="shared" si="2"/>
        <v>355289.07120000001</v>
      </c>
      <c r="L7" s="7">
        <v>4</v>
      </c>
      <c r="M7" s="36" t="s">
        <v>342</v>
      </c>
      <c r="N7" s="152">
        <v>180</v>
      </c>
      <c r="O7" s="152">
        <f>15.63*12</f>
        <v>187.56</v>
      </c>
      <c r="P7" s="152" t="s">
        <v>341</v>
      </c>
      <c r="Q7" s="151" t="s">
        <v>328</v>
      </c>
      <c r="R7" s="150">
        <f t="shared" si="3"/>
        <v>33760.800000000003</v>
      </c>
    </row>
    <row r="8" spans="1:18" x14ac:dyDescent="0.25">
      <c r="A8" s="35">
        <v>4</v>
      </c>
      <c r="B8" s="36" t="s">
        <v>340</v>
      </c>
      <c r="C8" s="35">
        <v>6</v>
      </c>
      <c r="D8" s="147">
        <v>3789.59</v>
      </c>
      <c r="E8" s="146">
        <f t="shared" si="0"/>
        <v>2788.0013630000003</v>
      </c>
      <c r="F8" s="146">
        <f t="shared" si="1"/>
        <v>824.99374299999999</v>
      </c>
      <c r="G8" s="146">
        <v>0</v>
      </c>
      <c r="H8" s="146">
        <f t="shared" si="4"/>
        <v>1136.877</v>
      </c>
      <c r="I8" s="146">
        <v>0</v>
      </c>
      <c r="J8" s="146">
        <f t="shared" si="2"/>
        <v>614841.27163200011</v>
      </c>
      <c r="L8" s="7">
        <v>5</v>
      </c>
      <c r="M8" s="36" t="s">
        <v>339</v>
      </c>
      <c r="N8" s="152">
        <v>180</v>
      </c>
      <c r="O8" s="152">
        <f>39.86*12</f>
        <v>478.32</v>
      </c>
      <c r="P8" s="152" t="s">
        <v>338</v>
      </c>
      <c r="Q8" s="151" t="s">
        <v>328</v>
      </c>
      <c r="R8" s="150">
        <f t="shared" si="3"/>
        <v>86097.600000000006</v>
      </c>
    </row>
    <row r="9" spans="1:18" x14ac:dyDescent="0.25">
      <c r="A9" s="35">
        <v>5</v>
      </c>
      <c r="B9" s="36" t="s">
        <v>337</v>
      </c>
      <c r="C9" s="35">
        <v>8</v>
      </c>
      <c r="D9" s="147">
        <v>1969.6</v>
      </c>
      <c r="E9" s="146">
        <f t="shared" si="0"/>
        <v>1449.0347199999999</v>
      </c>
      <c r="F9" s="146">
        <f t="shared" si="1"/>
        <v>428.78192000000001</v>
      </c>
      <c r="G9" s="146">
        <v>0</v>
      </c>
      <c r="H9" s="146">
        <f t="shared" si="4"/>
        <v>590.88</v>
      </c>
      <c r="I9" s="146">
        <v>0</v>
      </c>
      <c r="J9" s="146">
        <f t="shared" si="2"/>
        <v>426076.47743999993</v>
      </c>
      <c r="L9" s="7">
        <v>6</v>
      </c>
      <c r="M9" s="36" t="s">
        <v>336</v>
      </c>
      <c r="N9" s="152">
        <v>180</v>
      </c>
      <c r="O9" s="152">
        <f>15.63*12</f>
        <v>187.56</v>
      </c>
      <c r="P9" s="152" t="s">
        <v>335</v>
      </c>
      <c r="Q9" s="151" t="s">
        <v>328</v>
      </c>
      <c r="R9" s="150">
        <f t="shared" si="3"/>
        <v>33760.800000000003</v>
      </c>
    </row>
    <row r="10" spans="1:18" x14ac:dyDescent="0.25">
      <c r="A10" s="35">
        <v>6</v>
      </c>
      <c r="B10" s="36" t="s">
        <v>334</v>
      </c>
      <c r="C10" s="35">
        <v>4</v>
      </c>
      <c r="D10" s="147">
        <v>3284.75</v>
      </c>
      <c r="E10" s="146">
        <f t="shared" si="0"/>
        <v>2416.5905750000002</v>
      </c>
      <c r="F10" s="146">
        <f t="shared" si="1"/>
        <v>715.09007500000007</v>
      </c>
      <c r="G10" s="146">
        <v>0</v>
      </c>
      <c r="H10" s="146">
        <f t="shared" si="4"/>
        <v>985.42499999999995</v>
      </c>
      <c r="I10" s="146">
        <v>0</v>
      </c>
      <c r="J10" s="146">
        <f t="shared" si="2"/>
        <v>355289.07120000001</v>
      </c>
      <c r="L10" s="7">
        <v>7</v>
      </c>
      <c r="M10" s="36" t="s">
        <v>333</v>
      </c>
      <c r="N10" s="152">
        <v>180</v>
      </c>
      <c r="O10" s="152">
        <f>15.63*12</f>
        <v>187.56</v>
      </c>
      <c r="P10" s="152" t="s">
        <v>332</v>
      </c>
      <c r="Q10" s="151" t="s">
        <v>328</v>
      </c>
      <c r="R10" s="150">
        <f t="shared" si="3"/>
        <v>33760.800000000003</v>
      </c>
    </row>
    <row r="11" spans="1:18" x14ac:dyDescent="0.25">
      <c r="A11" s="35">
        <v>7</v>
      </c>
      <c r="B11" s="36" t="s">
        <v>331</v>
      </c>
      <c r="C11" s="35">
        <v>2</v>
      </c>
      <c r="D11" s="147">
        <v>1969.6</v>
      </c>
      <c r="E11" s="146">
        <f t="shared" si="0"/>
        <v>1449.0347199999999</v>
      </c>
      <c r="F11" s="146">
        <f t="shared" si="1"/>
        <v>428.78192000000001</v>
      </c>
      <c r="G11" s="146">
        <v>0</v>
      </c>
      <c r="H11" s="146">
        <f t="shared" si="4"/>
        <v>590.88</v>
      </c>
      <c r="I11" s="146">
        <v>0</v>
      </c>
      <c r="J11" s="146">
        <f t="shared" si="2"/>
        <v>106519.11935999998</v>
      </c>
      <c r="L11" s="7">
        <v>8</v>
      </c>
      <c r="M11" s="36" t="s">
        <v>330</v>
      </c>
      <c r="N11" s="152">
        <v>180</v>
      </c>
      <c r="O11" s="152">
        <f>12.53*12</f>
        <v>150.35999999999999</v>
      </c>
      <c r="P11" s="152" t="s">
        <v>329</v>
      </c>
      <c r="Q11" s="151" t="s">
        <v>328</v>
      </c>
      <c r="R11" s="150">
        <f t="shared" si="3"/>
        <v>27064.799999999996</v>
      </c>
    </row>
    <row r="12" spans="1:18" x14ac:dyDescent="0.25">
      <c r="A12" s="35">
        <v>8</v>
      </c>
      <c r="B12" s="36" t="s">
        <v>327</v>
      </c>
      <c r="C12" s="35">
        <v>6</v>
      </c>
      <c r="D12" s="147">
        <v>3284.75</v>
      </c>
      <c r="E12" s="146">
        <f t="shared" si="0"/>
        <v>2416.5905750000002</v>
      </c>
      <c r="F12" s="146">
        <f t="shared" si="1"/>
        <v>715.09007500000007</v>
      </c>
      <c r="G12" s="146">
        <v>0</v>
      </c>
      <c r="H12" s="146">
        <f t="shared" si="4"/>
        <v>985.42499999999995</v>
      </c>
      <c r="I12" s="146">
        <v>0</v>
      </c>
      <c r="J12" s="146">
        <f t="shared" si="2"/>
        <v>532933.60679999995</v>
      </c>
      <c r="N12" s="149"/>
      <c r="O12" s="149"/>
      <c r="P12" s="149"/>
      <c r="Q12" s="149"/>
      <c r="R12" s="148">
        <f>SUM(R4:R11)</f>
        <v>736905.60000000009</v>
      </c>
    </row>
    <row r="13" spans="1:18" x14ac:dyDescent="0.25">
      <c r="A13" s="35">
        <v>9</v>
      </c>
      <c r="B13" s="36" t="s">
        <v>326</v>
      </c>
      <c r="C13" s="35">
        <v>2</v>
      </c>
      <c r="D13" s="147">
        <v>9826.7800000000007</v>
      </c>
      <c r="E13" s="146">
        <f t="shared" si="0"/>
        <v>7229.5620460000009</v>
      </c>
      <c r="F13" s="146">
        <f t="shared" si="1"/>
        <v>2139.2900060000002</v>
      </c>
      <c r="G13" s="146">
        <v>0</v>
      </c>
      <c r="H13" s="146">
        <f t="shared" si="4"/>
        <v>2948.0340000000001</v>
      </c>
      <c r="I13" s="146">
        <v>0</v>
      </c>
      <c r="J13" s="146">
        <f t="shared" si="2"/>
        <v>531447.98524800001</v>
      </c>
    </row>
    <row r="14" spans="1:18" x14ac:dyDescent="0.25">
      <c r="A14" s="35">
        <v>10</v>
      </c>
      <c r="B14" s="36" t="s">
        <v>325</v>
      </c>
      <c r="C14" s="35">
        <v>2</v>
      </c>
      <c r="D14" s="147">
        <v>9826.7800000000007</v>
      </c>
      <c r="E14" s="146">
        <f t="shared" si="0"/>
        <v>7229.5620460000009</v>
      </c>
      <c r="F14" s="146">
        <f t="shared" si="1"/>
        <v>2139.2900060000002</v>
      </c>
      <c r="G14" s="146">
        <v>0</v>
      </c>
      <c r="H14" s="146">
        <f t="shared" si="4"/>
        <v>2948.0340000000001</v>
      </c>
      <c r="I14" s="146">
        <v>0</v>
      </c>
      <c r="J14" s="146">
        <f t="shared" si="2"/>
        <v>531447.98524800001</v>
      </c>
    </row>
    <row r="15" spans="1:18" x14ac:dyDescent="0.25">
      <c r="A15" s="35">
        <v>11</v>
      </c>
      <c r="B15" s="36" t="s">
        <v>324</v>
      </c>
      <c r="C15" s="35">
        <v>2</v>
      </c>
      <c r="D15" s="147">
        <v>9826.7800000000007</v>
      </c>
      <c r="E15" s="146">
        <f t="shared" si="0"/>
        <v>7229.5620460000009</v>
      </c>
      <c r="F15" s="146">
        <f t="shared" si="1"/>
        <v>2139.2900060000002</v>
      </c>
      <c r="G15" s="146">
        <v>0</v>
      </c>
      <c r="H15" s="146">
        <f t="shared" si="4"/>
        <v>2948.0340000000001</v>
      </c>
      <c r="I15" s="146">
        <v>0</v>
      </c>
      <c r="J15" s="146">
        <f t="shared" si="2"/>
        <v>531447.98524800001</v>
      </c>
      <c r="M15" s="39" t="s">
        <v>323</v>
      </c>
      <c r="N15" s="39" t="s">
        <v>322</v>
      </c>
      <c r="O15" s="39" t="s">
        <v>321</v>
      </c>
      <c r="P15" s="39" t="s">
        <v>301</v>
      </c>
    </row>
    <row r="16" spans="1:18" x14ac:dyDescent="0.25">
      <c r="A16" s="35">
        <v>12</v>
      </c>
      <c r="B16" s="36" t="s">
        <v>320</v>
      </c>
      <c r="C16" s="35">
        <v>2</v>
      </c>
      <c r="D16" s="147">
        <v>9826.7800000000007</v>
      </c>
      <c r="E16" s="146">
        <f t="shared" si="0"/>
        <v>7229.5620460000009</v>
      </c>
      <c r="F16" s="146">
        <f t="shared" si="1"/>
        <v>2139.2900060000002</v>
      </c>
      <c r="G16" s="146">
        <v>0</v>
      </c>
      <c r="H16" s="146">
        <f t="shared" si="4"/>
        <v>2948.0340000000001</v>
      </c>
      <c r="I16" s="146">
        <v>0</v>
      </c>
      <c r="J16" s="146">
        <f t="shared" si="2"/>
        <v>531447.98524800001</v>
      </c>
      <c r="M16" s="7" t="s">
        <v>319</v>
      </c>
      <c r="N16" s="143">
        <f>18343.79/176</f>
        <v>104.22607954545455</v>
      </c>
      <c r="O16" s="142">
        <v>40</v>
      </c>
      <c r="P16" s="142">
        <f>N16*O16</f>
        <v>4169.0431818181823</v>
      </c>
    </row>
    <row r="17" spans="1:16" x14ac:dyDescent="0.25">
      <c r="A17" s="35">
        <v>13</v>
      </c>
      <c r="B17" s="36" t="s">
        <v>318</v>
      </c>
      <c r="C17" s="35">
        <v>73</v>
      </c>
      <c r="D17" s="147">
        <v>1572.85</v>
      </c>
      <c r="E17" s="146">
        <f t="shared" si="0"/>
        <v>1157.145745</v>
      </c>
      <c r="F17" s="146">
        <f t="shared" si="1"/>
        <v>342.40944500000001</v>
      </c>
      <c r="G17" s="146">
        <f>D17*$G$3</f>
        <v>235.92749999999998</v>
      </c>
      <c r="H17" s="146">
        <f t="shared" si="4"/>
        <v>471.85499999999996</v>
      </c>
      <c r="I17" s="146">
        <v>0</v>
      </c>
      <c r="J17" s="146">
        <f t="shared" si="2"/>
        <v>3311444.4164400003</v>
      </c>
      <c r="M17" s="7" t="s">
        <v>317</v>
      </c>
      <c r="N17" s="143"/>
      <c r="O17" s="142"/>
      <c r="P17" s="142">
        <f>P16*20%</f>
        <v>833.80863636363654</v>
      </c>
    </row>
    <row r="18" spans="1:16" x14ac:dyDescent="0.25">
      <c r="A18" s="35">
        <v>14</v>
      </c>
      <c r="B18" s="36" t="s">
        <v>316</v>
      </c>
      <c r="C18" s="35">
        <v>73</v>
      </c>
      <c r="D18" s="147">
        <v>1572.85</v>
      </c>
      <c r="E18" s="146">
        <f t="shared" si="0"/>
        <v>1157.145745</v>
      </c>
      <c r="F18" s="146">
        <f t="shared" si="1"/>
        <v>342.40944500000001</v>
      </c>
      <c r="G18" s="146">
        <f>D18*$G$3</f>
        <v>235.92749999999998</v>
      </c>
      <c r="H18" s="146">
        <f t="shared" si="4"/>
        <v>471.85499999999996</v>
      </c>
      <c r="I18" s="146">
        <f>D18*(8/12)*$I$3</f>
        <v>220.19899999999998</v>
      </c>
      <c r="J18" s="146">
        <f t="shared" si="2"/>
        <v>3504338.7404400003</v>
      </c>
      <c r="M18" s="7" t="s">
        <v>304</v>
      </c>
      <c r="N18" s="143"/>
      <c r="O18" s="142"/>
      <c r="P18" s="142">
        <f>(P16+P17)*30%</f>
        <v>1500.8555454545456</v>
      </c>
    </row>
    <row r="19" spans="1:16" ht="18.95" customHeight="1" x14ac:dyDescent="0.25">
      <c r="A19" s="35">
        <v>15</v>
      </c>
      <c r="B19" s="36" t="s">
        <v>315</v>
      </c>
      <c r="C19" s="35">
        <v>8</v>
      </c>
      <c r="D19" s="147">
        <v>1969.6</v>
      </c>
      <c r="E19" s="146">
        <f t="shared" si="0"/>
        <v>1449.0347199999999</v>
      </c>
      <c r="F19" s="146">
        <f t="shared" si="1"/>
        <v>428.78192000000001</v>
      </c>
      <c r="G19" s="146">
        <v>0</v>
      </c>
      <c r="H19" s="146">
        <v>0</v>
      </c>
      <c r="I19" s="146">
        <v>0</v>
      </c>
      <c r="J19" s="146">
        <f t="shared" si="2"/>
        <v>369351.99744000001</v>
      </c>
      <c r="M19" s="7" t="s">
        <v>303</v>
      </c>
      <c r="N19" s="143"/>
      <c r="O19" s="142"/>
      <c r="P19" s="142">
        <f>SUM(P16:P18)*12%</f>
        <v>780.44488363636378</v>
      </c>
    </row>
    <row r="20" spans="1:16" x14ac:dyDescent="0.25">
      <c r="A20" s="467" t="s">
        <v>301</v>
      </c>
      <c r="B20" s="467" t="s">
        <v>301</v>
      </c>
      <c r="C20" s="468">
        <f>SUM(C4:C19)</f>
        <v>405</v>
      </c>
      <c r="D20" s="468"/>
      <c r="E20" s="468"/>
      <c r="F20" s="468"/>
      <c r="G20" s="147"/>
      <c r="H20" s="146"/>
      <c r="I20" s="146"/>
      <c r="J20" s="449">
        <f>SUM(J4:J19)</f>
        <v>23822121.333143998</v>
      </c>
      <c r="M20" s="7" t="s">
        <v>302</v>
      </c>
      <c r="N20" s="143"/>
      <c r="O20" s="142"/>
      <c r="P20" s="142">
        <f>SUM(P16:P19)*16.62%</f>
        <v>1210.6261034967276</v>
      </c>
    </row>
    <row r="21" spans="1:16" x14ac:dyDescent="0.25">
      <c r="A21" s="7"/>
      <c r="B21" s="36" t="s">
        <v>314</v>
      </c>
      <c r="C21" s="7"/>
      <c r="D21" s="7"/>
      <c r="E21" s="7"/>
      <c r="F21" s="146"/>
      <c r="G21" s="7"/>
      <c r="H21" s="7"/>
      <c r="I21" s="7"/>
      <c r="J21" s="147">
        <f>1.5%*J20</f>
        <v>357331.81999715994</v>
      </c>
      <c r="M21" s="7" t="s">
        <v>313</v>
      </c>
      <c r="N21" s="143">
        <v>1000</v>
      </c>
      <c r="O21" s="142">
        <v>1</v>
      </c>
      <c r="P21" s="142">
        <f>N21*O21</f>
        <v>1000</v>
      </c>
    </row>
    <row r="22" spans="1:16" x14ac:dyDescent="0.25">
      <c r="A22" s="7"/>
      <c r="B22" s="36" t="s">
        <v>312</v>
      </c>
      <c r="C22" s="7"/>
      <c r="D22" s="7"/>
      <c r="E22" s="7"/>
      <c r="F22" s="7"/>
      <c r="G22" s="7"/>
      <c r="H22" s="7"/>
      <c r="I22" s="7"/>
      <c r="J22" s="146">
        <f>R12</f>
        <v>736905.60000000009</v>
      </c>
      <c r="M22" s="7" t="s">
        <v>311</v>
      </c>
      <c r="N22" s="143">
        <v>250</v>
      </c>
      <c r="O22" s="142">
        <v>4.5</v>
      </c>
      <c r="P22" s="142">
        <f>N22*O22</f>
        <v>1125</v>
      </c>
    </row>
    <row r="23" spans="1:16" x14ac:dyDescent="0.25">
      <c r="A23" s="7"/>
      <c r="B23" s="469" t="s">
        <v>9</v>
      </c>
      <c r="C23" s="7"/>
      <c r="D23" s="7"/>
      <c r="E23" s="7"/>
      <c r="F23" s="7"/>
      <c r="G23" s="7"/>
      <c r="H23" s="7"/>
      <c r="I23" s="7"/>
      <c r="J23" s="449">
        <f>J20+J21+J22</f>
        <v>24916358.753141161</v>
      </c>
      <c r="M23" s="7" t="s">
        <v>310</v>
      </c>
      <c r="N23" s="143">
        <v>250</v>
      </c>
      <c r="O23" s="142">
        <v>4.5</v>
      </c>
      <c r="P23" s="142">
        <f>N23*O23</f>
        <v>1125</v>
      </c>
    </row>
    <row r="24" spans="1:16" ht="12.95" customHeight="1" x14ac:dyDescent="0.25">
      <c r="M24" s="7" t="s">
        <v>301</v>
      </c>
      <c r="P24" s="142">
        <f>SUM(P16:P23)</f>
        <v>11744.778350769457</v>
      </c>
    </row>
    <row r="25" spans="1:16" x14ac:dyDescent="0.25">
      <c r="M25" s="7" t="s">
        <v>309</v>
      </c>
      <c r="P25" s="142">
        <f>P24/40</f>
        <v>293.61945876923642</v>
      </c>
    </row>
    <row r="26" spans="1:16" x14ac:dyDescent="0.25">
      <c r="M26" s="7" t="s">
        <v>308</v>
      </c>
      <c r="P26" s="142">
        <v>300</v>
      </c>
    </row>
    <row r="29" spans="1:16" x14ac:dyDescent="0.25">
      <c r="M29" s="39" t="s">
        <v>307</v>
      </c>
      <c r="N29" s="39" t="s">
        <v>301</v>
      </c>
    </row>
    <row r="30" spans="1:16" x14ac:dyDescent="0.25">
      <c r="M30" s="7" t="s">
        <v>306</v>
      </c>
      <c r="N30" s="142">
        <f>D8</f>
        <v>3789.59</v>
      </c>
    </row>
    <row r="31" spans="1:16" x14ac:dyDescent="0.25">
      <c r="M31" s="7" t="s">
        <v>305</v>
      </c>
      <c r="N31" s="142">
        <f>N30*84%</f>
        <v>3183.2556</v>
      </c>
    </row>
    <row r="32" spans="1:16" x14ac:dyDescent="0.25">
      <c r="M32" s="7" t="s">
        <v>304</v>
      </c>
      <c r="N32" s="142">
        <f>(N30+N31)*30%</f>
        <v>2091.8536800000002</v>
      </c>
    </row>
    <row r="33" spans="13:14" x14ac:dyDescent="0.25">
      <c r="M33" s="7" t="s">
        <v>303</v>
      </c>
      <c r="N33" s="142">
        <f>SUM(N30:N32)*12%</f>
        <v>1087.7639136</v>
      </c>
    </row>
    <row r="34" spans="13:14" x14ac:dyDescent="0.25">
      <c r="M34" s="7" t="s">
        <v>302</v>
      </c>
      <c r="N34" s="142">
        <f>SUM(N30:N33)*16.62%</f>
        <v>1687.3393827763202</v>
      </c>
    </row>
    <row r="35" spans="13:14" x14ac:dyDescent="0.25">
      <c r="M35" s="7" t="s">
        <v>301</v>
      </c>
      <c r="N35" s="142">
        <f>SUM(N30:N34)</f>
        <v>11839.802576376322</v>
      </c>
    </row>
    <row r="36" spans="13:14" x14ac:dyDescent="0.25">
      <c r="M36" s="7" t="s">
        <v>300</v>
      </c>
      <c r="N36" s="142">
        <f>N35/30</f>
        <v>394.66008587921073</v>
      </c>
    </row>
    <row r="37" spans="13:14" x14ac:dyDescent="0.25">
      <c r="M37" s="7" t="s">
        <v>299</v>
      </c>
      <c r="N37" s="142">
        <v>400</v>
      </c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showGridLines="0" workbookViewId="0">
      <selection activeCell="H19" sqref="H19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7" t="s">
        <v>112</v>
      </c>
    </row>
    <row r="2" spans="2:6" x14ac:dyDescent="0.25">
      <c r="B2" s="7"/>
      <c r="C2" s="7" t="s">
        <v>111</v>
      </c>
    </row>
    <row r="3" spans="2:6" x14ac:dyDescent="0.25">
      <c r="B3" s="10" t="s">
        <v>110</v>
      </c>
      <c r="C3" s="146">
        <f>SUM(F9:F12)</f>
        <v>4490400</v>
      </c>
    </row>
    <row r="4" spans="2:6" x14ac:dyDescent="0.25">
      <c r="B4" s="10" t="s">
        <v>109</v>
      </c>
      <c r="C4" s="146">
        <f>F13</f>
        <v>828534</v>
      </c>
    </row>
    <row r="5" spans="2:6" x14ac:dyDescent="0.25">
      <c r="B5" s="10" t="s">
        <v>108</v>
      </c>
      <c r="C5" s="146">
        <f>SUM(C3:C4)</f>
        <v>5318934</v>
      </c>
    </row>
    <row r="6" spans="2:6" ht="15.75" thickBot="1" x14ac:dyDescent="0.3"/>
    <row r="7" spans="2:6" ht="15" customHeight="1" x14ac:dyDescent="0.25">
      <c r="B7" s="766" t="s">
        <v>41</v>
      </c>
      <c r="C7" s="766" t="s">
        <v>40</v>
      </c>
      <c r="D7" s="30" t="s">
        <v>39</v>
      </c>
      <c r="E7" s="30" t="s">
        <v>39</v>
      </c>
      <c r="F7" s="30" t="s">
        <v>39</v>
      </c>
    </row>
    <row r="8" spans="2:6" ht="24" x14ac:dyDescent="0.25">
      <c r="B8" s="767"/>
      <c r="C8" s="767"/>
      <c r="D8" s="29" t="s">
        <v>66</v>
      </c>
      <c r="E8" s="29" t="s">
        <v>37</v>
      </c>
      <c r="F8" s="29" t="s">
        <v>65</v>
      </c>
    </row>
    <row r="9" spans="2:6" x14ac:dyDescent="0.25">
      <c r="B9" s="36" t="s">
        <v>64</v>
      </c>
      <c r="C9" s="35">
        <v>23</v>
      </c>
      <c r="D9" s="34">
        <v>7000</v>
      </c>
      <c r="E9" s="34">
        <f>D9*C9</f>
        <v>161000</v>
      </c>
      <c r="F9" s="34">
        <f>E9*12</f>
        <v>1932000</v>
      </c>
    </row>
    <row r="10" spans="2:6" ht="25.5" x14ac:dyDescent="0.25">
      <c r="B10" s="36" t="s">
        <v>107</v>
      </c>
      <c r="C10" s="35">
        <f>2*9+4+4+8*2</f>
        <v>42</v>
      </c>
      <c r="D10" s="34">
        <v>1600</v>
      </c>
      <c r="E10" s="34">
        <f>D10*C10</f>
        <v>67200</v>
      </c>
      <c r="F10" s="34">
        <f>E10*12</f>
        <v>806400</v>
      </c>
    </row>
    <row r="11" spans="2:6" x14ac:dyDescent="0.25">
      <c r="B11" s="36" t="s">
        <v>106</v>
      </c>
      <c r="C11" s="35">
        <v>16</v>
      </c>
      <c r="D11" s="34">
        <v>3000</v>
      </c>
      <c r="E11" s="34">
        <f>D11*C11</f>
        <v>48000</v>
      </c>
      <c r="F11" s="34">
        <f>E11*12</f>
        <v>576000</v>
      </c>
    </row>
    <row r="12" spans="2:6" ht="25.5" x14ac:dyDescent="0.25">
      <c r="B12" s="36" t="s">
        <v>105</v>
      </c>
      <c r="C12" s="35">
        <v>7</v>
      </c>
      <c r="D12" s="34">
        <v>14000</v>
      </c>
      <c r="E12" s="34">
        <f>D12*C12</f>
        <v>98000</v>
      </c>
      <c r="F12" s="34">
        <f>E12*12</f>
        <v>1176000</v>
      </c>
    </row>
    <row r="13" spans="2:6" x14ac:dyDescent="0.25">
      <c r="B13" s="36" t="s">
        <v>63</v>
      </c>
      <c r="C13" s="7"/>
      <c r="D13" s="7"/>
      <c r="E13" s="7"/>
      <c r="F13" s="34">
        <v>828534</v>
      </c>
    </row>
    <row r="14" spans="2:6" x14ac:dyDescent="0.25">
      <c r="B14" s="469" t="s">
        <v>9</v>
      </c>
      <c r="C14" s="1"/>
      <c r="D14" s="1"/>
      <c r="E14" s="1"/>
      <c r="F14" s="470">
        <f>SUM(F9:F13)</f>
        <v>5318934</v>
      </c>
    </row>
    <row r="15" spans="2:6" ht="15" customHeight="1" x14ac:dyDescent="0.25"/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Tarifa</vt:lpstr>
      <vt:lpstr>Anexo 2_CF_CV Energia Elétrica</vt:lpstr>
      <vt:lpstr>Anexo 3_CF_O&amp;M</vt:lpstr>
      <vt:lpstr>CF_FRA_custos macro e vida útil</vt:lpstr>
      <vt:lpstr>Anexo 4_Custos Ambiental</vt:lpstr>
      <vt:lpstr>Anexo 5_CF_FRA_valores MI</vt:lpstr>
      <vt:lpstr>CF_Fundo Reposição Ativos</vt:lpstr>
      <vt:lpstr>mão de obra</vt:lpstr>
      <vt:lpstr>Veículos</vt:lpstr>
      <vt:lpstr>Equipamentos</vt:lpstr>
      <vt:lpstr>amoxarifado</vt:lpstr>
      <vt:lpstr>Ferramentas</vt:lpstr>
      <vt:lpstr>Materiais de consumo</vt:lpstr>
      <vt:lpstr>auditoria contabilidade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Despesas Adm. e tx adm.</vt:lpstr>
      <vt:lpstr>Anexo 6_Desp Adm</vt:lpstr>
      <vt:lpstr>salarios e encargos ajustada</vt:lpstr>
      <vt:lpstr>Tabela salarial FC Codevasf</vt:lpstr>
      <vt:lpstr>Comunicação, água, luz</vt:lpstr>
      <vt:lpstr>Papelaria</vt:lpstr>
      <vt:lpstr>Administrativos terceirizados</vt:lpstr>
      <vt:lpstr>Anexo 8_Tx Adm</vt:lpstr>
      <vt:lpstr>Comparativo Codevasf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Maristela de Lourdes Barbosa</cp:lastModifiedBy>
  <dcterms:created xsi:type="dcterms:W3CDTF">2016-04-20T20:02:25Z</dcterms:created>
  <dcterms:modified xsi:type="dcterms:W3CDTF">2018-10-24T13:14:47Z</dcterms:modified>
</cp:coreProperties>
</file>