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3.xml" ContentType="application/vnd.openxmlformats-officedocument.drawing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gencia\ana\COSER\2_REGULAÇÃO DE SERVIÇOS\1_PISF\CONTABILIDADE\Arquivos PISF no site da ANA\Tarifa\Tarifa 2018\"/>
    </mc:Choice>
  </mc:AlternateContent>
  <bookViews>
    <workbookView xWindow="0" yWindow="0" windowWidth="19200" windowHeight="6945" tabRatio="924"/>
  </bookViews>
  <sheets>
    <sheet name="Tarifa" sheetId="18" r:id="rId1"/>
    <sheet name="Anexo 1_CF_CV Energia Elétrica" sheetId="58" r:id="rId2"/>
    <sheet name="Anexo 2_CF_O&amp;M" sheetId="26" r:id="rId3"/>
    <sheet name="CF_FRA_custos macro e vida útil" sheetId="47" r:id="rId4"/>
    <sheet name="Anexo 3_Custos Ambientais" sheetId="44" r:id="rId5"/>
    <sheet name="Anexo 4_CF_FRA" sheetId="48" r:id="rId6"/>
    <sheet name="CF_Fundo Reposição Ativos" sheetId="46" r:id="rId7"/>
    <sheet name="mão de obra" sheetId="30" r:id="rId8"/>
    <sheet name="Veículos" sheetId="27" r:id="rId9"/>
    <sheet name="Equipamentos" sheetId="31" r:id="rId10"/>
    <sheet name="amoxarifado" sheetId="28" r:id="rId11"/>
    <sheet name="Ferramentas" sheetId="29" r:id="rId12"/>
    <sheet name="Materiais de consumo" sheetId="32" r:id="rId13"/>
    <sheet name="auditoria contabilidade" sheetId="33" r:id="rId14"/>
    <sheet name="incendio" sheetId="34" r:id="rId15"/>
    <sheet name="automação" sheetId="35" r:id="rId16"/>
    <sheet name="helicoptero" sheetId="36" r:id="rId17"/>
    <sheet name="drone" sheetId="37" r:id="rId18"/>
    <sheet name="geomembranas" sheetId="38" r:id="rId19"/>
    <sheet name="linhas transmissão" sheetId="39" r:id="rId20"/>
    <sheet name="subestações" sheetId="42" r:id="rId21"/>
    <sheet name="baixa tensão" sheetId="43" r:id="rId22"/>
    <sheet name="materiais sobressalentes" sheetId="41" r:id="rId23"/>
    <sheet name="aferição medidores de vazão" sheetId="40" r:id="rId24"/>
    <sheet name="apoio rio Piranhas" sheetId="25" r:id="rId25"/>
    <sheet name="Depreciação" sheetId="56" r:id="rId26"/>
    <sheet name="Detalhe Custos Ambientais" sheetId="45" r:id="rId27"/>
    <sheet name="Despesas Adm. e tx adm." sheetId="5" r:id="rId28"/>
    <sheet name="Anexo 5_Desp Adm" sheetId="54" r:id="rId29"/>
    <sheet name="salarios e encargos ajustada" sheetId="49" r:id="rId30"/>
    <sheet name="Tabela salarial FC Codevasf" sheetId="50" r:id="rId31"/>
    <sheet name="Custos Administrativos - Materi" sheetId="51" r:id="rId32"/>
    <sheet name="Benefícios " sheetId="59" r:id="rId33"/>
    <sheet name="Anexo 7_Tx Adm" sheetId="8" r:id="rId3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4" i="18" l="1"/>
  <c r="F58" i="18"/>
  <c r="F57" i="18"/>
  <c r="F54" i="18"/>
  <c r="E57" i="18"/>
  <c r="E56" i="18"/>
  <c r="E55" i="18"/>
  <c r="E54" i="18"/>
  <c r="B57" i="18"/>
  <c r="B56" i="18"/>
  <c r="B55" i="18"/>
  <c r="B54" i="18"/>
  <c r="G57" i="18" l="1"/>
  <c r="E29" i="58"/>
  <c r="E30" i="58"/>
  <c r="E31" i="58"/>
  <c r="E32" i="58"/>
  <c r="E33" i="58"/>
  <c r="E28" i="58"/>
  <c r="M17" i="59" l="1"/>
  <c r="O8" i="30" l="1"/>
  <c r="O11" i="30"/>
  <c r="O10" i="30"/>
  <c r="O9" i="30"/>
  <c r="O7" i="30"/>
  <c r="O6" i="30"/>
  <c r="C24" i="18" l="1"/>
  <c r="B24" i="18"/>
  <c r="D23" i="18"/>
  <c r="D22" i="18"/>
  <c r="D21" i="18"/>
  <c r="D20" i="18"/>
  <c r="D5" i="18" l="1"/>
  <c r="D9" i="18"/>
  <c r="D6" i="18"/>
  <c r="D24" i="18"/>
  <c r="M12" i="58"/>
  <c r="D8" i="18" l="1"/>
  <c r="F4" i="8"/>
  <c r="E25" i="26" l="1"/>
  <c r="P10" i="29" l="1"/>
  <c r="C7" i="54" l="1"/>
  <c r="H93" i="58" l="1"/>
  <c r="K91" i="58"/>
  <c r="K82" i="58"/>
  <c r="Q77" i="58"/>
  <c r="F68" i="58"/>
  <c r="D68" i="58"/>
  <c r="N67" i="58"/>
  <c r="K67" i="58"/>
  <c r="G67" i="58" s="1"/>
  <c r="J67" i="58"/>
  <c r="N66" i="58"/>
  <c r="K66" i="58"/>
  <c r="G66" i="58" s="1"/>
  <c r="J66" i="58"/>
  <c r="N65" i="58"/>
  <c r="K65" i="58"/>
  <c r="G65" i="58" s="1"/>
  <c r="J65" i="58"/>
  <c r="N64" i="58"/>
  <c r="K64" i="58"/>
  <c r="G64" i="58" s="1"/>
  <c r="J64" i="58"/>
  <c r="N63" i="58"/>
  <c r="F29" i="58" s="1"/>
  <c r="J63" i="58"/>
  <c r="E63" i="58"/>
  <c r="K63" i="58" s="1"/>
  <c r="G63" i="58" s="1"/>
  <c r="N62" i="58"/>
  <c r="F28" i="58" s="1"/>
  <c r="J62" i="58"/>
  <c r="E62" i="58"/>
  <c r="K62" i="58" s="1"/>
  <c r="G62" i="58" s="1"/>
  <c r="F60" i="58"/>
  <c r="F61" i="58" s="1"/>
  <c r="D60" i="58"/>
  <c r="N59" i="58"/>
  <c r="O59" i="58" s="1"/>
  <c r="K59" i="58"/>
  <c r="G59" i="58" s="1"/>
  <c r="J59" i="58"/>
  <c r="N58" i="58"/>
  <c r="O58" i="58" s="1"/>
  <c r="K58" i="58"/>
  <c r="G58" i="58" s="1"/>
  <c r="J58" i="58"/>
  <c r="N57" i="58"/>
  <c r="J57" i="58"/>
  <c r="E57" i="58"/>
  <c r="K57" i="58" s="1"/>
  <c r="G57" i="58" s="1"/>
  <c r="K54" i="58"/>
  <c r="Q52" i="58"/>
  <c r="P52" i="58"/>
  <c r="O52" i="58"/>
  <c r="N52" i="58"/>
  <c r="R51" i="58"/>
  <c r="K51" i="58"/>
  <c r="R50" i="58"/>
  <c r="K50" i="58"/>
  <c r="K49" i="58"/>
  <c r="K48" i="58"/>
  <c r="K47" i="58"/>
  <c r="L44" i="58"/>
  <c r="K44" i="58"/>
  <c r="F44" i="58"/>
  <c r="L43" i="58"/>
  <c r="K43" i="58"/>
  <c r="F43" i="58"/>
  <c r="L42" i="58"/>
  <c r="K42" i="58"/>
  <c r="F42" i="58"/>
  <c r="O65" i="58" l="1"/>
  <c r="G31" i="58" s="1"/>
  <c r="F31" i="58"/>
  <c r="O66" i="58"/>
  <c r="G32" i="58" s="1"/>
  <c r="F32" i="58"/>
  <c r="O67" i="58"/>
  <c r="G33" i="58" s="1"/>
  <c r="F33" i="58"/>
  <c r="O64" i="58"/>
  <c r="G30" i="58" s="1"/>
  <c r="F30" i="58"/>
  <c r="F69" i="58"/>
  <c r="G68" i="58"/>
  <c r="F87" i="58"/>
  <c r="G87" i="58" s="1"/>
  <c r="P59" i="58"/>
  <c r="L59" i="58" s="1"/>
  <c r="F88" i="58"/>
  <c r="G88" i="58" s="1"/>
  <c r="F86" i="58"/>
  <c r="G86" i="58" s="1"/>
  <c r="F84" i="58"/>
  <c r="G84" i="58" s="1"/>
  <c r="F89" i="58"/>
  <c r="G89" i="58" s="1"/>
  <c r="F79" i="58"/>
  <c r="G79" i="58" s="1"/>
  <c r="O62" i="58"/>
  <c r="K93" i="58"/>
  <c r="P58" i="58"/>
  <c r="L58" i="58" s="1"/>
  <c r="P67" i="58"/>
  <c r="H33" i="58" s="1"/>
  <c r="I33" i="58" s="1"/>
  <c r="O57" i="58"/>
  <c r="P57" i="58" s="1"/>
  <c r="O63" i="58"/>
  <c r="F78" i="58"/>
  <c r="G78" i="58" s="1"/>
  <c r="P66" i="58"/>
  <c r="F80" i="58"/>
  <c r="G80" i="58" s="1"/>
  <c r="R52" i="58"/>
  <c r="P65" i="58"/>
  <c r="H31" i="58" s="1"/>
  <c r="I31" i="58" s="1"/>
  <c r="F85" i="58"/>
  <c r="G85" i="58" s="1"/>
  <c r="F81" i="58"/>
  <c r="P60" i="58"/>
  <c r="F90" i="58"/>
  <c r="P68" i="58"/>
  <c r="G60" i="58"/>
  <c r="L66" i="58" l="1"/>
  <c r="H32" i="58"/>
  <c r="I32" i="58" s="1"/>
  <c r="P62" i="58"/>
  <c r="H28" i="58" s="1"/>
  <c r="I28" i="58" s="1"/>
  <c r="G28" i="58"/>
  <c r="P63" i="58"/>
  <c r="H29" i="58" s="1"/>
  <c r="I29" i="58" s="1"/>
  <c r="G29" i="58"/>
  <c r="P64" i="58"/>
  <c r="L57" i="58"/>
  <c r="L67" i="58"/>
  <c r="G69" i="58"/>
  <c r="L65" i="58"/>
  <c r="G61" i="58"/>
  <c r="F82" i="58"/>
  <c r="F91" i="58"/>
  <c r="M82" i="58"/>
  <c r="G81" i="58"/>
  <c r="G82" i="58" s="1"/>
  <c r="J82" i="58" s="1"/>
  <c r="M91" i="58"/>
  <c r="G90" i="58"/>
  <c r="G91" i="58" s="1"/>
  <c r="J91" i="58" s="1"/>
  <c r="L64" i="58" l="1"/>
  <c r="H30" i="58"/>
  <c r="I30" i="58" s="1"/>
  <c r="I35" i="58"/>
  <c r="I3" i="58" s="1"/>
  <c r="L62" i="58"/>
  <c r="L63" i="58"/>
  <c r="P69" i="58"/>
  <c r="P70" i="58" s="1"/>
  <c r="F93" i="58"/>
  <c r="N91" i="58"/>
  <c r="J93" i="58"/>
  <c r="N82" i="58"/>
  <c r="O82" i="58" s="1"/>
  <c r="M93" i="58"/>
  <c r="N93" i="58" l="1"/>
  <c r="O93" i="58" s="1"/>
  <c r="O91" i="58"/>
  <c r="F104" i="29" l="1"/>
  <c r="F84" i="29"/>
  <c r="F6" i="54" l="1"/>
  <c r="I25" i="44"/>
  <c r="I26" i="44"/>
  <c r="I27" i="44"/>
  <c r="I28" i="44"/>
  <c r="I29" i="44"/>
  <c r="I30" i="44"/>
  <c r="I40" i="44"/>
  <c r="G43" i="44"/>
  <c r="I43" i="44" s="1"/>
  <c r="G44" i="44"/>
  <c r="I44" i="44" s="1"/>
  <c r="I48" i="44"/>
  <c r="I49" i="44" s="1"/>
  <c r="I52" i="44"/>
  <c r="I53" i="44"/>
  <c r="I54" i="44"/>
  <c r="I55" i="44"/>
  <c r="I56" i="44"/>
  <c r="I57" i="44"/>
  <c r="I58" i="44"/>
  <c r="I62" i="44"/>
  <c r="I63" i="44"/>
  <c r="I64" i="44"/>
  <c r="I65" i="44"/>
  <c r="I66" i="44"/>
  <c r="I67" i="44"/>
  <c r="I68" i="44"/>
  <c r="I69" i="44"/>
  <c r="I70" i="44"/>
  <c r="I73" i="44"/>
  <c r="I74" i="44"/>
  <c r="I75" i="44"/>
  <c r="I76" i="44"/>
  <c r="I77" i="44"/>
  <c r="I81" i="44"/>
  <c r="I82" i="44"/>
  <c r="I83" i="44"/>
  <c r="I84" i="44"/>
  <c r="I85" i="44"/>
  <c r="I89" i="44"/>
  <c r="I90" i="44"/>
  <c r="I91" i="44"/>
  <c r="I92" i="44"/>
  <c r="I93" i="44"/>
  <c r="I94" i="44"/>
  <c r="I95" i="44"/>
  <c r="I96" i="44"/>
  <c r="I97" i="44"/>
  <c r="I98" i="44"/>
  <c r="I102" i="44"/>
  <c r="I103" i="44"/>
  <c r="I105" i="44"/>
  <c r="I107" i="44"/>
  <c r="I108" i="44"/>
  <c r="I109" i="44"/>
  <c r="I110" i="44"/>
  <c r="I111" i="44"/>
  <c r="I112" i="44"/>
  <c r="G7" i="48"/>
  <c r="I114" i="44" l="1"/>
  <c r="I99" i="44"/>
  <c r="I79" i="44"/>
  <c r="I60" i="44"/>
  <c r="I31" i="44"/>
  <c r="I33" i="44" s="1"/>
  <c r="I71" i="44"/>
  <c r="I86" i="44"/>
  <c r="I45" i="44"/>
  <c r="K3" i="58"/>
  <c r="E4" i="8" s="1"/>
  <c r="G4" i="8" s="1"/>
  <c r="H4" i="8" s="1"/>
  <c r="I4" i="8" s="1"/>
  <c r="B9" i="18"/>
  <c r="B11" i="18" s="1"/>
  <c r="L12" i="58"/>
  <c r="C6" i="18" l="1"/>
  <c r="C9" i="18"/>
  <c r="C5" i="18"/>
  <c r="I117" i="44"/>
  <c r="I32" i="44"/>
  <c r="I34" i="44" s="1"/>
  <c r="E5" i="8"/>
  <c r="G5" i="8" s="1"/>
  <c r="H5" i="8" s="1"/>
  <c r="I5" i="8" s="1"/>
  <c r="C10" i="8" s="1"/>
  <c r="J12" i="58"/>
  <c r="E10" i="58"/>
  <c r="D10" i="58"/>
  <c r="C10" i="58"/>
  <c r="B10" i="58"/>
  <c r="Q3" i="58"/>
  <c r="C18" i="58"/>
  <c r="B18" i="58"/>
  <c r="F10" i="58" l="1"/>
  <c r="B3" i="58" s="1"/>
  <c r="O3" i="58"/>
  <c r="P3" i="58"/>
  <c r="M3" i="58"/>
  <c r="N3" i="58" l="1"/>
  <c r="R3" i="58" s="1"/>
  <c r="G15" i="18" s="1"/>
  <c r="C3" i="58"/>
  <c r="C11" i="8" l="1"/>
  <c r="C9" i="8" s="1"/>
  <c r="C8" i="8" s="1"/>
  <c r="D3" i="58"/>
  <c r="I12" i="58" s="1"/>
  <c r="N12" i="58" s="1"/>
  <c r="G16" i="18" l="1"/>
  <c r="G8" i="18"/>
  <c r="D18" i="58"/>
  <c r="G17" i="18" l="1"/>
  <c r="F65" i="56"/>
  <c r="I66" i="56" s="1"/>
  <c r="C37" i="26" s="1"/>
  <c r="F60" i="56"/>
  <c r="I60" i="56" s="1"/>
  <c r="F59" i="56"/>
  <c r="I59" i="56" s="1"/>
  <c r="F58" i="56"/>
  <c r="I58" i="56" s="1"/>
  <c r="F57" i="56"/>
  <c r="I57" i="56" s="1"/>
  <c r="F56" i="56"/>
  <c r="I56" i="56" s="1"/>
  <c r="F55" i="56"/>
  <c r="I55" i="56" s="1"/>
  <c r="F54" i="56"/>
  <c r="I54" i="56" s="1"/>
  <c r="F53" i="56"/>
  <c r="I53" i="56" s="1"/>
  <c r="F52" i="56"/>
  <c r="I52" i="56" s="1"/>
  <c r="F51" i="56"/>
  <c r="I51" i="56" s="1"/>
  <c r="F50" i="56"/>
  <c r="I50" i="56" s="1"/>
  <c r="F49" i="56"/>
  <c r="I49" i="56" s="1"/>
  <c r="F48" i="56"/>
  <c r="I48" i="56" s="1"/>
  <c r="F47" i="56"/>
  <c r="I47" i="56" s="1"/>
  <c r="F46" i="56"/>
  <c r="I46" i="56" s="1"/>
  <c r="F45" i="56"/>
  <c r="I45" i="56" s="1"/>
  <c r="F44" i="56"/>
  <c r="I44" i="56" s="1"/>
  <c r="F43" i="56"/>
  <c r="I43" i="56" s="1"/>
  <c r="F42" i="56"/>
  <c r="I42" i="56" s="1"/>
  <c r="F41" i="56"/>
  <c r="I41" i="56" s="1"/>
  <c r="F40" i="56"/>
  <c r="I40" i="56" s="1"/>
  <c r="F39" i="56"/>
  <c r="I39" i="56" s="1"/>
  <c r="F38" i="56"/>
  <c r="I38" i="56" s="1"/>
  <c r="F37" i="56"/>
  <c r="I37" i="56" s="1"/>
  <c r="F36" i="56"/>
  <c r="I36" i="56" s="1"/>
  <c r="F35" i="56"/>
  <c r="I35" i="56" s="1"/>
  <c r="F34" i="56"/>
  <c r="I34" i="56" s="1"/>
  <c r="F33" i="56"/>
  <c r="I33" i="56" s="1"/>
  <c r="F32" i="56"/>
  <c r="I32" i="56" s="1"/>
  <c r="F31" i="56"/>
  <c r="I31" i="56" s="1"/>
  <c r="F30" i="56"/>
  <c r="I30" i="56" s="1"/>
  <c r="F29" i="56"/>
  <c r="I29" i="56" s="1"/>
  <c r="F28" i="56"/>
  <c r="I28" i="56" s="1"/>
  <c r="F27" i="56"/>
  <c r="I27" i="56" s="1"/>
  <c r="F26" i="56"/>
  <c r="F22" i="56"/>
  <c r="I22" i="56" s="1"/>
  <c r="F21" i="56"/>
  <c r="I21" i="56" s="1"/>
  <c r="F20" i="56"/>
  <c r="I20" i="56" s="1"/>
  <c r="F19" i="56"/>
  <c r="I19" i="56" s="1"/>
  <c r="F18" i="56"/>
  <c r="I18" i="56" s="1"/>
  <c r="F17" i="56"/>
  <c r="I17" i="56" s="1"/>
  <c r="F16" i="56"/>
  <c r="I16" i="56" s="1"/>
  <c r="F15" i="56"/>
  <c r="I15" i="56" s="1"/>
  <c r="F14" i="56"/>
  <c r="I14" i="56" s="1"/>
  <c r="F13" i="56"/>
  <c r="I13" i="56" s="1"/>
  <c r="F12" i="56"/>
  <c r="I12" i="56" s="1"/>
  <c r="F11" i="56"/>
  <c r="I11" i="56" s="1"/>
  <c r="F10" i="56"/>
  <c r="I10" i="56" s="1"/>
  <c r="F9" i="56"/>
  <c r="I9" i="56" s="1"/>
  <c r="F8" i="56"/>
  <c r="I8" i="56" s="1"/>
  <c r="F7" i="56"/>
  <c r="I7" i="56" s="1"/>
  <c r="F6" i="56"/>
  <c r="G22" i="18" l="1"/>
  <c r="B16" i="18" s="1"/>
  <c r="H22" i="18"/>
  <c r="F23" i="56"/>
  <c r="H15" i="18"/>
  <c r="H16" i="18"/>
  <c r="F61" i="56"/>
  <c r="I6" i="56"/>
  <c r="I23" i="56" s="1"/>
  <c r="C36" i="26" s="1"/>
  <c r="I26" i="56"/>
  <c r="I61" i="56" s="1"/>
  <c r="C35" i="26" s="1"/>
  <c r="I22" i="18" l="1"/>
  <c r="H17" i="18"/>
  <c r="I68" i="56"/>
  <c r="C16" i="18" l="1"/>
  <c r="C47" i="18"/>
  <c r="C46" i="18"/>
  <c r="F55" i="18" s="1"/>
  <c r="E6" i="49"/>
  <c r="F6" i="49" s="1"/>
  <c r="G6" i="49" s="1"/>
  <c r="H6" i="49" s="1"/>
  <c r="F7" i="49"/>
  <c r="G7" i="49" s="1"/>
  <c r="H7" i="49" s="1"/>
  <c r="F8" i="49"/>
  <c r="G8" i="49" s="1"/>
  <c r="H8" i="49" s="1"/>
  <c r="F9" i="49"/>
  <c r="G9" i="49" s="1"/>
  <c r="H9" i="49" s="1"/>
  <c r="F10" i="49"/>
  <c r="G10" i="49" s="1"/>
  <c r="H10" i="49" s="1"/>
  <c r="F11" i="49"/>
  <c r="G11" i="49" s="1"/>
  <c r="H11" i="49" s="1"/>
  <c r="F13" i="49"/>
  <c r="G13" i="49" s="1"/>
  <c r="H13" i="49" s="1"/>
  <c r="F14" i="49"/>
  <c r="G14" i="49" s="1"/>
  <c r="H14" i="49" s="1"/>
  <c r="F15" i="49"/>
  <c r="G15" i="49" s="1"/>
  <c r="H15" i="49" s="1"/>
  <c r="F16" i="49"/>
  <c r="G16" i="49" s="1"/>
  <c r="H16" i="49" s="1"/>
  <c r="F17" i="49"/>
  <c r="G17" i="49" s="1"/>
  <c r="H17" i="49" s="1"/>
  <c r="F18" i="49"/>
  <c r="G18" i="49" s="1"/>
  <c r="H18" i="49" s="1"/>
  <c r="F19" i="49"/>
  <c r="G19" i="49" s="1"/>
  <c r="H19" i="49" s="1"/>
  <c r="F20" i="49"/>
  <c r="G20" i="49" s="1"/>
  <c r="H20" i="49" s="1"/>
  <c r="F21" i="49"/>
  <c r="G21" i="49" s="1"/>
  <c r="H21" i="49" s="1"/>
  <c r="F22" i="49"/>
  <c r="G22" i="49" s="1"/>
  <c r="H22" i="49" s="1"/>
  <c r="F23" i="49"/>
  <c r="G23" i="49" s="1"/>
  <c r="H23" i="49" s="1"/>
  <c r="F24" i="49"/>
  <c r="G24" i="49" s="1"/>
  <c r="H24" i="49" s="1"/>
  <c r="F25" i="49"/>
  <c r="G25" i="49" s="1"/>
  <c r="H25" i="49" s="1"/>
  <c r="F26" i="49"/>
  <c r="G26" i="49" s="1"/>
  <c r="H26" i="49" s="1"/>
  <c r="F27" i="49"/>
  <c r="G27" i="49" s="1"/>
  <c r="H27" i="49" s="1"/>
  <c r="F28" i="49"/>
  <c r="G28" i="49" s="1"/>
  <c r="H28" i="49" s="1"/>
  <c r="F29" i="49"/>
  <c r="G29" i="49" s="1"/>
  <c r="H29" i="49" s="1"/>
  <c r="F30" i="49"/>
  <c r="G30" i="49" s="1"/>
  <c r="H30" i="49" s="1"/>
  <c r="F31" i="49"/>
  <c r="G31" i="49" s="1"/>
  <c r="H31" i="49" s="1"/>
  <c r="F32" i="49"/>
  <c r="G32" i="49" s="1"/>
  <c r="H32" i="49" s="1"/>
  <c r="F33" i="49"/>
  <c r="G33" i="49" s="1"/>
  <c r="H33" i="49" s="1"/>
  <c r="F34" i="49"/>
  <c r="G34" i="49" s="1"/>
  <c r="H34" i="49" s="1"/>
  <c r="F35" i="49"/>
  <c r="G35" i="49" s="1"/>
  <c r="H35" i="49" s="1"/>
  <c r="F36" i="49"/>
  <c r="G36" i="49" s="1"/>
  <c r="H36" i="49" s="1"/>
  <c r="F37" i="49"/>
  <c r="G37" i="49" s="1"/>
  <c r="H37" i="49" s="1"/>
  <c r="F38" i="49"/>
  <c r="G38" i="49" s="1"/>
  <c r="H38" i="49" s="1"/>
  <c r="F39" i="49"/>
  <c r="G39" i="49" s="1"/>
  <c r="H39" i="49" s="1"/>
  <c r="F40" i="49"/>
  <c r="G40" i="49" s="1"/>
  <c r="H40" i="49" s="1"/>
  <c r="F41" i="49"/>
  <c r="G41" i="49" s="1"/>
  <c r="H41" i="49" s="1"/>
  <c r="F42" i="49"/>
  <c r="G42" i="49" s="1"/>
  <c r="H42" i="49" s="1"/>
  <c r="F43" i="49"/>
  <c r="G43" i="49" s="1"/>
  <c r="H43" i="49" s="1"/>
  <c r="F44" i="49"/>
  <c r="G44" i="49" s="1"/>
  <c r="H44" i="49" s="1"/>
  <c r="F46" i="49"/>
  <c r="G46" i="49" s="1"/>
  <c r="H46" i="49" s="1"/>
  <c r="F47" i="49"/>
  <c r="G47" i="49" s="1"/>
  <c r="H47" i="49" s="1"/>
  <c r="F48" i="49"/>
  <c r="G48" i="49" s="1"/>
  <c r="H48" i="49" s="1"/>
  <c r="F49" i="49"/>
  <c r="G49" i="49" s="1"/>
  <c r="H49" i="49" s="1"/>
  <c r="F50" i="49"/>
  <c r="G50" i="49" s="1"/>
  <c r="H50" i="49" s="1"/>
  <c r="F51" i="49"/>
  <c r="G51" i="49" s="1"/>
  <c r="H51" i="49" s="1"/>
  <c r="F53" i="49"/>
  <c r="G53" i="49" s="1"/>
  <c r="H53" i="49" s="1"/>
  <c r="F54" i="49"/>
  <c r="G54" i="49" s="1"/>
  <c r="H54" i="49" s="1"/>
  <c r="F55" i="49"/>
  <c r="G55" i="49" s="1"/>
  <c r="H55" i="49" s="1"/>
  <c r="F56" i="49"/>
  <c r="G56" i="49" s="1"/>
  <c r="H56" i="49" s="1"/>
  <c r="F57" i="49"/>
  <c r="G57" i="49" s="1"/>
  <c r="H57" i="49" s="1"/>
  <c r="F58" i="49"/>
  <c r="G58" i="49" s="1"/>
  <c r="H58" i="49" s="1"/>
  <c r="F59" i="49"/>
  <c r="G59" i="49" s="1"/>
  <c r="H59" i="49" s="1"/>
  <c r="F61" i="49"/>
  <c r="G61" i="49" s="1"/>
  <c r="H61" i="49" s="1"/>
  <c r="F62" i="49"/>
  <c r="G62" i="49" s="1"/>
  <c r="H62" i="49" s="1"/>
  <c r="F64" i="49"/>
  <c r="G64" i="49" s="1"/>
  <c r="H64" i="49" s="1"/>
  <c r="F65" i="49"/>
  <c r="G65" i="49" s="1"/>
  <c r="H65" i="49" s="1"/>
  <c r="F66" i="49"/>
  <c r="G66" i="49" s="1"/>
  <c r="H66" i="49" s="1"/>
  <c r="F67" i="49"/>
  <c r="G67" i="49" s="1"/>
  <c r="H67" i="49" s="1"/>
  <c r="F68" i="49"/>
  <c r="G68" i="49" s="1"/>
  <c r="H68" i="49" s="1"/>
  <c r="F69" i="49"/>
  <c r="G69" i="49" s="1"/>
  <c r="H69" i="49" s="1"/>
  <c r="F70" i="49"/>
  <c r="G70" i="49" s="1"/>
  <c r="H70" i="49" s="1"/>
  <c r="F71" i="49"/>
  <c r="G71" i="49" s="1"/>
  <c r="H71" i="49" s="1"/>
  <c r="F72" i="49"/>
  <c r="G72" i="49" s="1"/>
  <c r="H72" i="49" s="1"/>
  <c r="F73" i="49"/>
  <c r="G73" i="49" s="1"/>
  <c r="H73" i="49" s="1"/>
  <c r="F74" i="49"/>
  <c r="G74" i="49" s="1"/>
  <c r="H74" i="49" s="1"/>
  <c r="F75" i="49"/>
  <c r="G75" i="49" s="1"/>
  <c r="H75" i="49" s="1"/>
  <c r="F76" i="49"/>
  <c r="G76" i="49" s="1"/>
  <c r="H76" i="49" s="1"/>
  <c r="F77" i="49"/>
  <c r="G77" i="49" s="1"/>
  <c r="H77" i="49" s="1"/>
  <c r="F78" i="49"/>
  <c r="G78" i="49" s="1"/>
  <c r="H78" i="49" s="1"/>
  <c r="F79" i="49"/>
  <c r="G79" i="49" s="1"/>
  <c r="H79" i="49" s="1"/>
  <c r="F80" i="49"/>
  <c r="G80" i="49" s="1"/>
  <c r="H80" i="49" s="1"/>
  <c r="F81" i="49"/>
  <c r="G81" i="49" s="1"/>
  <c r="H81" i="49" s="1"/>
  <c r="G55" i="18" l="1"/>
  <c r="D47" i="18"/>
  <c r="F56" i="18"/>
  <c r="G56" i="18" s="1"/>
  <c r="D46" i="18"/>
  <c r="C50" i="18"/>
  <c r="H82" i="49"/>
  <c r="G82" i="49"/>
  <c r="F59" i="18" l="1"/>
  <c r="B10" i="54"/>
  <c r="B7" i="54" s="1"/>
  <c r="F7" i="54" s="1"/>
  <c r="B5" i="54"/>
  <c r="F5" i="54" s="1"/>
  <c r="G17" i="48"/>
  <c r="I18" i="48"/>
  <c r="I19" i="48"/>
  <c r="I20" i="48"/>
  <c r="I21" i="48"/>
  <c r="I22" i="48"/>
  <c r="I23" i="48"/>
  <c r="I24" i="48"/>
  <c r="G25" i="48"/>
  <c r="I26" i="48"/>
  <c r="I27" i="48"/>
  <c r="I28" i="48"/>
  <c r="I29" i="48"/>
  <c r="I30" i="48"/>
  <c r="I31" i="48"/>
  <c r="I32" i="48"/>
  <c r="I33" i="48"/>
  <c r="I34" i="48"/>
  <c r="I35" i="48"/>
  <c r="I36" i="48"/>
  <c r="G37" i="48"/>
  <c r="I38" i="48"/>
  <c r="I39" i="48"/>
  <c r="I40" i="48"/>
  <c r="I41" i="48"/>
  <c r="I42" i="48"/>
  <c r="I43" i="48"/>
  <c r="B66" i="48" s="1"/>
  <c r="I44" i="48"/>
  <c r="I45" i="48"/>
  <c r="I46" i="48"/>
  <c r="I47" i="48"/>
  <c r="I48" i="48"/>
  <c r="I49" i="48"/>
  <c r="I50" i="48"/>
  <c r="B68" i="48" s="1"/>
  <c r="I51" i="48"/>
  <c r="I52" i="48"/>
  <c r="I53" i="48"/>
  <c r="I54" i="48"/>
  <c r="I55" i="48"/>
  <c r="I56" i="48"/>
  <c r="I57" i="48"/>
  <c r="B64" i="48" l="1"/>
  <c r="B72" i="48"/>
  <c r="B73" i="48"/>
  <c r="B71" i="48"/>
  <c r="B65" i="48"/>
  <c r="B67" i="48"/>
  <c r="B70" i="48"/>
  <c r="B69" i="48"/>
  <c r="I17" i="48"/>
  <c r="I25" i="48"/>
  <c r="I37" i="48"/>
  <c r="G58" i="48"/>
  <c r="B75" i="48" l="1"/>
  <c r="G3" i="48" s="1"/>
  <c r="I58" i="48"/>
  <c r="D75" i="48"/>
  <c r="C74" i="48" l="1"/>
  <c r="C65" i="48"/>
  <c r="G4" i="48"/>
  <c r="G6" i="48" s="1"/>
  <c r="C69" i="48"/>
  <c r="C71" i="48"/>
  <c r="C68" i="48"/>
  <c r="C72" i="48"/>
  <c r="C73" i="48"/>
  <c r="C64" i="48"/>
  <c r="C66" i="48"/>
  <c r="C70" i="48"/>
  <c r="C67" i="48"/>
  <c r="C75" i="48" l="1"/>
  <c r="G5" i="18"/>
  <c r="B6" i="48"/>
  <c r="C7" i="44"/>
  <c r="C8" i="44"/>
  <c r="C9" i="44"/>
  <c r="C10" i="44"/>
  <c r="C11" i="44"/>
  <c r="C4" i="44"/>
  <c r="C6" i="44"/>
  <c r="B4" i="48" l="1"/>
  <c r="B10" i="48"/>
  <c r="C10" i="48" s="1"/>
  <c r="D6" i="48"/>
  <c r="D8" i="48" s="1"/>
  <c r="B13" i="48"/>
  <c r="C13" i="48" s="1"/>
  <c r="B12" i="48"/>
  <c r="C12" i="48" s="1"/>
  <c r="B11" i="48"/>
  <c r="C11" i="48" s="1"/>
  <c r="C3" i="44"/>
  <c r="C12" i="44"/>
  <c r="C5" i="44"/>
  <c r="C14" i="48" l="1"/>
  <c r="C13" i="44"/>
  <c r="C14" i="44" s="1"/>
  <c r="C15" i="44" s="1"/>
  <c r="C16" i="44" s="1"/>
  <c r="C17" i="44" s="1"/>
  <c r="G4" i="18" s="1"/>
  <c r="F3" i="43" l="1"/>
  <c r="F4" i="43"/>
  <c r="D5" i="43"/>
  <c r="G4" i="42"/>
  <c r="G5" i="42"/>
  <c r="G6" i="42"/>
  <c r="G7" i="42"/>
  <c r="G8" i="42"/>
  <c r="E9" i="42"/>
  <c r="C8" i="41"/>
  <c r="C10" i="41" s="1"/>
  <c r="C13" i="41"/>
  <c r="C21" i="41"/>
  <c r="C22" i="41"/>
  <c r="C32" i="41"/>
  <c r="C33" i="41"/>
  <c r="C5" i="40"/>
  <c r="C6" i="40"/>
  <c r="F3" i="39"/>
  <c r="F4" i="39"/>
  <c r="F5" i="39"/>
  <c r="F6" i="39"/>
  <c r="H5" i="38"/>
  <c r="C9" i="38" s="1"/>
  <c r="C11" i="38" s="1"/>
  <c r="C3" i="37"/>
  <c r="C5" i="37"/>
  <c r="C7" i="37" s="1"/>
  <c r="C6" i="37"/>
  <c r="C8" i="37" s="1"/>
  <c r="C12" i="37"/>
  <c r="C13" i="37"/>
  <c r="C5" i="36"/>
  <c r="C7" i="36"/>
  <c r="C9" i="36" s="1"/>
  <c r="C8" i="36"/>
  <c r="C10" i="36" s="1"/>
  <c r="C14" i="36"/>
  <c r="C15" i="36"/>
  <c r="G11" i="35"/>
  <c r="C7" i="35" s="1"/>
  <c r="B6" i="34"/>
  <c r="B8" i="34" s="1"/>
  <c r="E9" i="33"/>
  <c r="B4" i="33" s="1"/>
  <c r="B5" i="33" s="1"/>
  <c r="B20" i="54" s="1"/>
  <c r="G9" i="32"/>
  <c r="G10" i="32"/>
  <c r="G11" i="32"/>
  <c r="G12" i="32"/>
  <c r="G13" i="32"/>
  <c r="G14" i="32"/>
  <c r="G15" i="32"/>
  <c r="G16" i="32"/>
  <c r="G17" i="32"/>
  <c r="G18" i="32"/>
  <c r="G19" i="32"/>
  <c r="G20" i="32"/>
  <c r="G21" i="32"/>
  <c r="G22" i="32"/>
  <c r="G23" i="32"/>
  <c r="G24" i="32"/>
  <c r="G25" i="32"/>
  <c r="G26" i="32"/>
  <c r="G27" i="32"/>
  <c r="G28" i="32"/>
  <c r="G29" i="32"/>
  <c r="G30" i="32"/>
  <c r="G31" i="32"/>
  <c r="G32" i="32"/>
  <c r="G33" i="32"/>
  <c r="F34" i="32"/>
  <c r="G39" i="32"/>
  <c r="G40" i="32"/>
  <c r="G41" i="32"/>
  <c r="G42" i="32"/>
  <c r="G43" i="32"/>
  <c r="G44" i="32"/>
  <c r="G45" i="32"/>
  <c r="G46" i="32"/>
  <c r="G47" i="32"/>
  <c r="G48" i="32"/>
  <c r="G49" i="32"/>
  <c r="G50" i="32"/>
  <c r="G51" i="32"/>
  <c r="G52" i="32"/>
  <c r="G53" i="32"/>
  <c r="G54" i="32"/>
  <c r="G55" i="32"/>
  <c r="G56" i="32"/>
  <c r="G57" i="32"/>
  <c r="G58" i="32"/>
  <c r="G59" i="32"/>
  <c r="G60" i="32"/>
  <c r="G61" i="32"/>
  <c r="G62" i="32"/>
  <c r="G63" i="32"/>
  <c r="G64" i="32"/>
  <c r="G65" i="32"/>
  <c r="G66" i="32"/>
  <c r="H66" i="32"/>
  <c r="G67" i="32"/>
  <c r="F68" i="32"/>
  <c r="G6" i="31"/>
  <c r="K6" i="31"/>
  <c r="G7" i="31"/>
  <c r="G8" i="31"/>
  <c r="K8" i="31"/>
  <c r="G9" i="31"/>
  <c r="K9" i="31"/>
  <c r="G10" i="31"/>
  <c r="G11" i="31"/>
  <c r="G12" i="31"/>
  <c r="G13" i="31"/>
  <c r="G14" i="31"/>
  <c r="G15" i="31"/>
  <c r="K15" i="31"/>
  <c r="G16" i="31"/>
  <c r="G17" i="31"/>
  <c r="K17" i="31"/>
  <c r="G18" i="31"/>
  <c r="G19" i="31"/>
  <c r="G20" i="31"/>
  <c r="G21" i="31"/>
  <c r="G22" i="31"/>
  <c r="G23" i="31"/>
  <c r="G24" i="31"/>
  <c r="G25" i="31"/>
  <c r="G26" i="31"/>
  <c r="G27" i="31"/>
  <c r="G28" i="31"/>
  <c r="G29" i="31"/>
  <c r="G30" i="31"/>
  <c r="G31" i="31"/>
  <c r="G32" i="31"/>
  <c r="G33" i="31"/>
  <c r="G34" i="31"/>
  <c r="G35" i="31"/>
  <c r="G36" i="31"/>
  <c r="G37" i="31"/>
  <c r="G38" i="31"/>
  <c r="G39" i="31"/>
  <c r="G40" i="31"/>
  <c r="G41" i="31"/>
  <c r="G42" i="31"/>
  <c r="G43" i="31"/>
  <c r="G44" i="31"/>
  <c r="G45" i="31"/>
  <c r="G46" i="31"/>
  <c r="G47" i="31"/>
  <c r="G48" i="31"/>
  <c r="G49" i="31"/>
  <c r="G50" i="31"/>
  <c r="G51" i="31"/>
  <c r="G52" i="31"/>
  <c r="G53" i="31"/>
  <c r="G54" i="31"/>
  <c r="G55" i="31"/>
  <c r="G56" i="31"/>
  <c r="E4" i="30"/>
  <c r="F4" i="30"/>
  <c r="G4" i="30"/>
  <c r="H4" i="30"/>
  <c r="O4" i="30"/>
  <c r="R4" i="30" s="1"/>
  <c r="E5" i="30"/>
  <c r="F5" i="30"/>
  <c r="G5" i="30"/>
  <c r="H5" i="30"/>
  <c r="I5" i="30"/>
  <c r="O5" i="30"/>
  <c r="R5" i="30" s="1"/>
  <c r="C6" i="30"/>
  <c r="J6" i="30" s="1"/>
  <c r="E6" i="30"/>
  <c r="F6" i="30"/>
  <c r="R6" i="30"/>
  <c r="E7" i="30"/>
  <c r="F7" i="30"/>
  <c r="H7" i="30"/>
  <c r="R7" i="30"/>
  <c r="E8" i="30"/>
  <c r="F8" i="30"/>
  <c r="H8" i="30"/>
  <c r="R8" i="30"/>
  <c r="E9" i="30"/>
  <c r="F9" i="30"/>
  <c r="H9" i="30"/>
  <c r="J9" i="30" s="1"/>
  <c r="R9" i="30"/>
  <c r="E10" i="30"/>
  <c r="F10" i="30"/>
  <c r="H10" i="30"/>
  <c r="R10" i="30"/>
  <c r="E11" i="30"/>
  <c r="F11" i="30"/>
  <c r="H11" i="30"/>
  <c r="R11" i="30"/>
  <c r="E12" i="30"/>
  <c r="F12" i="30"/>
  <c r="H12" i="30"/>
  <c r="E13" i="30"/>
  <c r="F13" i="30"/>
  <c r="H13" i="30"/>
  <c r="E14" i="30"/>
  <c r="F14" i="30"/>
  <c r="H14" i="30"/>
  <c r="E15" i="30"/>
  <c r="F15" i="30"/>
  <c r="H15" i="30"/>
  <c r="E16" i="30"/>
  <c r="F16" i="30"/>
  <c r="H16" i="30"/>
  <c r="N16" i="30"/>
  <c r="P16" i="30" s="1"/>
  <c r="E17" i="30"/>
  <c r="F17" i="30"/>
  <c r="G17" i="30"/>
  <c r="H17" i="30"/>
  <c r="E18" i="30"/>
  <c r="F18" i="30"/>
  <c r="G18" i="30"/>
  <c r="H18" i="30"/>
  <c r="I18" i="30"/>
  <c r="E19" i="30"/>
  <c r="F19" i="30"/>
  <c r="P21" i="30"/>
  <c r="P22" i="30"/>
  <c r="P23" i="30"/>
  <c r="N30" i="30"/>
  <c r="N31" i="30" s="1"/>
  <c r="F23" i="29"/>
  <c r="D2" i="29" s="1"/>
  <c r="I24" i="29"/>
  <c r="I25" i="29"/>
  <c r="I26" i="29"/>
  <c r="I27" i="29"/>
  <c r="I28" i="29"/>
  <c r="I29" i="29"/>
  <c r="I30" i="29"/>
  <c r="I31" i="29"/>
  <c r="I32" i="29"/>
  <c r="I33" i="29"/>
  <c r="I34" i="29"/>
  <c r="I35" i="29"/>
  <c r="I36" i="29"/>
  <c r="I37" i="29"/>
  <c r="I38" i="29"/>
  <c r="I39" i="29"/>
  <c r="I40" i="29"/>
  <c r="I41" i="29"/>
  <c r="I42" i="29"/>
  <c r="I43" i="29"/>
  <c r="I44" i="29"/>
  <c r="I45" i="29"/>
  <c r="I46" i="29"/>
  <c r="I47" i="29"/>
  <c r="I48" i="29"/>
  <c r="I49" i="29"/>
  <c r="F50" i="29"/>
  <c r="F78" i="29"/>
  <c r="I79" i="29"/>
  <c r="I80" i="29"/>
  <c r="I81" i="29"/>
  <c r="I82" i="29"/>
  <c r="I83" i="29"/>
  <c r="I84" i="29"/>
  <c r="I85" i="29"/>
  <c r="I86" i="29"/>
  <c r="I87" i="29"/>
  <c r="I88" i="29"/>
  <c r="I89" i="29"/>
  <c r="I90" i="29"/>
  <c r="I91" i="29"/>
  <c r="I92" i="29"/>
  <c r="I93" i="29"/>
  <c r="I94" i="29"/>
  <c r="I95" i="29"/>
  <c r="I96" i="29"/>
  <c r="I97" i="29"/>
  <c r="I98" i="29"/>
  <c r="I99" i="29"/>
  <c r="I100" i="29"/>
  <c r="I101" i="29"/>
  <c r="I102" i="29"/>
  <c r="I103" i="29"/>
  <c r="I104" i="29"/>
  <c r="I105" i="29"/>
  <c r="I106" i="29"/>
  <c r="I107" i="29"/>
  <c r="I108" i="29"/>
  <c r="I109" i="29"/>
  <c r="I110" i="29"/>
  <c r="I111" i="29"/>
  <c r="I112" i="29"/>
  <c r="I113" i="29"/>
  <c r="F114" i="29"/>
  <c r="G13" i="28"/>
  <c r="G14" i="28"/>
  <c r="G15" i="28"/>
  <c r="G16" i="28"/>
  <c r="G17" i="28"/>
  <c r="G18" i="28"/>
  <c r="G19" i="28"/>
  <c r="G20" i="28"/>
  <c r="G21" i="28"/>
  <c r="G22" i="28"/>
  <c r="G23" i="28"/>
  <c r="G24" i="28"/>
  <c r="G25" i="28"/>
  <c r="G26" i="28"/>
  <c r="G27" i="28"/>
  <c r="G28" i="28"/>
  <c r="G29" i="28"/>
  <c r="G30" i="28"/>
  <c r="G31" i="28"/>
  <c r="G32" i="28"/>
  <c r="G33" i="28"/>
  <c r="G34" i="28"/>
  <c r="G35" i="28"/>
  <c r="G36" i="28"/>
  <c r="G37" i="28"/>
  <c r="G38" i="28"/>
  <c r="G39" i="28"/>
  <c r="G40" i="28"/>
  <c r="G41" i="28"/>
  <c r="G42" i="28"/>
  <c r="G43" i="28"/>
  <c r="G44" i="28"/>
  <c r="G45" i="28"/>
  <c r="G46" i="28"/>
  <c r="G47" i="28"/>
  <c r="G48" i="28"/>
  <c r="G49" i="28"/>
  <c r="G50" i="28"/>
  <c r="G51" i="28"/>
  <c r="G52" i="28"/>
  <c r="G53" i="28"/>
  <c r="G54" i="28"/>
  <c r="G55" i="28"/>
  <c r="G56" i="28"/>
  <c r="G57" i="28"/>
  <c r="G64" i="28"/>
  <c r="G65" i="28"/>
  <c r="G66" i="28"/>
  <c r="G67" i="28"/>
  <c r="G68" i="28"/>
  <c r="G69" i="28"/>
  <c r="G70" i="28"/>
  <c r="G71" i="28"/>
  <c r="G72" i="28"/>
  <c r="G73" i="28"/>
  <c r="G74" i="28"/>
  <c r="G75" i="28"/>
  <c r="G76" i="28"/>
  <c r="G77" i="28"/>
  <c r="G78" i="28"/>
  <c r="G79" i="28"/>
  <c r="G80" i="28"/>
  <c r="G81" i="28"/>
  <c r="G82" i="28"/>
  <c r="G83" i="28"/>
  <c r="G84" i="28"/>
  <c r="G85" i="28"/>
  <c r="G86" i="28"/>
  <c r="G87" i="28"/>
  <c r="G88" i="28"/>
  <c r="G89" i="28"/>
  <c r="G90" i="28"/>
  <c r="G91" i="28"/>
  <c r="G92" i="28"/>
  <c r="G93" i="28"/>
  <c r="G94" i="28"/>
  <c r="G95" i="28"/>
  <c r="G96" i="28"/>
  <c r="G97" i="28"/>
  <c r="G98" i="28"/>
  <c r="G99" i="28"/>
  <c r="G100" i="28"/>
  <c r="G101" i="28"/>
  <c r="G102" i="28"/>
  <c r="G103" i="28"/>
  <c r="G104" i="28"/>
  <c r="G105" i="28"/>
  <c r="G106" i="28"/>
  <c r="G107" i="28"/>
  <c r="G108" i="28"/>
  <c r="F115" i="28"/>
  <c r="F116" i="28" s="1"/>
  <c r="F117" i="28"/>
  <c r="I117" i="28" s="1"/>
  <c r="F118" i="28"/>
  <c r="I118" i="28" s="1"/>
  <c r="F119" i="28"/>
  <c r="I119" i="28" s="1"/>
  <c r="F120" i="28"/>
  <c r="I120" i="28" s="1"/>
  <c r="F121" i="28"/>
  <c r="I121" i="28" s="1"/>
  <c r="F122" i="28"/>
  <c r="I122" i="28" s="1"/>
  <c r="F123" i="28"/>
  <c r="I123" i="28" s="1"/>
  <c r="F124" i="28"/>
  <c r="I124" i="28" s="1"/>
  <c r="F125" i="28"/>
  <c r="I125" i="28" s="1"/>
  <c r="F126" i="28"/>
  <c r="I126" i="28" s="1"/>
  <c r="F127" i="28"/>
  <c r="I127" i="28" s="1"/>
  <c r="F128" i="28"/>
  <c r="I128" i="28" s="1"/>
  <c r="F129" i="28"/>
  <c r="I129" i="28" s="1"/>
  <c r="F130" i="28"/>
  <c r="I130" i="28" s="1"/>
  <c r="F131" i="28"/>
  <c r="I131" i="28" s="1"/>
  <c r="F132" i="28"/>
  <c r="I132" i="28" s="1"/>
  <c r="F141" i="28"/>
  <c r="F142" i="28" s="1"/>
  <c r="F143" i="28"/>
  <c r="I143" i="28" s="1"/>
  <c r="F144" i="28"/>
  <c r="I144" i="28" s="1"/>
  <c r="F145" i="28"/>
  <c r="I145" i="28" s="1"/>
  <c r="F146" i="28"/>
  <c r="I146" i="28" s="1"/>
  <c r="F147" i="28"/>
  <c r="I147" i="28" s="1"/>
  <c r="F148" i="28"/>
  <c r="I148" i="28" s="1"/>
  <c r="F149" i="28"/>
  <c r="I149" i="28" s="1"/>
  <c r="F150" i="28"/>
  <c r="I150" i="28" s="1"/>
  <c r="F151" i="28"/>
  <c r="I151" i="28" s="1"/>
  <c r="F152" i="28"/>
  <c r="I152" i="28" s="1"/>
  <c r="F153" i="28"/>
  <c r="I153" i="28" s="1"/>
  <c r="F154" i="28"/>
  <c r="I154" i="28" s="1"/>
  <c r="F155" i="28"/>
  <c r="I155" i="28" s="1"/>
  <c r="F156" i="28"/>
  <c r="I156" i="28" s="1"/>
  <c r="F157" i="28"/>
  <c r="I157" i="28" s="1"/>
  <c r="F158" i="28"/>
  <c r="I158" i="28" s="1"/>
  <c r="F159" i="28"/>
  <c r="I159" i="28" s="1"/>
  <c r="C4" i="27"/>
  <c r="E9" i="27"/>
  <c r="F9" i="27" s="1"/>
  <c r="C10" i="27"/>
  <c r="E10" i="27" s="1"/>
  <c r="F10" i="27" s="1"/>
  <c r="E11" i="27"/>
  <c r="F11" i="27" s="1"/>
  <c r="E12" i="27"/>
  <c r="F12" i="27" s="1"/>
  <c r="D5" i="25"/>
  <c r="F5" i="25" s="1"/>
  <c r="E10" i="25"/>
  <c r="F10" i="25" s="1"/>
  <c r="G10" i="25" s="1"/>
  <c r="C15" i="25"/>
  <c r="C17" i="25"/>
  <c r="C18" i="25" s="1"/>
  <c r="C21" i="25"/>
  <c r="D29" i="25"/>
  <c r="E29" i="25" s="1"/>
  <c r="M3" i="25" s="1"/>
  <c r="C32" i="26" s="1"/>
  <c r="C22" i="25" l="1"/>
  <c r="C7" i="40"/>
  <c r="C22" i="26" s="1"/>
  <c r="J11" i="30"/>
  <c r="F51" i="29"/>
  <c r="F5" i="43"/>
  <c r="F6" i="43" s="1"/>
  <c r="C21" i="26" s="1"/>
  <c r="J14" i="30"/>
  <c r="J7" i="30"/>
  <c r="J5" i="30"/>
  <c r="C17" i="36"/>
  <c r="C19" i="36" s="1"/>
  <c r="G4" i="36" s="1"/>
  <c r="J4" i="30"/>
  <c r="D7" i="29"/>
  <c r="J101" i="29" s="1"/>
  <c r="C23" i="25"/>
  <c r="I50" i="29"/>
  <c r="D4" i="29" s="1"/>
  <c r="C29" i="26"/>
  <c r="C30" i="26" s="1"/>
  <c r="I114" i="29"/>
  <c r="D5" i="29" s="1"/>
  <c r="D8" i="29" s="1"/>
  <c r="J19" i="30"/>
  <c r="J10" i="30"/>
  <c r="C15" i="37"/>
  <c r="C17" i="37" s="1"/>
  <c r="G2" i="37" s="1"/>
  <c r="C15" i="41"/>
  <c r="F3" i="41" s="1"/>
  <c r="F7" i="39"/>
  <c r="F8" i="39" s="1"/>
  <c r="C19" i="26" s="1"/>
  <c r="C20" i="30"/>
  <c r="C23" i="41"/>
  <c r="G9" i="42"/>
  <c r="G10" i="42" s="1"/>
  <c r="C20" i="26" s="1"/>
  <c r="D3" i="28"/>
  <c r="F6" i="34"/>
  <c r="G6" i="34"/>
  <c r="N32" i="30"/>
  <c r="J18" i="30"/>
  <c r="J16" i="30"/>
  <c r="B13" i="34"/>
  <c r="G109" i="28"/>
  <c r="J13" i="30"/>
  <c r="G68" i="32"/>
  <c r="D3" i="32" s="1"/>
  <c r="F133" i="28"/>
  <c r="F134" i="28" s="1"/>
  <c r="J8" i="30"/>
  <c r="J17" i="30"/>
  <c r="J15" i="30"/>
  <c r="F14" i="27"/>
  <c r="C8" i="26" s="1"/>
  <c r="G58" i="28"/>
  <c r="D2" i="28" s="1"/>
  <c r="J12" i="30"/>
  <c r="G34" i="32"/>
  <c r="D2" i="32" s="1"/>
  <c r="D4" i="32" s="1"/>
  <c r="C12" i="26" s="1"/>
  <c r="F8" i="54"/>
  <c r="F4" i="54" s="1"/>
  <c r="G6" i="18" s="1"/>
  <c r="C20" i="54"/>
  <c r="C21" i="54" s="1"/>
  <c r="B21" i="54"/>
  <c r="F160" i="28"/>
  <c r="D7" i="28" s="1"/>
  <c r="C28" i="26" s="1"/>
  <c r="R12" i="30"/>
  <c r="J22" i="30" s="1"/>
  <c r="C34" i="41"/>
  <c r="F7" i="26"/>
  <c r="F115" i="29"/>
  <c r="F11" i="25"/>
  <c r="G11" i="25" s="1"/>
  <c r="G3" i="41"/>
  <c r="C10" i="38"/>
  <c r="C12" i="38" s="1"/>
  <c r="C15" i="38" s="1"/>
  <c r="F3" i="38" s="1"/>
  <c r="F7" i="37"/>
  <c r="C14" i="37"/>
  <c r="C16" i="37" s="1"/>
  <c r="F2" i="37" s="1"/>
  <c r="H2" i="37" s="1"/>
  <c r="C17" i="26" s="1"/>
  <c r="C16" i="36"/>
  <c r="C18" i="36" s="1"/>
  <c r="F4" i="36" s="1"/>
  <c r="H4" i="36" s="1"/>
  <c r="C16" i="26" s="1"/>
  <c r="F9" i="36"/>
  <c r="G9" i="36" s="1"/>
  <c r="C13" i="35"/>
  <c r="C16" i="35"/>
  <c r="C8" i="35"/>
  <c r="G57" i="31"/>
  <c r="H32" i="31" s="1"/>
  <c r="P17" i="30"/>
  <c r="P18" i="30" s="1"/>
  <c r="E5" i="25"/>
  <c r="J104" i="29"/>
  <c r="J40" i="29"/>
  <c r="J84" i="29"/>
  <c r="C27" i="26"/>
  <c r="D3" i="29"/>
  <c r="D6" i="29" s="1"/>
  <c r="C11" i="26" s="1"/>
  <c r="I133" i="28"/>
  <c r="I160" i="28"/>
  <c r="C3" i="27"/>
  <c r="C5" i="27" s="1"/>
  <c r="F17" i="26"/>
  <c r="F21" i="26"/>
  <c r="F19" i="26"/>
  <c r="F13" i="26"/>
  <c r="F11" i="26"/>
  <c r="F8" i="26"/>
  <c r="F24" i="26"/>
  <c r="F22" i="26"/>
  <c r="F20" i="26"/>
  <c r="F18" i="26"/>
  <c r="F16" i="26"/>
  <c r="F14" i="26"/>
  <c r="F12" i="26"/>
  <c r="F10" i="26"/>
  <c r="F23" i="26"/>
  <c r="F15" i="26"/>
  <c r="F9" i="26"/>
  <c r="F25" i="26"/>
  <c r="G12" i="25"/>
  <c r="G5" i="25"/>
  <c r="H5" i="25" l="1"/>
  <c r="I5" i="25" s="1"/>
  <c r="D4" i="28"/>
  <c r="C10" i="26" s="1"/>
  <c r="C38" i="41"/>
  <c r="C31" i="26" s="1"/>
  <c r="N33" i="30"/>
  <c r="N34" i="30" s="1"/>
  <c r="N35" i="30" s="1"/>
  <c r="N36" i="30" s="1"/>
  <c r="J20" i="30"/>
  <c r="J21" i="30" s="1"/>
  <c r="J23" i="30" s="1"/>
  <c r="C7" i="26" s="1"/>
  <c r="F161" i="28"/>
  <c r="H6" i="34"/>
  <c r="C14" i="26" s="1"/>
  <c r="G13" i="34"/>
  <c r="F13" i="34"/>
  <c r="H3" i="41"/>
  <c r="H35" i="31"/>
  <c r="H48" i="31"/>
  <c r="H51" i="31"/>
  <c r="H9" i="31"/>
  <c r="H14" i="31"/>
  <c r="H46" i="31"/>
  <c r="H19" i="31"/>
  <c r="C16" i="38"/>
  <c r="G3" i="38" s="1"/>
  <c r="H3" i="38" s="1"/>
  <c r="C18" i="26" s="1"/>
  <c r="C17" i="35"/>
  <c r="C14" i="35"/>
  <c r="C15" i="35" s="1"/>
  <c r="H16" i="31"/>
  <c r="H21" i="31"/>
  <c r="H37" i="31"/>
  <c r="H41" i="31"/>
  <c r="H49" i="31"/>
  <c r="H53" i="31"/>
  <c r="H12" i="31"/>
  <c r="H17" i="31"/>
  <c r="H18" i="31"/>
  <c r="H22" i="31"/>
  <c r="H26" i="31"/>
  <c r="H30" i="31"/>
  <c r="H54" i="31"/>
  <c r="C9" i="26"/>
  <c r="H11" i="31"/>
  <c r="H15" i="31"/>
  <c r="H25" i="31"/>
  <c r="H29" i="31"/>
  <c r="H33" i="31"/>
  <c r="H45" i="31"/>
  <c r="H23" i="31"/>
  <c r="H39" i="31"/>
  <c r="H55" i="31"/>
  <c r="H20" i="31"/>
  <c r="H36" i="31"/>
  <c r="H52" i="31"/>
  <c r="H34" i="31"/>
  <c r="H50" i="31"/>
  <c r="H7" i="31"/>
  <c r="H27" i="31"/>
  <c r="H43" i="31"/>
  <c r="H8" i="31"/>
  <c r="H24" i="31"/>
  <c r="H40" i="31"/>
  <c r="H56" i="31"/>
  <c r="H38" i="31"/>
  <c r="H13" i="31"/>
  <c r="H31" i="31"/>
  <c r="H47" i="31"/>
  <c r="H10" i="31"/>
  <c r="H28" i="31"/>
  <c r="H44" i="31"/>
  <c r="H6" i="31"/>
  <c r="H42" i="31"/>
  <c r="P19" i="30"/>
  <c r="D8" i="28"/>
  <c r="C39" i="26" s="1"/>
  <c r="G10" i="18" s="1"/>
  <c r="M2" i="25"/>
  <c r="C23" i="26" s="1"/>
  <c r="H13" i="34" l="1"/>
  <c r="I6" i="31"/>
  <c r="I7" i="31" s="1"/>
  <c r="I8" i="31" s="1"/>
  <c r="I9" i="31" s="1"/>
  <c r="I10" i="31" s="1"/>
  <c r="I11" i="31" s="1"/>
  <c r="I12" i="31" s="1"/>
  <c r="I13" i="31" s="1"/>
  <c r="I14" i="31" s="1"/>
  <c r="I15" i="31" s="1"/>
  <c r="I16" i="31" s="1"/>
  <c r="I17" i="31" s="1"/>
  <c r="I18" i="31" s="1"/>
  <c r="I19" i="31" s="1"/>
  <c r="I20" i="31" s="1"/>
  <c r="I21" i="31" s="1"/>
  <c r="I22" i="31" s="1"/>
  <c r="I23" i="31" s="1"/>
  <c r="I24" i="31" s="1"/>
  <c r="I25" i="31" s="1"/>
  <c r="I26" i="31" s="1"/>
  <c r="I27" i="31" s="1"/>
  <c r="I28" i="31" s="1"/>
  <c r="I29" i="31" s="1"/>
  <c r="I30" i="31" s="1"/>
  <c r="I31" i="31" s="1"/>
  <c r="I32" i="31" s="1"/>
  <c r="I33" i="31" s="1"/>
  <c r="I34" i="31" s="1"/>
  <c r="I35" i="31" s="1"/>
  <c r="I36" i="31" s="1"/>
  <c r="I37" i="31" s="1"/>
  <c r="I38" i="31" s="1"/>
  <c r="I39" i="31" s="1"/>
  <c r="I40" i="31" s="1"/>
  <c r="I41" i="31" s="1"/>
  <c r="I42" i="31" s="1"/>
  <c r="I43" i="31" s="1"/>
  <c r="I44" i="31" s="1"/>
  <c r="I45" i="31" s="1"/>
  <c r="I46" i="31" s="1"/>
  <c r="I47" i="31" s="1"/>
  <c r="I48" i="31" s="1"/>
  <c r="I49" i="31" s="1"/>
  <c r="I50" i="31" s="1"/>
  <c r="I51" i="31" s="1"/>
  <c r="I52" i="31" s="1"/>
  <c r="I53" i="31" s="1"/>
  <c r="I54" i="31" s="1"/>
  <c r="I55" i="31" s="1"/>
  <c r="I56" i="31" s="1"/>
  <c r="H57" i="31"/>
  <c r="H4" i="35"/>
  <c r="C15" i="26" s="1"/>
  <c r="F24" i="35"/>
  <c r="C13" i="26"/>
  <c r="P20" i="30"/>
  <c r="P24" i="30" s="1"/>
  <c r="P25" i="30" s="1"/>
  <c r="C24" i="26" l="1"/>
  <c r="C5" i="26" s="1"/>
  <c r="G3" i="18" s="1"/>
  <c r="C5" i="8" l="1"/>
  <c r="C4" i="8" s="1"/>
  <c r="C33" i="26"/>
  <c r="C3" i="8" l="1"/>
  <c r="G9" i="18"/>
  <c r="G11" i="18" l="1"/>
  <c r="H21" i="18" l="1"/>
  <c r="H23" i="18" s="1"/>
  <c r="H4" i="18"/>
  <c r="G21" i="18"/>
  <c r="B15" i="18" s="1"/>
  <c r="G18" i="18"/>
  <c r="H18" i="18" s="1"/>
  <c r="H9" i="18"/>
  <c r="H10" i="18"/>
  <c r="H11" i="18"/>
  <c r="H7" i="18"/>
  <c r="H5" i="18"/>
  <c r="H8" i="18"/>
  <c r="H6" i="18"/>
  <c r="H3" i="18"/>
  <c r="G23" i="18" l="1"/>
  <c r="I21" i="18"/>
  <c r="B29" i="18" l="1"/>
  <c r="C15" i="18"/>
  <c r="B30" i="18"/>
  <c r="B31" i="18"/>
  <c r="B50" i="18"/>
  <c r="B41" i="18"/>
  <c r="B40" i="18" s="1"/>
  <c r="B58" i="18" s="1"/>
  <c r="C38" i="18"/>
  <c r="C37" i="18"/>
  <c r="C28" i="18"/>
  <c r="C36" i="18" s="1"/>
  <c r="C54" i="18" s="1"/>
  <c r="C31" i="18"/>
  <c r="C39" i="18" s="1"/>
  <c r="C32" i="18"/>
  <c r="C29" i="18"/>
  <c r="C30" i="18"/>
  <c r="B32" i="18"/>
  <c r="B28" i="18"/>
  <c r="I23" i="18"/>
  <c r="B59" i="18" l="1"/>
  <c r="D37" i="18"/>
  <c r="C55" i="18"/>
  <c r="D55" i="18" s="1"/>
  <c r="H55" i="18" s="1"/>
  <c r="D38" i="18"/>
  <c r="C56" i="18"/>
  <c r="D56" i="18" s="1"/>
  <c r="H56" i="18" s="1"/>
  <c r="B49" i="18"/>
  <c r="E59" i="18"/>
  <c r="D39" i="18"/>
  <c r="C57" i="18"/>
  <c r="D57" i="18" s="1"/>
  <c r="H57" i="18" s="1"/>
  <c r="D54" i="18"/>
  <c r="G37" i="18"/>
  <c r="G38" i="18"/>
  <c r="D30" i="18"/>
  <c r="C40" i="18"/>
  <c r="D36" i="18"/>
  <c r="D29" i="18"/>
  <c r="D28" i="18"/>
  <c r="D32" i="18"/>
  <c r="D31" i="18"/>
  <c r="C41" i="18" l="1"/>
  <c r="C58" i="18"/>
  <c r="D58" i="18" s="1"/>
  <c r="H58" i="18" s="1"/>
  <c r="H54" i="18"/>
  <c r="D49" i="18"/>
  <c r="D50" i="18" s="1"/>
  <c r="E58" i="18"/>
  <c r="G58" i="18" s="1"/>
  <c r="G59" i="18" s="1"/>
  <c r="D40" i="18"/>
  <c r="C59" i="18" l="1"/>
  <c r="D59" i="18"/>
  <c r="H59" i="18" s="1"/>
  <c r="D41" i="18"/>
  <c r="G40" i="18"/>
  <c r="G41" i="18" l="1"/>
  <c r="G36" i="18"/>
  <c r="G39" i="18"/>
</calcChain>
</file>

<file path=xl/comments1.xml><?xml version="1.0" encoding="utf-8"?>
<comments xmlns="http://schemas.openxmlformats.org/spreadsheetml/2006/main">
  <authors>
    <author>Usuário do Windows</author>
  </authors>
  <commentList>
    <comment ref="M66" authorId="0" shapeId="0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
aguardando Bruno enviar novos valores, sem retrição de hoário de bombeamento</t>
        </r>
      </text>
    </comment>
  </commentList>
</comments>
</file>

<file path=xl/comments2.xml><?xml version="1.0" encoding="utf-8"?>
<comments xmlns="http://schemas.openxmlformats.org/spreadsheetml/2006/main">
  <authors>
    <author>Usuário do Windows</author>
  </authors>
  <commentList>
    <comment ref="H23" authorId="0" shapeId="0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
tabela de preços de consultoria do DNIT</t>
        </r>
      </text>
    </comment>
    <comment ref="H48" authorId="0" shapeId="0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
tabela de preços de consultoria do DNIT</t>
        </r>
      </text>
    </comment>
  </commentList>
</comments>
</file>

<file path=xl/comments3.xml><?xml version="1.0" encoding="utf-8"?>
<comments xmlns="http://schemas.openxmlformats.org/spreadsheetml/2006/main">
  <authors>
    <author>Usuário do Windows</author>
  </authors>
  <commentList>
    <comment ref="G3" authorId="0" shapeId="0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
Esse valor tem que ser confirmado</t>
        </r>
      </text>
    </comment>
    <comment ref="F8" authorId="0" shapeId="0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
TJLP</t>
        </r>
      </text>
    </comment>
  </commentList>
</comments>
</file>

<file path=xl/comments4.xml><?xml version="1.0" encoding="utf-8"?>
<comments xmlns="http://schemas.openxmlformats.org/spreadsheetml/2006/main">
  <authors>
    <author>Usuário do Windows</author>
  </authors>
  <commentList>
    <comment ref="B7" authorId="0" shapeId="0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
alterei aqui, era 15% o original</t>
        </r>
      </text>
    </comment>
    <comment ref="B12" authorId="0" shapeId="0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
alterei aqui, era 10 anos</t>
        </r>
      </text>
    </comment>
  </commentList>
</comments>
</file>

<file path=xl/comments5.xml><?xml version="1.0" encoding="utf-8"?>
<comments xmlns="http://schemas.openxmlformats.org/spreadsheetml/2006/main">
  <authors>
    <author>Usuário do Windows</author>
  </authors>
  <commentList>
    <comment ref="C13" authorId="0" shapeId="0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
alterei, o original era 52,14 semanas por ano</t>
        </r>
      </text>
    </comment>
  </commentList>
</comments>
</file>

<file path=xl/comments6.xml><?xml version="1.0" encoding="utf-8"?>
<comments xmlns="http://schemas.openxmlformats.org/spreadsheetml/2006/main">
  <authors>
    <author>Usuário do Windows</author>
  </authors>
  <commentList>
    <comment ref="C20" authorId="0" shapeId="0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
alterei, o original era 52,14 semanas por ano</t>
        </r>
      </text>
    </comment>
  </commentList>
</comments>
</file>

<file path=xl/connections.xml><?xml version="1.0" encoding="utf-8"?>
<connections xmlns="http://schemas.openxmlformats.org/spreadsheetml/2006/main">
  <connection id="1" sourceFile="C:\Users\cintia.araujo\Desktop\Tarifa PISF\1\Análise custos OM Petry.xlsx" keepAlive="1" name="Análise custos OM Petry" type="5" refreshedVersion="5">
    <dbPr connection="Provider=Microsoft.ACE.OLEDB.12.0;User ID=Admin;Data Source=C:\Users\cintia.araujo\Desktop\Tarifa PISF\1\Análise custos OM Petry.xlsx;Mode=Share Deny Write;Extended Properties=&quot;HDR=YES;&quot;;Jet OLEDB:System database=&quot;&quot;;Jet OLEDB:Registry Path=&quot;&quot;;Jet OLEDB:Engine Type=3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Veículos$" commandType="3"/>
  </connection>
</connections>
</file>

<file path=xl/sharedStrings.xml><?xml version="1.0" encoding="utf-8"?>
<sst xmlns="http://schemas.openxmlformats.org/spreadsheetml/2006/main" count="2541" uniqueCount="1348">
  <si>
    <t>Custos Ambientais</t>
  </si>
  <si>
    <t>Despesas Administrativas</t>
  </si>
  <si>
    <t>R$/ano</t>
  </si>
  <si>
    <t>Veículos</t>
  </si>
  <si>
    <t>Equipamentos</t>
  </si>
  <si>
    <t>Linhas de Transmissão</t>
  </si>
  <si>
    <t>Seguros</t>
  </si>
  <si>
    <t>Fundo de reposição de Ativos</t>
  </si>
  <si>
    <t>Descrição</t>
  </si>
  <si>
    <t>Total</t>
  </si>
  <si>
    <t>Eixo Leste</t>
  </si>
  <si>
    <t>Eixo Norte</t>
  </si>
  <si>
    <t>%</t>
  </si>
  <si>
    <t>total</t>
  </si>
  <si>
    <t>Salários</t>
  </si>
  <si>
    <t>Benefícios</t>
  </si>
  <si>
    <t>Estados</t>
  </si>
  <si>
    <t>CE</t>
  </si>
  <si>
    <t>PB</t>
  </si>
  <si>
    <t>PE</t>
  </si>
  <si>
    <t>RN</t>
  </si>
  <si>
    <t>Despesas Administrativas - total</t>
  </si>
  <si>
    <t>Fator Z</t>
  </si>
  <si>
    <t>% PTAv</t>
  </si>
  <si>
    <t>PISF</t>
  </si>
  <si>
    <t>%?</t>
  </si>
  <si>
    <t>Aferição e Manutenção de medidores de canal fixos do portais</t>
  </si>
  <si>
    <t>Custo unitário da Aferição</t>
  </si>
  <si>
    <t>R$/tarefa</t>
  </si>
  <si>
    <t>Total de Aferições por Eixo</t>
  </si>
  <si>
    <t>Tarefas/ano</t>
  </si>
  <si>
    <t>Custo de Aferição medidores de canal fixo - Norte</t>
  </si>
  <si>
    <t>Custo de Aferição medidores de canal fixo - Leste</t>
  </si>
  <si>
    <t xml:space="preserve">Total para Aferição medidores de canal fixo </t>
  </si>
  <si>
    <t>R$/U$</t>
  </si>
  <si>
    <t>preço em dólar</t>
  </si>
  <si>
    <t>Medidor portátil para canal</t>
  </si>
  <si>
    <t xml:space="preserve"> TOTAL MENSAL (R$)</t>
  </si>
  <si>
    <t>UNITÁRIO (R$)</t>
  </si>
  <si>
    <t>PREÇO</t>
  </si>
  <si>
    <t>Quantidade</t>
  </si>
  <si>
    <t>Item</t>
  </si>
  <si>
    <t>Custo Anual Inspeção rio Piranhas</t>
  </si>
  <si>
    <t>R$/inspeção</t>
  </si>
  <si>
    <t>Custo Inspeção rio Piranhas</t>
  </si>
  <si>
    <t>Inspeção ano</t>
  </si>
  <si>
    <t>Total de Inspeções rio Piranhas</t>
  </si>
  <si>
    <t>meses/ano</t>
  </si>
  <si>
    <t>Total de meses - Ano</t>
  </si>
  <si>
    <t>Inspeção/mês</t>
  </si>
  <si>
    <t>Frequencia inspeção rio Piranhas</t>
  </si>
  <si>
    <t>h/inspeção</t>
  </si>
  <si>
    <t>Horas de Inspeção Aérea rio Piranhas</t>
  </si>
  <si>
    <t>saindo de juazeiro e indo via rio Piranhas até a divisa PB/RN</t>
  </si>
  <si>
    <t>1o ano</t>
  </si>
  <si>
    <t>km</t>
  </si>
  <si>
    <t>Extensão rio Piranhas</t>
  </si>
  <si>
    <t>velocidade de inspeção</t>
  </si>
  <si>
    <t>Km inspeção/h</t>
  </si>
  <si>
    <t>Driver:</t>
  </si>
  <si>
    <t>R$/h</t>
  </si>
  <si>
    <t>Helicoptero/ 3 pessoas</t>
  </si>
  <si>
    <t>Fiscalização helicóptero</t>
  </si>
  <si>
    <t>Combustível</t>
  </si>
  <si>
    <t>Pick up 4x4 Cabine Dupla</t>
  </si>
  <si>
    <t xml:space="preserve"> TOTAL ANUAL (R$)</t>
  </si>
  <si>
    <t>UNITÁRIO MENSAL (R$)</t>
  </si>
  <si>
    <t>Total com BDI de 25,15% (R$/ano)</t>
  </si>
  <si>
    <t>Técnico hidrometrista</t>
  </si>
  <si>
    <t>total investimento</t>
  </si>
  <si>
    <t>Total (R$/ano)</t>
  </si>
  <si>
    <t xml:space="preserve">Periculosidade (R$/mês)      </t>
  </si>
  <si>
    <t>Benefícios (R$/mês)</t>
  </si>
  <si>
    <t>Encargos (R$/mês)</t>
  </si>
  <si>
    <t>Salários (R$/mês)</t>
  </si>
  <si>
    <t>Total custeio</t>
  </si>
  <si>
    <t>Mão de obra</t>
  </si>
  <si>
    <t>ok</t>
  </si>
  <si>
    <t>Materiais/ Peças sobressalentes</t>
  </si>
  <si>
    <t>Sistema de Proteção e Controle de Incêndio</t>
  </si>
  <si>
    <t xml:space="preserve">Canteiros/Mobilização/Almoxarifado </t>
  </si>
  <si>
    <t xml:space="preserve">Ferramentas </t>
  </si>
  <si>
    <t>Depreciação</t>
  </si>
  <si>
    <t>B.D.I de 19,6 % para aquisição</t>
  </si>
  <si>
    <t>Fiscalização Rio Piranhas</t>
  </si>
  <si>
    <t>Investimentos</t>
  </si>
  <si>
    <t>Reserva para Despesas Emergenciais</t>
  </si>
  <si>
    <t>Aferição de Medidores de vazão</t>
  </si>
  <si>
    <t>Trafos e Linhas de Média e Baixa Tensão</t>
  </si>
  <si>
    <t xml:space="preserve">Subestações  </t>
  </si>
  <si>
    <t>Reparos na Infraestrutura Civil (Geomembrana e Geogrelha)</t>
  </si>
  <si>
    <t>Inspeção Aérea por Drone</t>
  </si>
  <si>
    <t>Inspeção Aérea por Helicoptero</t>
  </si>
  <si>
    <t>Sistemas de Automação (Hardware e Software)</t>
  </si>
  <si>
    <t>Sistema de Proteção e Combate a Incêndio</t>
  </si>
  <si>
    <t>Taxas Administração e BDI</t>
  </si>
  <si>
    <t>Materiais de consumo</t>
  </si>
  <si>
    <t>Ferramentas</t>
  </si>
  <si>
    <t>Canteiros/Mobilização/Almoxarifado</t>
  </si>
  <si>
    <t>Mão de Obra (E.Bs e Canais)</t>
  </si>
  <si>
    <t>Operação e Manutenção (Tercerizada)</t>
  </si>
  <si>
    <t>Operacional Fixo (Independe de Bombeamento)</t>
  </si>
  <si>
    <t>Valores CODEVASF</t>
  </si>
  <si>
    <t>PLANILHA CODEVASF</t>
  </si>
  <si>
    <t>PLANILHA ANA</t>
  </si>
  <si>
    <t>Caminhão capacidade carga 4000kg cabine dupla com carroceria longa</t>
  </si>
  <si>
    <t>Automóvel no mínimo 1.6 com 5 lugares</t>
  </si>
  <si>
    <t>Motocicleta mínimo 150cc adequada para terrenos carroçável com equipamentos de segurança</t>
  </si>
  <si>
    <t>TOTAL VEÍCULOS PARA O&amp;M</t>
  </si>
  <si>
    <t>COMBUSTÍVEL</t>
  </si>
  <si>
    <t>VEÍCULO</t>
  </si>
  <si>
    <t>R$/ANO</t>
  </si>
  <si>
    <t>VEÍCULO PARA O&amp;M</t>
  </si>
  <si>
    <t>IN SRF 162/98 - ANEXO I - NCM - Bens Relacionados na Nomenclatura Comum do Mercosul</t>
  </si>
  <si>
    <t>*</t>
  </si>
  <si>
    <r>
      <t>TOTAL</t>
    </r>
    <r>
      <rPr>
        <b/>
        <sz val="9"/>
        <rFont val="Calibri"/>
        <family val="2"/>
      </rPr>
      <t xml:space="preserve"> </t>
    </r>
  </si>
  <si>
    <t>Custeio: depreciação</t>
  </si>
  <si>
    <t>SUBTOTAL INVESTIMENTOS</t>
  </si>
  <si>
    <t>Bebedouro</t>
  </si>
  <si>
    <t>Armário para vestiário c/16 portas</t>
  </si>
  <si>
    <t>Armário de escritório</t>
  </si>
  <si>
    <t>Mesa de escritório</t>
  </si>
  <si>
    <t>Cadeira de escritório</t>
  </si>
  <si>
    <t>Mesa de reunião</t>
  </si>
  <si>
    <t>Condicionador de ar</t>
  </si>
  <si>
    <t>Mesa de refeitório 10 lugares c/ cadeiras</t>
  </si>
  <si>
    <t>Forno Micro ondas</t>
  </si>
  <si>
    <t>Fogão com botijão de gás</t>
  </si>
  <si>
    <t>Geladeira</t>
  </si>
  <si>
    <t>GPS</t>
  </si>
  <si>
    <t xml:space="preserve">Sistema de Radiocomunicação </t>
  </si>
  <si>
    <t>Câmera fotográfica digital</t>
  </si>
  <si>
    <t>Impressora multifuncional</t>
  </si>
  <si>
    <t>IN SRF nº 4/85</t>
  </si>
  <si>
    <t>Computador completo operação da oficina, vigilância e administração</t>
  </si>
  <si>
    <t>Notebook para operação da EB, chefia e fiscalização</t>
  </si>
  <si>
    <t>SUBTOTAL CUSTEIO</t>
  </si>
  <si>
    <t>01 conjunto de utensílios para cozinha</t>
  </si>
  <si>
    <t xml:space="preserve"> TOTAL (R$)</t>
  </si>
  <si>
    <t>QUANT.</t>
  </si>
  <si>
    <t>DESCRIÇÃO</t>
  </si>
  <si>
    <t>ITEM</t>
  </si>
  <si>
    <t>Depreciação anual</t>
  </si>
  <si>
    <t>Vida útil anos</t>
  </si>
  <si>
    <t>Ref. NCM</t>
  </si>
  <si>
    <t>ORÇAMENTO MÓVEIS E EQUIPAMENTOS DOS ESCRITÓRIOS E OFICINAS DO CANAL (Todos os canteiros)</t>
  </si>
  <si>
    <t>TOTAL</t>
  </si>
  <si>
    <t>Armário para vestiário</t>
  </si>
  <si>
    <t>Mesa de refeitório 10 lugares c/cadeiras</t>
  </si>
  <si>
    <t>Sistema de radiocomunicação</t>
  </si>
  <si>
    <t>Jogo de utensílios para cozinha</t>
  </si>
  <si>
    <t>TOTAL (R$)</t>
  </si>
  <si>
    <r>
      <t>Ref. NCM/ outros</t>
    </r>
    <r>
      <rPr>
        <b/>
        <sz val="12"/>
        <color rgb="FF000000"/>
        <rFont val="Arial"/>
        <family val="2"/>
      </rPr>
      <t xml:space="preserve"> *</t>
    </r>
  </si>
  <si>
    <t xml:space="preserve">ORÇAMENTO MÓVEIS E EQUIPAMENTOS DOS ESCRITÓRIOS das Ebs </t>
  </si>
  <si>
    <t>TOTAL CUSTEIO</t>
  </si>
  <si>
    <t>Unid.</t>
  </si>
  <si>
    <t xml:space="preserve">EPIs (luvas, abafadores, capacetes, botas, etc.) </t>
  </si>
  <si>
    <t xml:space="preserve">Kit </t>
  </si>
  <si>
    <t>Fardamento incluindo vigilância</t>
  </si>
  <si>
    <t>Sabonete 90g</t>
  </si>
  <si>
    <t>Vassoura</t>
  </si>
  <si>
    <t>Rodo de borracha</t>
  </si>
  <si>
    <t>Caixa</t>
  </si>
  <si>
    <t>Sabão em pó 500 g</t>
  </si>
  <si>
    <t>Rolo</t>
  </si>
  <si>
    <t>Papel higiênico</t>
  </si>
  <si>
    <t>Resma</t>
  </si>
  <si>
    <t>Papel A4</t>
  </si>
  <si>
    <t>Régua 30cm Acrílico Cristal</t>
  </si>
  <si>
    <t>Pasta suspensa</t>
  </si>
  <si>
    <t>Pasta arquivo AZ Ofício</t>
  </si>
  <si>
    <t>Pano de prato</t>
  </si>
  <si>
    <t>Pac. c/ 3 unid.</t>
  </si>
  <si>
    <t>Papel toalha</t>
  </si>
  <si>
    <t>Pano de chão</t>
  </si>
  <si>
    <t>Caixa c/12</t>
  </si>
  <si>
    <t>Marca texto</t>
  </si>
  <si>
    <t>Livro de ata com 100 páginas numeradas</t>
  </si>
  <si>
    <t>Caixa c/100</t>
  </si>
  <si>
    <t>Lápis</t>
  </si>
  <si>
    <t>Caixa c/ 1000</t>
  </si>
  <si>
    <t>Grampo 26/6</t>
  </si>
  <si>
    <t>Flanela</t>
  </si>
  <si>
    <t>Fita crepe branca 45x50mm</t>
  </si>
  <si>
    <t>Fita adesiva transparente</t>
  </si>
  <si>
    <t>Fita adesiva 48/100</t>
  </si>
  <si>
    <t>Estilete 18mm</t>
  </si>
  <si>
    <t>Esponja</t>
  </si>
  <si>
    <t>Perfurador de papel 2 furos até 30 fls</t>
  </si>
  <si>
    <t>Grampeador grande de mesa P/40F</t>
  </si>
  <si>
    <t>Pac. c/100</t>
  </si>
  <si>
    <t>Envelope de papel tamanho pequeno – 30 cm</t>
  </si>
  <si>
    <t>Envelope de papel tamanho médio – 35 cm</t>
  </si>
  <si>
    <t>Envelope de papel tamanho grande – 40 cm</t>
  </si>
  <si>
    <t>Detergente 500 ml</t>
  </si>
  <si>
    <t>Unid.c/1000ml</t>
  </si>
  <si>
    <t>Álcool</t>
  </si>
  <si>
    <t>Desinfetante</t>
  </si>
  <si>
    <t>Unid. c/18ml</t>
  </si>
  <si>
    <t xml:space="preserve">Corretivo a base d’água </t>
  </si>
  <si>
    <t>Centena</t>
  </si>
  <si>
    <t>Copo descartável 50ml</t>
  </si>
  <si>
    <t>Copo descartável 300ml</t>
  </si>
  <si>
    <t>Cola Tenaz</t>
  </si>
  <si>
    <t>Clips nº 8</t>
  </si>
  <si>
    <t>Clips nº 4</t>
  </si>
  <si>
    <t>CD RW</t>
  </si>
  <si>
    <t>Cartucho preto para impressora</t>
  </si>
  <si>
    <t>Cartucho colorido para impressora</t>
  </si>
  <si>
    <t>Caneta esferográfica azul</t>
  </si>
  <si>
    <t>Pac. c/ 250g</t>
  </si>
  <si>
    <t xml:space="preserve">Café torrado e moído </t>
  </si>
  <si>
    <t>Galão 20 lts</t>
  </si>
  <si>
    <t xml:space="preserve">Água mineral </t>
  </si>
  <si>
    <t>Kg</t>
  </si>
  <si>
    <t>Açúcar</t>
  </si>
  <si>
    <t>UNIDADE</t>
  </si>
  <si>
    <t>MATERIAL DE CONSUMO PESSOAL E DE ESCRITÓRIO PARA O CANAL</t>
  </si>
  <si>
    <t>MATERIAL DE CONSUMO PESSOAL E DE ESCRITÓRIO PARA ESTAÇÃO DE BOMBEAMENTO</t>
  </si>
  <si>
    <t>Total de despesas de depreciação</t>
  </si>
  <si>
    <t>Total de despesas de investimento</t>
  </si>
  <si>
    <t>Total de despesas de custeio</t>
  </si>
  <si>
    <t>Mobiliários e Escritórios (Custeio)</t>
  </si>
  <si>
    <t>Material de consumo (custeio)</t>
  </si>
  <si>
    <t>Almoxarifados/Mobilização</t>
  </si>
  <si>
    <t>IN SRF 162/98 - ANEXO I - NCM - Bens Relacionados na Nomenclatura Comum do Mercosul - capítulos</t>
  </si>
  <si>
    <t>TOTAL DE FERRAMENTAS PARA OPERAÇÃO E MANUTENÇÃO DOS CANAIS</t>
  </si>
  <si>
    <t>SUBTOTAL DE PERMANENTES (INVESTIMENTOS)</t>
  </si>
  <si>
    <t>Torquímetro de estalo 50 – 400 Nm</t>
  </si>
  <si>
    <t>Torquímetro com relógio 4506 – R350 0 047 260 OF</t>
  </si>
  <si>
    <t>Termômetro mira laser escala de 20 a 500ºc</t>
  </si>
  <si>
    <t>Talha capacidade 5 t</t>
  </si>
  <si>
    <t>Tacômetro Digital 0,1 -  1,0 RPM DT – 2234A</t>
  </si>
  <si>
    <t>Relógio comparador 0 – 10/0,01mm digital</t>
  </si>
  <si>
    <t>Paquímetro universal 0 – 650mm/0,02mm</t>
  </si>
  <si>
    <t>Paquímetro digital 0 – 150mm/0,01mm</t>
  </si>
  <si>
    <t>Multiteste escala de 0 – 1000 VCA (79/26) Cat. 3</t>
  </si>
  <si>
    <t>Motor 4 tempos 15 hp para barco</t>
  </si>
  <si>
    <t>Motoesmeril de 1 cv – 3500 RPM</t>
  </si>
  <si>
    <t>Morsa para bancada nº 8</t>
  </si>
  <si>
    <t>Micrômetro interno 50 – 800mm</t>
  </si>
  <si>
    <t>Micrômetro externo 0 – 100mm</t>
  </si>
  <si>
    <t>Megômetro elétrico tensão de teste até 5 KV</t>
  </si>
  <si>
    <t>Máquina de solda de 250A com kit</t>
  </si>
  <si>
    <t>Macaco tipo elevador capacidade de 2t</t>
  </si>
  <si>
    <t>Lixadeira manual para disco de 7”</t>
  </si>
  <si>
    <t>Lixadeira manual para disco de 3”</t>
  </si>
  <si>
    <t>Indutor elétrico para aquecimento de rolamentos (JM 500)</t>
  </si>
  <si>
    <t>Guindaste girafa de 2t para oficina</t>
  </si>
  <si>
    <r>
      <t>Furradeira Manual 650W 1050 – 1450 RPM 220 V</t>
    </r>
    <r>
      <rPr>
        <sz val="8"/>
        <rFont val="SimSun"/>
      </rPr>
      <t>Ø</t>
    </r>
    <r>
      <rPr>
        <sz val="8"/>
        <rFont val="Arial"/>
        <family val="2"/>
      </rPr>
      <t xml:space="preserve"> 13mm</t>
    </r>
  </si>
  <si>
    <t>Furradeira de bancada – Prof. 110mm – 1/2cv, mandril 5/8”</t>
  </si>
  <si>
    <t>Escada metálica de 12 degraus</t>
  </si>
  <si>
    <t>Escada metálica de 05 degraus</t>
  </si>
  <si>
    <r>
      <t>Compressor de ar de 100 L, 9,30Kgf/cm</t>
    </r>
    <r>
      <rPr>
        <vertAlign val="superscript"/>
        <sz val="8"/>
        <rFont val="Arial"/>
        <family val="2"/>
      </rPr>
      <t>2</t>
    </r>
  </si>
  <si>
    <t>Bomba de graxa 5 kg</t>
  </si>
  <si>
    <t>Bomba a gasolina, autoescorvante, 3,5 hp</t>
  </si>
  <si>
    <t>Base magnética para relógio comparador</t>
  </si>
  <si>
    <t>Barco de alumínio de 6m com carreta para transporte</t>
  </si>
  <si>
    <t>Bancada para oficina – 1,2 x 2,5 m</t>
  </si>
  <si>
    <t>Bancada com injetor de corrente</t>
  </si>
  <si>
    <t>Aspirador de pó capacidade 20 L</t>
  </si>
  <si>
    <t>Alicate amperímetro 1000 amperes AC/DC</t>
  </si>
  <si>
    <t>Aferidor de manômetro de 0 a 150 bar</t>
  </si>
  <si>
    <t>SUBTOTAL DE CONSUMO (CUSTEIO)</t>
  </si>
  <si>
    <t>Conjunto de chaves básicas para mecânico</t>
  </si>
  <si>
    <t>Conjunto de ferramentas básicas para encanador</t>
  </si>
  <si>
    <t>Conjunto de ferramentas básicas para pedreiro</t>
  </si>
  <si>
    <t>Conjunto de chaves básicas para eletricista</t>
  </si>
  <si>
    <t>Nível c/ bolha ajustável de inclinação, bolha fixa e prumo – 250mm</t>
  </si>
  <si>
    <t>Mangueira de ¾ 50 mts</t>
  </si>
  <si>
    <t>Fumigador para apicultura</t>
  </si>
  <si>
    <t>Pulverizador costal 20 L</t>
  </si>
  <si>
    <t>Pistola para pintura</t>
  </si>
  <si>
    <t>Carro de mão</t>
  </si>
  <si>
    <t>Chibanca c/ cabo</t>
  </si>
  <si>
    <t>Marreta de 2kg</t>
  </si>
  <si>
    <t>Rastelo</t>
  </si>
  <si>
    <t>Picareta</t>
  </si>
  <si>
    <t>Calibrador de folgas de 0,03 mm – 0,50 mm</t>
  </si>
  <si>
    <t>Bastão de manobra – 6 m</t>
  </si>
  <si>
    <t>Balde de 20 L milimitrado</t>
  </si>
  <si>
    <t>Enxada</t>
  </si>
  <si>
    <t>Alavanca</t>
  </si>
  <si>
    <t>Pá</t>
  </si>
  <si>
    <t>Foice</t>
  </si>
  <si>
    <t>Consumo</t>
  </si>
  <si>
    <t>FERRAMENTAS PARA O CANAL</t>
  </si>
  <si>
    <t>TOTAL DE FERRAMENTAS PARA OPERAÇÃO E MANUTENÇÃO DAS EB's</t>
  </si>
  <si>
    <t>Bomba a gasolina, autoescovante, 3,5 hp</t>
  </si>
  <si>
    <t>Mangueira de ¾ 50 MTS</t>
  </si>
  <si>
    <t>consumo</t>
  </si>
  <si>
    <t xml:space="preserve">FERRAMENTAS PARA ESTAÇÃO DE BOMBEAMENTO </t>
  </si>
  <si>
    <t>TOTAL DEPRECIAÇÃO FERRAMENTAS</t>
  </si>
  <si>
    <t>TOTAL DE INVESTIMENTOS</t>
  </si>
  <si>
    <t>TOTAL DE CUSTEIO EM FERRAMENTAS</t>
  </si>
  <si>
    <t>Depreciação ferramentas Canais/Canteiros</t>
  </si>
  <si>
    <t>Depreciação ferramentas EB</t>
  </si>
  <si>
    <t>Ferramentas para Canais/Canteiros</t>
  </si>
  <si>
    <t>Ferramentas para EB</t>
  </si>
  <si>
    <t>custo diário adotado</t>
  </si>
  <si>
    <t>Custo diário</t>
  </si>
  <si>
    <t>Subtotal</t>
  </si>
  <si>
    <t>Despesas Fiscais</t>
  </si>
  <si>
    <t>Remuneração da empresa - 12%</t>
  </si>
  <si>
    <t>Custo administrativo - 30%</t>
  </si>
  <si>
    <t>Encargos sociais - 84%</t>
  </si>
  <si>
    <t>Salário mensal mergulhador</t>
  </si>
  <si>
    <t>Memória de cálculo mergulhador</t>
  </si>
  <si>
    <t>custo horário adotado</t>
  </si>
  <si>
    <t>Custo horário para 40 horas</t>
  </si>
  <si>
    <t>Aluguel veículo 4 x 4</t>
  </si>
  <si>
    <t>Diárias</t>
  </si>
  <si>
    <t>Mão de obra eventual</t>
  </si>
  <si>
    <t>Passagens SP - PISF - SP</t>
  </si>
  <si>
    <t>Treinamento - 1,50%</t>
  </si>
  <si>
    <t>Leiturista</t>
  </si>
  <si>
    <t>Vigias noturno</t>
  </si>
  <si>
    <t>Encargos sociais - 20%</t>
  </si>
  <si>
    <t>Vigias diurno</t>
  </si>
  <si>
    <t>Hora consultor</t>
  </si>
  <si>
    <t>Engenheiro Mecatrônica</t>
  </si>
  <si>
    <t>quantidade</t>
  </si>
  <si>
    <t>custo unitário</t>
  </si>
  <si>
    <t>Memória de cálculo hora consultoria</t>
  </si>
  <si>
    <t>Engenheiro Eletricista</t>
  </si>
  <si>
    <t>Engenheiro Civil</t>
  </si>
  <si>
    <t>Engenheiro Mecânico</t>
  </si>
  <si>
    <t>Técnico em edificações ou estradas</t>
  </si>
  <si>
    <t>R$/dia</t>
  </si>
  <si>
    <t>88242 - C</t>
  </si>
  <si>
    <t>Auxiliar de Pedreiro</t>
  </si>
  <si>
    <t>Auxiliar de mecatrônica</t>
  </si>
  <si>
    <t>88310 - C</t>
  </si>
  <si>
    <t>Pintor</t>
  </si>
  <si>
    <t>Técnico em eletrotécnica ou mecatrônica</t>
  </si>
  <si>
    <t>88309 - C</t>
  </si>
  <si>
    <t>Pedreiro</t>
  </si>
  <si>
    <t>Auxiliar de mecânica</t>
  </si>
  <si>
    <t>90780 - C</t>
  </si>
  <si>
    <t>Mestre de Obras</t>
  </si>
  <si>
    <t>Técnico mecânico mergulhador</t>
  </si>
  <si>
    <t>88317 - C</t>
  </si>
  <si>
    <t>Soldador</t>
  </si>
  <si>
    <t>Técnico mecânico</t>
  </si>
  <si>
    <t>88316 - C</t>
  </si>
  <si>
    <t xml:space="preserve">Mão de obra auxiliar eventual </t>
  </si>
  <si>
    <t>Auxiliar de serviços gerais</t>
  </si>
  <si>
    <t>Mergulhador profissional em mecânica</t>
  </si>
  <si>
    <t>Operador de estação de bombeamento noturno</t>
  </si>
  <si>
    <t>Consultoria</t>
  </si>
  <si>
    <t>Operador de estação de bombeamento diurno</t>
  </si>
  <si>
    <t>Unidade</t>
  </si>
  <si>
    <t>Cod Sinapi</t>
  </si>
  <si>
    <t>Preço unitário</t>
  </si>
  <si>
    <t>Profissional</t>
  </si>
  <si>
    <t>MÃO DE OBRA DE CONTRATAÇÃO EVENTUAL</t>
  </si>
  <si>
    <t>Total (R$/ano) (g)</t>
  </si>
  <si>
    <t>Adicional Noturno (R$/mês)             (f)</t>
  </si>
  <si>
    <t>Periculosidade (R$/mês)      (e)</t>
  </si>
  <si>
    <t>TURNO/Hora Extras (R$/mês) (d)</t>
  </si>
  <si>
    <t>Benefícios (R$/mês) (c)</t>
  </si>
  <si>
    <t>Encargos (R$/mês) (b)</t>
  </si>
  <si>
    <t>Salários (R$/mês) (a)</t>
  </si>
  <si>
    <t>Diária</t>
  </si>
  <si>
    <t>Andaime tubular 1,50 x 1,00 m</t>
  </si>
  <si>
    <t>Andaime tubular 1,00 x 1,00 m</t>
  </si>
  <si>
    <t>Vibrador diesel ou gasolina com chicote</t>
  </si>
  <si>
    <t>Betoneira elétrica com carregador mínimo de 320 L</t>
  </si>
  <si>
    <t>Betoneira elétrica com carregador mínimo de 500 L</t>
  </si>
  <si>
    <t>Betoneira diesel ou gasolina carregador mínimo de 320 L</t>
  </si>
  <si>
    <t>Perfuratriz manual pneumática de 30 Kg</t>
  </si>
  <si>
    <t>Betoneira diesel ou gasolina carregador mínimo de 500 L</t>
  </si>
  <si>
    <t>Placa Vibratória - Elétrica</t>
  </si>
  <si>
    <t>Placa Vibratória - Gasolina</t>
  </si>
  <si>
    <t>Compactadora percussão - Gasolina</t>
  </si>
  <si>
    <t>Bomba de drenagem av 25 sem motor</t>
  </si>
  <si>
    <t>Máquina de solda 250 amperes monofásica</t>
  </si>
  <si>
    <t>Bomba submersa 2”</t>
  </si>
  <si>
    <t>Bomba de drenagem 2”</t>
  </si>
  <si>
    <t>Compactadora percussão – Elétrico (Trifásico/monofásico)</t>
  </si>
  <si>
    <t>Máquina de solda 325 amperes trifásica</t>
  </si>
  <si>
    <t>Bomba de hidrojato 4” x 3” trifásica 10 cv</t>
  </si>
  <si>
    <t>Bomba submersa 2” / 3”/ 4” bc/ 30h 220/380 trifásica</t>
  </si>
  <si>
    <t>Máquina de solda 402 amperes trifásica</t>
  </si>
  <si>
    <t>Km</t>
  </si>
  <si>
    <t>Adicional de quilometragem para uso nos itens 10 a 14</t>
  </si>
  <si>
    <t>Caminhão trucado para carregamento das máquinas</t>
  </si>
  <si>
    <t>Moto bomba 4” diesel</t>
  </si>
  <si>
    <t>Bomba draga autoescovante 3” x 3”/ 4” x 4” diesel</t>
  </si>
  <si>
    <t>Martelo manual pneumático de 30 Kg</t>
  </si>
  <si>
    <t>Gerador 10 KVA</t>
  </si>
  <si>
    <t>Gerador 7 KVA</t>
  </si>
  <si>
    <t>Gerador 4 KVA</t>
  </si>
  <si>
    <t>Caminhão pipa para 12000 litros</t>
  </si>
  <si>
    <t>Carregadeira de pneus (Potencia mínima 120 hp)</t>
  </si>
  <si>
    <t>Compressor 180 pcm</t>
  </si>
  <si>
    <t>Gerador 30 KVA</t>
  </si>
  <si>
    <t>Gerador 15 KVA</t>
  </si>
  <si>
    <t>Gerador 50 KVA</t>
  </si>
  <si>
    <t>Compressor 300 pcm</t>
  </si>
  <si>
    <t>Empilhadeira sobre pneus 2500 kg</t>
  </si>
  <si>
    <t>Gerador 100 KVA</t>
  </si>
  <si>
    <t>Carregadeira de esteira (Potencia mínima 150 hp)</t>
  </si>
  <si>
    <t>Compressor 400 pcm</t>
  </si>
  <si>
    <r>
      <t>Caminhão reduzido caçamba 6 m</t>
    </r>
    <r>
      <rPr>
        <vertAlign val="superscript"/>
        <sz val="8"/>
        <rFont val="Arial"/>
        <family val="2"/>
      </rPr>
      <t>3</t>
    </r>
  </si>
  <si>
    <t>Cavalo mecânico com prancha de capacidade para transporte das máquinas</t>
  </si>
  <si>
    <t>Moto niveladora (Potencia mínima 140 hp)</t>
  </si>
  <si>
    <t>Gerador 250 KVA</t>
  </si>
  <si>
    <t>Retroescavadeira 4x2 (Potencia mínima 75 hp)</t>
  </si>
  <si>
    <t>Retroescavadeira 4x4 (Potencia mínima 75 hp)</t>
  </si>
  <si>
    <r>
      <t>Caminhão trucado caçamba 12 m</t>
    </r>
    <r>
      <rPr>
        <vertAlign val="superscript"/>
        <sz val="8"/>
        <rFont val="Arial"/>
        <family val="2"/>
      </rPr>
      <t>3</t>
    </r>
  </si>
  <si>
    <t>Caminhão com guindaste veicular para 4000 kg</t>
  </si>
  <si>
    <t>Trator de esteira D6</t>
  </si>
  <si>
    <t>Gerador 500 KVA</t>
  </si>
  <si>
    <t>Escavadeira hidráulica grande porte (Potencia mínima 250 hp)</t>
  </si>
  <si>
    <t>Escavadeira hidráulica médio porte (Potencia mínima 140 hp)</t>
  </si>
  <si>
    <t>preço sinapi</t>
  </si>
  <si>
    <t>% ACUMULADA</t>
  </si>
  <si>
    <t>PREÇO TOTAL (R$)</t>
  </si>
  <si>
    <t>PREÇO KM</t>
  </si>
  <si>
    <t>PREÇO DIA (R$)</t>
  </si>
  <si>
    <t>ESPECIFICAÇÃO DO EQUIPAMENTO</t>
  </si>
  <si>
    <t>ANA</t>
  </si>
  <si>
    <t>Saco 10kg</t>
  </si>
  <si>
    <t>Cal</t>
  </si>
  <si>
    <t>Galão 3,6lt</t>
  </si>
  <si>
    <t>Tinta Alcatrão de Hulha</t>
  </si>
  <si>
    <t>Saco 50kg</t>
  </si>
  <si>
    <t>Cimento</t>
  </si>
  <si>
    <r>
      <t>M</t>
    </r>
    <r>
      <rPr>
        <vertAlign val="superscript"/>
        <sz val="8"/>
        <rFont val="Arial"/>
        <family val="2"/>
      </rPr>
      <t>3</t>
    </r>
  </si>
  <si>
    <t>Brita</t>
  </si>
  <si>
    <t xml:space="preserve">Areia </t>
  </si>
  <si>
    <t>Conj.</t>
  </si>
  <si>
    <t>Diversos materiais de consumo (tubos, parafusos, aço, etc.)</t>
  </si>
  <si>
    <t>Recarga de extintores de incêndio</t>
  </si>
  <si>
    <t>Metro</t>
  </si>
  <si>
    <t>Cabo flexível 240mm – 0,6/1Kv</t>
  </si>
  <si>
    <t>Terminal de compressão – RM240mm</t>
  </si>
  <si>
    <r>
      <t>Manômetro glicerinado 0 – 10Kgf/cm</t>
    </r>
    <r>
      <rPr>
        <vertAlign val="superscript"/>
        <sz val="8"/>
        <rFont val="Arial"/>
        <family val="2"/>
      </rPr>
      <t>2</t>
    </r>
  </si>
  <si>
    <t>Lona de borracha com alma 1,0 – 4,8mm esp.</t>
  </si>
  <si>
    <t>Papelão grafitado 1,50m x 1,60m Esp 2.4</t>
  </si>
  <si>
    <t>Cola para junta de motores com 73g 3M</t>
  </si>
  <si>
    <t>Cola de PVC com 850 g</t>
  </si>
  <si>
    <t>Disjuntores trifásicos 380V, 15A</t>
  </si>
  <si>
    <r>
      <t>Terminal isolado tipo olhal para condutores de 1,5 a 2,5 mm</t>
    </r>
    <r>
      <rPr>
        <vertAlign val="superscript"/>
        <sz val="8"/>
        <rFont val="Arial"/>
        <family val="2"/>
      </rPr>
      <t>2</t>
    </r>
  </si>
  <si>
    <r>
      <t>Terminal isolado tipo garfo para condutores de 1,5 a 2,5 mm</t>
    </r>
    <r>
      <rPr>
        <vertAlign val="superscript"/>
        <sz val="8"/>
        <rFont val="Arial"/>
        <family val="2"/>
      </rPr>
      <t>2</t>
    </r>
  </si>
  <si>
    <r>
      <t>Terminal isolado tipo agulha para condutores de 1,5 a 2,5 mm</t>
    </r>
    <r>
      <rPr>
        <vertAlign val="superscript"/>
        <sz val="8"/>
        <rFont val="Arial"/>
        <family val="2"/>
      </rPr>
      <t>2</t>
    </r>
  </si>
  <si>
    <t>Interruptor tipo three-way com 2 teclas</t>
  </si>
  <si>
    <t>Interruptor simples com tecla</t>
  </si>
  <si>
    <t>Interruptor simples com 2 teclas</t>
  </si>
  <si>
    <t>Fusível tipo Diazed de 6A</t>
  </si>
  <si>
    <t>Fusível tipo Diazed de 4A</t>
  </si>
  <si>
    <t>Fusível tipo Diazed de 2A</t>
  </si>
  <si>
    <t>Lâmpadas diversas</t>
  </si>
  <si>
    <t>Estopa para limpeza</t>
  </si>
  <si>
    <t>kg</t>
  </si>
  <si>
    <t>Vaselina Industrial</t>
  </si>
  <si>
    <t>litro</t>
  </si>
  <si>
    <t>Óleo lubrificante, Tellus 46, Class VG 68</t>
  </si>
  <si>
    <t>Graxa para motor e bomba, Alvania RL2</t>
  </si>
  <si>
    <t>MATERIAIS DE CONSUMO MECÂNICO E ELÉTRICO PARA O CANAL</t>
  </si>
  <si>
    <t>Galão 3,6 l</t>
  </si>
  <si>
    <t>Tinta Látex</t>
  </si>
  <si>
    <t>Lâmpadas diversas led</t>
  </si>
  <si>
    <t>saco.</t>
  </si>
  <si>
    <t>SINAPI</t>
  </si>
  <si>
    <t>MATERIAIS DE CONSUMO MECÂNICO E ELÉTRICO DA ESTAÇÃO DE BOMBEAMENTO</t>
  </si>
  <si>
    <t>Materiais de O&amp;M para Canais</t>
  </si>
  <si>
    <t>Materiais de O&amp;M para EB</t>
  </si>
  <si>
    <t>RESUMO</t>
  </si>
  <si>
    <t>Indice</t>
  </si>
  <si>
    <t>Coluna 39 FGV - Serviços de Consultoria</t>
  </si>
  <si>
    <t>R$/ ano</t>
  </si>
  <si>
    <t>R$/ dois anos</t>
  </si>
  <si>
    <t>valor para Fevereiro de 2016</t>
  </si>
  <si>
    <t>Contrato 0.089.00/2013 Codevasf</t>
  </si>
  <si>
    <t xml:space="preserve">Serviços de auditoria independente para exame das Demonstrações Financeiras </t>
  </si>
  <si>
    <t>Fundo de Reposição do Sistema de Proteção e Controle</t>
  </si>
  <si>
    <t>anos</t>
  </si>
  <si>
    <t>Vida Útil</t>
  </si>
  <si>
    <t>Depreciação / fundo de reposição</t>
  </si>
  <si>
    <t>Custo Total Sistema de Prot. Controle de Incêndios</t>
  </si>
  <si>
    <t>do valor do investimento</t>
  </si>
  <si>
    <t>Driver: manutenção do sistema</t>
  </si>
  <si>
    <t>Investimento Total</t>
  </si>
  <si>
    <t>projeto</t>
  </si>
  <si>
    <t>Quantidade de EB</t>
  </si>
  <si>
    <t>verificado junto à ANEEL</t>
  </si>
  <si>
    <t>Custo do Investimento por EB R$</t>
  </si>
  <si>
    <t>O&amp;M</t>
  </si>
  <si>
    <t>SISTEMA DE PROTEÇÃO E CONTROLE DE INCÊNDIOS</t>
  </si>
  <si>
    <t>não deve ser inserdo neste item</t>
  </si>
  <si>
    <t>Fundo de Reposição de Hardware</t>
  </si>
  <si>
    <t>Fundo de Reposição de Software</t>
  </si>
  <si>
    <t>Anuidade Sistemas AUTOMAÇÃO</t>
  </si>
  <si>
    <t>Custo Manutenção Hardware</t>
  </si>
  <si>
    <t>Custo Atualização Software</t>
  </si>
  <si>
    <t>investimento</t>
  </si>
  <si>
    <t>Driver: Manutenção Hardware</t>
  </si>
  <si>
    <t xml:space="preserve">Driver: Atualização Software </t>
  </si>
  <si>
    <t>Vida útil Hardware</t>
  </si>
  <si>
    <t>Vida útil Software</t>
  </si>
  <si>
    <t>Auxiliar</t>
  </si>
  <si>
    <t>R$ - Hardware</t>
  </si>
  <si>
    <t>R$ - Software</t>
  </si>
  <si>
    <t>DESPESAS COM SISTEMAS DE AUTOMAÇÃO</t>
  </si>
  <si>
    <t>Custo Anual Inspeção Norte</t>
  </si>
  <si>
    <t>Custo Anual Inspeção Leste</t>
  </si>
  <si>
    <t>Custo Inspeção Norte</t>
  </si>
  <si>
    <t>Custo Inspeção Leste</t>
  </si>
  <si>
    <t>Total de Inspeções Norte</t>
  </si>
  <si>
    <t>Total de Inspeções Leste</t>
  </si>
  <si>
    <t>Frequencia inspeção Norte</t>
  </si>
  <si>
    <t>Frequencia inspeção Leste</t>
  </si>
  <si>
    <t>horas/mês</t>
  </si>
  <si>
    <t>horas/semana</t>
  </si>
  <si>
    <t>Horas de Inspeção Aérea E.Norte</t>
  </si>
  <si>
    <t>Horas de Inspeção Aérea E.Leste</t>
  </si>
  <si>
    <t>eixos</t>
  </si>
  <si>
    <t>Extensão Eixo Norte</t>
  </si>
  <si>
    <t>Extensão Eixo Leste</t>
  </si>
  <si>
    <t>INSPEÇÃO AÉREA POR HELICOPTERO</t>
  </si>
  <si>
    <t>Custos O&amp;M</t>
  </si>
  <si>
    <t>Total de Semanas - Ano</t>
  </si>
  <si>
    <t>horas por semana</t>
  </si>
  <si>
    <t>Custo horário - locação</t>
  </si>
  <si>
    <t>INSPEÇÃO AÉREA POR DRONE</t>
  </si>
  <si>
    <t>Fornecimento e aplicação no Eixo Norte</t>
  </si>
  <si>
    <t>Fornecimento e aplicação no Eixo Leste</t>
  </si>
  <si>
    <t>(considerando toda a extensão)</t>
  </si>
  <si>
    <t>Extensãode canal do Eixo Norte</t>
  </si>
  <si>
    <t>Extensão de canal do Eixo Leste</t>
  </si>
  <si>
    <t>m2/km</t>
  </si>
  <si>
    <t>Estimativa de área sujeita a reparo - geogrelha</t>
  </si>
  <si>
    <t>Estimativa de área sujeita a reparo - geomembrana</t>
  </si>
  <si>
    <t>Aplicada aos Taludes</t>
  </si>
  <si>
    <t xml:space="preserve">Área de geogrelha aplicada </t>
  </si>
  <si>
    <t>Aplicada ao Canal</t>
  </si>
  <si>
    <t>Área de geomembrana aplicada</t>
  </si>
  <si>
    <t>Estimativa de reparo - % extensão</t>
  </si>
  <si>
    <t>R$/m2</t>
  </si>
  <si>
    <t>Fornecimento e aplicação de geogrelha nos taludes</t>
  </si>
  <si>
    <t>sinapi</t>
  </si>
  <si>
    <t>Fornecimento e aplicação da geomembrana</t>
  </si>
  <si>
    <t>Base de referência: Quantitativos do Lote 1 - Relatório Final dos Projetos Executivos do Lote A - Volume 1 (Estacas 126+18 a 2295+0)</t>
  </si>
  <si>
    <t>Fornecimento e aplicação de geomembranas, de geogrelha e de manta de geotextil</t>
  </si>
  <si>
    <t>percentual do valor do investimento</t>
  </si>
  <si>
    <t>Remanescente da linha de transmissão do Eixo Norte</t>
  </si>
  <si>
    <t>05/2015</t>
  </si>
  <si>
    <t>Remanescente da linha de Transmissão do Eixo Leste</t>
  </si>
  <si>
    <t>11/2014 - MI</t>
  </si>
  <si>
    <t>Linha de Transmissão, em 230 kV, para o Eixo Leste</t>
  </si>
  <si>
    <t>41/2009-MI</t>
  </si>
  <si>
    <t xml:space="preserve"> Linha de Transmissão, em 230 kV, para o Eixo Norte</t>
  </si>
  <si>
    <t>38/2009-MI</t>
  </si>
  <si>
    <t>Coeficiente IGPM jul 16</t>
  </si>
  <si>
    <t>Valor do contrato (R$)</t>
  </si>
  <si>
    <t>Data do Contrato</t>
  </si>
  <si>
    <t>Objeto</t>
  </si>
  <si>
    <t>Contrato</t>
  </si>
  <si>
    <t>Despesas com materiais sobressalentes</t>
  </si>
  <si>
    <t>Total medidores de vazão sobressalentes</t>
  </si>
  <si>
    <t>Custo Total medidores de vazão Leste</t>
  </si>
  <si>
    <t>Custo Total medidores de vazão Norte</t>
  </si>
  <si>
    <t>medidor</t>
  </si>
  <si>
    <t>Quantidade de Medidor portátil Canal Leste</t>
  </si>
  <si>
    <t>Quantidade de Medidor portátil Canal Norte</t>
  </si>
  <si>
    <t>Quantidade de Medidor portátil tubo 5000mm Leste</t>
  </si>
  <si>
    <t>Quantidade de Medidor portátil tubo 5000mm Norte</t>
  </si>
  <si>
    <t>R$/medidor</t>
  </si>
  <si>
    <t>Medidor portátil para tubo de 5000mm de diâmetro</t>
  </si>
  <si>
    <t xml:space="preserve">Medidores de Vazão </t>
  </si>
  <si>
    <t>Total Comportas e Válvulas Sobressalentes Reservatórios</t>
  </si>
  <si>
    <t>Comportas e Válvulas Sobressalentes Leste</t>
  </si>
  <si>
    <t xml:space="preserve">Comportas e Válvulas Sobressalentes Norte </t>
  </si>
  <si>
    <t>nova cotaçao</t>
  </si>
  <si>
    <t>R$/comporta e válvula</t>
  </si>
  <si>
    <t>Comportas e Válvulas</t>
  </si>
  <si>
    <t>Total de Reservatórios - Leste</t>
  </si>
  <si>
    <t>Total de Reservatórios - Norte</t>
  </si>
  <si>
    <t>Reservatórios</t>
  </si>
  <si>
    <t>Custo Total Material Sobressalente</t>
  </si>
  <si>
    <t>Sistema Elétrico das EB+Canais</t>
  </si>
  <si>
    <t>Custo Material Sobressalente por Bomba</t>
  </si>
  <si>
    <t>Total de Motores e Bombas</t>
  </si>
  <si>
    <t>Moto-Bombas por EB</t>
  </si>
  <si>
    <t># EB</t>
  </si>
  <si>
    <t>Estações de Bombeamento</t>
  </si>
  <si>
    <t>DESPESAS COM MATERIAL SOBRESSALENTES</t>
  </si>
  <si>
    <t>Implantação do bay da subestação E4</t>
  </si>
  <si>
    <t>32/2015</t>
  </si>
  <si>
    <t>Implantação das subestações E5 e E6</t>
  </si>
  <si>
    <t>31/2015</t>
  </si>
  <si>
    <t>Remanescente das subestações  EO, E1 , E2, E3 e E4 do Eixo Leste</t>
  </si>
  <si>
    <t>82/2013</t>
  </si>
  <si>
    <t>Remanescente das subestações  N1, N2 e N3 do Eixo Norte</t>
  </si>
  <si>
    <t>Subestações do N1, N2 e N3 do Eixo Norte</t>
  </si>
  <si>
    <t>40/2009</t>
  </si>
  <si>
    <t>dados MI</t>
  </si>
  <si>
    <t>Linhas de distribuição do Eixo Leste</t>
  </si>
  <si>
    <t>28/2014</t>
  </si>
  <si>
    <t>Linhas de distribuição do Eixo Norte</t>
  </si>
  <si>
    <t>27/2014</t>
  </si>
  <si>
    <t>Despesas Fiscais (13,96% de subtotal 2)</t>
  </si>
  <si>
    <t>Subtotal 2</t>
  </si>
  <si>
    <t>Remuneração da Empresa - Lucro (10% subt 1 + subt 2)</t>
  </si>
  <si>
    <t>Subtotal 1</t>
  </si>
  <si>
    <t>Manutenção das áreas em recuperação referentes ao PRAD</t>
  </si>
  <si>
    <t>Análises laboratoriais</t>
  </si>
  <si>
    <t>Serviços gráficos / computação</t>
  </si>
  <si>
    <t>Equipamentos de escritório de campo</t>
  </si>
  <si>
    <t>Canteiro para manutenção das áreas em recuperação</t>
  </si>
  <si>
    <t xml:space="preserve"> Manutenção e adm do escritório de apoio </t>
  </si>
  <si>
    <t>Veícuos</t>
  </si>
  <si>
    <t>Passagens</t>
  </si>
  <si>
    <t>Equipes</t>
  </si>
  <si>
    <t>Total dos custos e dos serviços gerais</t>
  </si>
  <si>
    <t>mês</t>
  </si>
  <si>
    <t>Capina, controle de crescimento e podas das plantas (área de 5,76 ha)</t>
  </si>
  <si>
    <t>Controle de pragas mediante aplicação de formicidas e cupinicidas, inclusive fornecimento e transporte de materiais (área de 5,76ha)</t>
  </si>
  <si>
    <t>ha</t>
  </si>
  <si>
    <t>Plantio de espécies herbáceas em taludes e calhas de drenagem , inclusive adubação, fornecimento e transporte de mudas e materiais</t>
  </si>
  <si>
    <t>Ressemeadura de extrato herbáceo - 10% de ressemeadura</t>
  </si>
  <si>
    <t>unid.</t>
  </si>
  <si>
    <t>Plantio de Mudas para revegetação, inclusive adubação (incluindo adubo orgânico, NPK e calcário), tutoramento de mudas, fornecimento e transporte de mudas e materiais</t>
  </si>
  <si>
    <t>Abertura de Covas para mudas (40cm x 40cm x 40cm) - previsão de replantio de 30%</t>
  </si>
  <si>
    <t>Manutenção</t>
  </si>
  <si>
    <t>Serviços de Coleta e Multiplicação de Sementes</t>
  </si>
  <si>
    <t>Coleta e Multiplicação de Sementes</t>
  </si>
  <si>
    <t>Instalação (capacidade de 150 mil mudas)</t>
  </si>
  <si>
    <t>Manutenção de Viveiros</t>
  </si>
  <si>
    <t>6. Serviços Gerais - Manutenção das áreas em recuperação referentes ao PRAD</t>
  </si>
  <si>
    <t>Total dos custos e das análises laboratoriais</t>
  </si>
  <si>
    <t>Coli AB</t>
  </si>
  <si>
    <t>Coli AF</t>
  </si>
  <si>
    <t>Al</t>
  </si>
  <si>
    <t>Flúor</t>
  </si>
  <si>
    <t>Mn</t>
  </si>
  <si>
    <t>Ferro</t>
  </si>
  <si>
    <t>Cor</t>
  </si>
  <si>
    <t>pH</t>
  </si>
  <si>
    <t>Turbidez</t>
  </si>
  <si>
    <t>Cloro</t>
  </si>
  <si>
    <t>Preço CETESB</t>
  </si>
  <si>
    <t xml:space="preserve">5.1 ÁGUA </t>
  </si>
  <si>
    <t>5     ANÁLISES LABORATORIAIS</t>
  </si>
  <si>
    <t>Total dos custos e dos preços dos serv. gráficos/computação</t>
  </si>
  <si>
    <t>4.5 Impressão de Cartilhas para Ações de Educação Ambiental (média = 50 folhas)</t>
  </si>
  <si>
    <t>4.4 Confecção de Faixas/Banners</t>
  </si>
  <si>
    <t>4.3 Impressão de Material de Divulgação (Folders - formato: a) aberto 15,0 x 59,5cm; b) fechado 15,0 x 15,0cm - em papel Couche Liso)</t>
  </si>
  <si>
    <t>4.2 Relatórios de atividades dos profissionais (média = 50 folhas)</t>
  </si>
  <si>
    <t>4.1 Relatórios Mensais do Contrato</t>
  </si>
  <si>
    <t>4     SERVIÇOS GRÁFICOS</t>
  </si>
  <si>
    <t>Total dos custos e dos preços dos equip. de apoio em Brasília/DF</t>
  </si>
  <si>
    <t>3.5 Data Show</t>
  </si>
  <si>
    <t>3.4 GPS</t>
  </si>
  <si>
    <t>3.3 Máquina fotográfica (16.1MP, 8Gb de memória)</t>
  </si>
  <si>
    <t>3.2 Impressora Multifuncional Colorida</t>
  </si>
  <si>
    <t>3.1 Notebook (P0, P1, P2 e T1) - (Core i7, 4Gb RAM, 1Tb)</t>
  </si>
  <si>
    <t xml:space="preserve">3     EQUIPAMENTOS </t>
  </si>
  <si>
    <t>Total dos custos e dos preços da manut. e adm. do canteiro</t>
  </si>
  <si>
    <t>unid</t>
  </si>
  <si>
    <t xml:space="preserve">Sinalização </t>
  </si>
  <si>
    <t>m2</t>
  </si>
  <si>
    <t>Regularização da Superfície do Terreno</t>
  </si>
  <si>
    <t>Delimitação do Canteiro</t>
  </si>
  <si>
    <t>Infraestrutura de energia</t>
  </si>
  <si>
    <t>Infraestrutura de água</t>
  </si>
  <si>
    <t>Refeitório e cozinha</t>
  </si>
  <si>
    <t>Fornecimento e Instalação de Contêiner Metálico Almoxarifado</t>
  </si>
  <si>
    <t>Fornecimento e Instalação de Contêiner Metálico Modulo Sanitário (2,30x6,00x2,30) 04 vasos, 02 mictórios e 02 pias</t>
  </si>
  <si>
    <t>Fornecimento e Instalação de Contêiner Metálico Escritório com sanitário Interno (2,30x6,00x2,30)</t>
  </si>
  <si>
    <t>3    CANTEIRO PARA MANUTENÇÃO DAS ÁREAS EM RECUPERAÇÃO</t>
  </si>
  <si>
    <t>Total dos custos e dos preços da manut. e adm. do escrit.  de apoio</t>
  </si>
  <si>
    <t>2.7 Material de escritório</t>
  </si>
  <si>
    <t>2.6 Internet</t>
  </si>
  <si>
    <t>2.5 Material de limpeza</t>
  </si>
  <si>
    <t>2.4 água  e esgoto</t>
  </si>
  <si>
    <t>2.3 Energia elétrica</t>
  </si>
  <si>
    <t>2.2 Telefone</t>
  </si>
  <si>
    <t>2.1 Aluguel de escritório com mobiliário</t>
  </si>
  <si>
    <t xml:space="preserve">2     MANUTENÇÃO E ADMINISTRAÇÃO DO ESCRITÓRIO DE APOIO </t>
  </si>
  <si>
    <t>Total dos custos e dos preços dos veículos</t>
  </si>
  <si>
    <t>1.1 Aluguel de veículos 4x4 - Tipo Caminhonete 5 veículos</t>
  </si>
  <si>
    <t>1    VEÍCULOS</t>
  </si>
  <si>
    <t>Total dos custos passagens</t>
  </si>
  <si>
    <t>und</t>
  </si>
  <si>
    <t>T1</t>
  </si>
  <si>
    <t>C/P0/P1/P2</t>
  </si>
  <si>
    <t>Passagem terrestre  SR Codevasf - Área de atuação ida e volta</t>
  </si>
  <si>
    <t>Passagem terrestre BSB - SR Codevasf - BSB ida e volta C/P0/P1/P2</t>
  </si>
  <si>
    <t>Passagem aérea BSB - SR Codevasf - BSB ida e volta C/P0/P1/P2</t>
  </si>
  <si>
    <t>Total dos custos equipes</t>
  </si>
  <si>
    <t>Custo de administração (20%)</t>
  </si>
  <si>
    <t>Encargos Sociais  (77,25%)</t>
  </si>
  <si>
    <t>Ajudante Administrativo - 11 profissionais</t>
  </si>
  <si>
    <t>Técnico Pleno - 32 profissionais</t>
  </si>
  <si>
    <t>Profissional Médio - 33 profissionais</t>
  </si>
  <si>
    <t>Profissional Pleno - 7 profissionais</t>
  </si>
  <si>
    <t>Coordenador Geral - Profissional sênior 1 profissional</t>
  </si>
  <si>
    <t>Consultor - 1 profissional 2 meses e 2 profissionais 1,5 mês</t>
  </si>
  <si>
    <t>UNT</t>
  </si>
  <si>
    <r>
      <t xml:space="preserve">CUSTOS </t>
    </r>
    <r>
      <rPr>
        <b/>
        <vertAlign val="superscript"/>
        <sz val="8"/>
        <rFont val="Arial"/>
        <family val="2"/>
      </rPr>
      <t>2</t>
    </r>
  </si>
  <si>
    <t>QTD</t>
  </si>
  <si>
    <t>UND</t>
  </si>
  <si>
    <t>DISCRIMINAÇÃO</t>
  </si>
  <si>
    <t xml:space="preserve"> MANUTENÇÃO OPERACIONAL</t>
  </si>
  <si>
    <t>taxa</t>
  </si>
  <si>
    <t>Outros Custos Fixos - total</t>
  </si>
  <si>
    <t>Cobrança pelo uso da água</t>
  </si>
  <si>
    <t>Reserva para despesas emergenciais</t>
  </si>
  <si>
    <t>R$ Investimento</t>
  </si>
  <si>
    <t>VF</t>
  </si>
  <si>
    <t>VP</t>
  </si>
  <si>
    <t>PMT</t>
  </si>
  <si>
    <t>Período (em anos)</t>
  </si>
  <si>
    <t>Tx juros composição do fundo</t>
  </si>
  <si>
    <t>Valor</t>
  </si>
  <si>
    <t>Percentual em relação ao total</t>
  </si>
  <si>
    <t>Vida útil</t>
  </si>
  <si>
    <t>Fonte</t>
  </si>
  <si>
    <t>Bombas</t>
  </si>
  <si>
    <t>Estudo de vida útil e Taxa de Depreciação, ANEEL, pag 254</t>
  </si>
  <si>
    <t>adutora</t>
  </si>
  <si>
    <t>Estudo de vida útil e Taxa de Depreciação, ANEEL, pag 176</t>
  </si>
  <si>
    <t>subestação</t>
  </si>
  <si>
    <t>Estudo de vida útil e Taxa de Depreciação, ANEEL, pag 561</t>
  </si>
  <si>
    <t>linha de transmissão</t>
  </si>
  <si>
    <t>Estudo de vida útil e Taxa de Depreciação, ANEEL, pag 186 (condutores) e 269 (estruturas)</t>
  </si>
  <si>
    <t>automação</t>
  </si>
  <si>
    <t>válvulas</t>
  </si>
  <si>
    <t>Comportas e grades</t>
  </si>
  <si>
    <t>Estudo de vida útil e Taxa de Depreciação, ANEEL, pag 245</t>
  </si>
  <si>
    <t>Pontes rolantes, pórticos e talhas</t>
  </si>
  <si>
    <t>Estudo de vida útil e Taxa de Depreciação, ANEEL, pag 343</t>
  </si>
  <si>
    <t>linha distribuição</t>
  </si>
  <si>
    <t>Estudo de vida útil e Taxa de Depreciação, ANEEL, pag 181 (condutor) e pag 262 (estruturas)</t>
  </si>
  <si>
    <t>estação de bombeamento</t>
  </si>
  <si>
    <t>Estudo de vida útil e Taxa de Depreciação, ANEEL, pag 327</t>
  </si>
  <si>
    <t>Adotado</t>
  </si>
  <si>
    <t>VALOR INVESTIDO EM EQUIPAMENTOS - EIXOS NORTE E LESTE</t>
  </si>
  <si>
    <t>Macro serviço</t>
  </si>
  <si>
    <t>Empresa</t>
  </si>
  <si>
    <t>Escopo dos equipamentos fornecidos</t>
  </si>
  <si>
    <t>Eixo</t>
  </si>
  <si>
    <t>Data do Orçamento de Referência</t>
  </si>
  <si>
    <t>Total investido em equipamentos e montagem à P0</t>
  </si>
  <si>
    <t>MOTOBOMBAS</t>
  </si>
  <si>
    <t>21/2007-MI</t>
  </si>
  <si>
    <t>Cons. KSB/SULZER - KSB BOMBAS HIDRÁULICAS S.A</t>
  </si>
  <si>
    <t>Fornecimento de motores, painéis e bombas para a EBV-2, EBV-5 e EBV-6</t>
  </si>
  <si>
    <t>Leste</t>
  </si>
  <si>
    <t>8/2007-MI</t>
  </si>
  <si>
    <t>Fornecimento de motores, painéis e bombas para a EBI-1</t>
  </si>
  <si>
    <t>Norte</t>
  </si>
  <si>
    <t>Fornecimento de motores, painéis e bombas para a EBV-1, EBV-3 e EBV-4</t>
  </si>
  <si>
    <t>10/2007-MI</t>
  </si>
  <si>
    <t>ALSTON HYDRO ENERGIA</t>
  </si>
  <si>
    <t>Fornecimento de motores, painéis e bombas para a EBI-2 e EBI-3</t>
  </si>
  <si>
    <t>25/2011</t>
  </si>
  <si>
    <t>Mendes Junior</t>
  </si>
  <si>
    <t>Montagem de equipamentos das Estações EBI-1, 2 e 3 (tubulação, motobombas e paineis elétricos)</t>
  </si>
  <si>
    <t>47/2013</t>
  </si>
  <si>
    <t>SA Paulista /SOMAGUE</t>
  </si>
  <si>
    <t>Montagem de equipamentos das Estações EBV-1, 2,3,4,5 e 6 (tubulação, motobombas e paineis elétricos)</t>
  </si>
  <si>
    <t>45/2012</t>
  </si>
  <si>
    <t>Serveng</t>
  </si>
  <si>
    <t>Montagem de equipamentos mecânicos das barragens da meta 2Norte</t>
  </si>
  <si>
    <t>HIDROMECÂNICOS</t>
  </si>
  <si>
    <t>Adutora</t>
  </si>
  <si>
    <t>09/2009-MI</t>
  </si>
  <si>
    <t>G.M 5 INDUSTRIA E COMERCIO LTDA/ENATEC</t>
  </si>
  <si>
    <t>Fornecimento de tubulação para o Eixo Leste</t>
  </si>
  <si>
    <t>10/2009-MI</t>
  </si>
  <si>
    <t>Fornecimento de tubulação para o Eixo Norte</t>
  </si>
  <si>
    <t>13/2009-MI</t>
  </si>
  <si>
    <t>ENERG POWER S/A - EMALTO - LTDA</t>
  </si>
  <si>
    <t>Comportas e Grades do Eixo Norte</t>
  </si>
  <si>
    <t>14/2009-MI</t>
  </si>
  <si>
    <t>ENERG POWER S/A - SERMATE  LTDA</t>
  </si>
  <si>
    <t>Pontes rolantes e Pórticos das EB's do Eixo Norte</t>
  </si>
  <si>
    <t>71/2014-MI</t>
  </si>
  <si>
    <t>G.M 5 INDUSTRIA E COMERCIO LTDA</t>
  </si>
  <si>
    <t>Fornecimento de tubulação da 2ª adutora e complementares para o Eixo Leste</t>
  </si>
  <si>
    <t>81/2014-MI</t>
  </si>
  <si>
    <t>ENERG POWER S/A</t>
  </si>
  <si>
    <t>Válvula complementares do Eixo leste</t>
  </si>
  <si>
    <t>65/2014-MI</t>
  </si>
  <si>
    <t>Talhas das TUD's do Eixo Leste e Norte</t>
  </si>
  <si>
    <t>Norte e Leste</t>
  </si>
  <si>
    <t>05/2009-MI</t>
  </si>
  <si>
    <t>BAUMA</t>
  </si>
  <si>
    <t>Pontes rolantes e Pórticos das EB's do Eixo Leste</t>
  </si>
  <si>
    <t>06/2009-MI</t>
  </si>
  <si>
    <t>Hydrostec</t>
  </si>
  <si>
    <t>Válvulas do Eixo Leste</t>
  </si>
  <si>
    <t>07/2009-MI</t>
  </si>
  <si>
    <t>Válvulas do Eixo Norte</t>
  </si>
  <si>
    <t>08/2009-MI</t>
  </si>
  <si>
    <t>Comportas e Grades do Eixo Leste</t>
  </si>
  <si>
    <t>PACOTE ELÉTRICO</t>
  </si>
  <si>
    <t>CONTROL CONSTRUÇÕES LTDA</t>
  </si>
  <si>
    <t>SCHAHIN ENGENHARIA S.A</t>
  </si>
  <si>
    <t>PROCABLE ENERGIA E TELECOMUNICACOES S/A</t>
  </si>
  <si>
    <t>TOSHIBA SISTEMAS DE TRANSMISSÃO E DISTRIBUIÇÃO S.A - 40/2009</t>
  </si>
  <si>
    <t>TOSHIBA SISTEMAS DE TRANSMISSÃO E DISTRIBUIÇÃO S.A - 82/2013 L</t>
  </si>
  <si>
    <t>TOSHIBA SISTEMAS DE TRANSMISSÃO E DISTRIBUIÇÃO S.A - 82/2013 N</t>
  </si>
  <si>
    <t>20/2010-MI</t>
  </si>
  <si>
    <t>VORAX ACIONAMENTOS E AUTOMAÇÃO LTDA</t>
  </si>
  <si>
    <t>Softstarter das estações de bombeamento do Eixo Leste</t>
  </si>
  <si>
    <t>73/2013-MI</t>
  </si>
  <si>
    <t>WEG DRIVES &amp; CONTROLS - AUTOMACAO LTDA</t>
  </si>
  <si>
    <t>SoftStarter da Estação de Bombeamento EBl-1 , do Eixo Norte</t>
  </si>
  <si>
    <t>72/2013-MI</t>
  </si>
  <si>
    <t>VORAX ACIONAMENTOS E AUTOMACAO LTDA</t>
  </si>
  <si>
    <t>SoftStarter da Estação de Bombeamento EBl-2, do Eixo Norte</t>
  </si>
  <si>
    <t>71/2013-MI</t>
  </si>
  <si>
    <t>Softstarter da Estação de Bombeamento EBI-3, do Eixo Norte</t>
  </si>
  <si>
    <t>16/2010-MI</t>
  </si>
  <si>
    <t>VECTOR SISTEMAS DE AUTOMAÇÃO LTDA</t>
  </si>
  <si>
    <t>Sistema Digital de Supervisão e Controle - SDSC e Sistema de Telecomunicações do Eixo Norte</t>
  </si>
  <si>
    <t>13/2010-MI</t>
  </si>
  <si>
    <t>Sistema Digital de Supervisão e Controle - SDSC e Sistema de Telecomunicações do Eixo Leste</t>
  </si>
  <si>
    <t>65/2014</t>
  </si>
  <si>
    <t>Talhas das TUD's do Eixo  Norte</t>
  </si>
  <si>
    <t>Talhas das TUD's do Eixo Leste</t>
  </si>
  <si>
    <t>70/2014</t>
  </si>
  <si>
    <t xml:space="preserve">TARGET SERVICOS ELETRICOS ESPECIALIZADOS </t>
  </si>
  <si>
    <t>Quadros de distribuição de corrente alternada-QDCA, para EBs do Eixo Leste</t>
  </si>
  <si>
    <t>JPW ENGENHARIA ELETRICA LTDA</t>
  </si>
  <si>
    <t>* Foram descontados dos custos totais do contrato os valores referentes à projeto, obras civis (como fundações e estrutras físicas definitivas), sendo contabilizado apenas aqueles relativos ao fornecimento, montagem e comissionamento dos equipamentos.</t>
  </si>
  <si>
    <t>Tecnico de Contabilidade</t>
  </si>
  <si>
    <t>BSB</t>
  </si>
  <si>
    <t>Contador</t>
  </si>
  <si>
    <t>Administrador</t>
  </si>
  <si>
    <t>Gerente Finanças e Contabilidade</t>
  </si>
  <si>
    <t>Auxiliar Administrativo</t>
  </si>
  <si>
    <t>Gerente de RH</t>
  </si>
  <si>
    <t>Encarregado Almoxarifado</t>
  </si>
  <si>
    <t>Comprador</t>
  </si>
  <si>
    <t>Assistente Administrativo</t>
  </si>
  <si>
    <t>Chefe Administrativo</t>
  </si>
  <si>
    <t>Gerente Administrativo e Orçamento</t>
  </si>
  <si>
    <t>Tecnico Administrativo</t>
  </si>
  <si>
    <t>Administrador (Gestão de Clientes)</t>
  </si>
  <si>
    <t>Gerente Comercial</t>
  </si>
  <si>
    <t>Secretária</t>
  </si>
  <si>
    <t>Diretor</t>
  </si>
  <si>
    <t>Diretoria Administrativo Financeiro</t>
  </si>
  <si>
    <t>Comunicador Social</t>
  </si>
  <si>
    <t>Gerente de Relações Institucionais</t>
  </si>
  <si>
    <t>Diretoria Relações Institucionais</t>
  </si>
  <si>
    <t>Engenherio Civil Pleno</t>
  </si>
  <si>
    <t>Economista Sênior</t>
  </si>
  <si>
    <t>Administrador Pleno</t>
  </si>
  <si>
    <t>Administrador Senior</t>
  </si>
  <si>
    <t>Secretária Executiva</t>
  </si>
  <si>
    <t>Diretor (PGA/PDG)</t>
  </si>
  <si>
    <t>Diretoria de Planos e Programas</t>
  </si>
  <si>
    <t>Pedagogo</t>
  </si>
  <si>
    <t>SAL</t>
  </si>
  <si>
    <t>Biólogo</t>
  </si>
  <si>
    <t>Engenheiro Pleno (Florestal/Agrônomo/Ambiental)</t>
  </si>
  <si>
    <t>Gerente de Meio Ambiente</t>
  </si>
  <si>
    <t>Diretor de Meio Ambiente</t>
  </si>
  <si>
    <t>Diretoria de Meio Ambiente</t>
  </si>
  <si>
    <t>Secretaria</t>
  </si>
  <si>
    <t>Motorista</t>
  </si>
  <si>
    <t>Técnicos Manutenção (Civil)</t>
  </si>
  <si>
    <t>Geólogo Sênior</t>
  </si>
  <si>
    <t>Tec. De Segurança do Trabalho</t>
  </si>
  <si>
    <t>Eng. Segurança do Trabalho</t>
  </si>
  <si>
    <t>Tecnico de Manutenção (Mecânico)</t>
  </si>
  <si>
    <t>Tecnico de Manutenção (Civil)</t>
  </si>
  <si>
    <t>Tecnico de Manutenção (Elétrico)</t>
  </si>
  <si>
    <t>Eng. Civil Junior</t>
  </si>
  <si>
    <t>Eng. Civil Pleno</t>
  </si>
  <si>
    <t>Eng. Automação Pleno</t>
  </si>
  <si>
    <t>Eng. Telecomunicações Pleno</t>
  </si>
  <si>
    <t>Eng. Mecânico Junior</t>
  </si>
  <si>
    <t>Eng. Mecânico Pleno</t>
  </si>
  <si>
    <t>Eng. Eletricista Junior</t>
  </si>
  <si>
    <t>Eng. Eletricista Pleno</t>
  </si>
  <si>
    <t>Eng. Hidrólogo Pleno</t>
  </si>
  <si>
    <t>Eng. Hidrólogo Sênior</t>
  </si>
  <si>
    <t>Eng. Civil Sênior</t>
  </si>
  <si>
    <t>Eng. Eletricista Sênior</t>
  </si>
  <si>
    <t>Diretor O&amp;M</t>
  </si>
  <si>
    <t>Diretoria O&amp;M</t>
  </si>
  <si>
    <t>Advogados</t>
  </si>
  <si>
    <t>Assessor</t>
  </si>
  <si>
    <t>Presidente</t>
  </si>
  <si>
    <t>Presidência</t>
  </si>
  <si>
    <t>Local</t>
  </si>
  <si>
    <t>Ano 2016</t>
  </si>
  <si>
    <t>PESSOAL</t>
    <phoneticPr fontId="0" type="noConversion"/>
  </si>
  <si>
    <t>Salários+Encargos (R$/ano)</t>
  </si>
  <si>
    <t>Salários+Encargos (R$/mês)</t>
  </si>
  <si>
    <t>Fator de Dedicação ao PISF</t>
  </si>
  <si>
    <t>Qtde</t>
  </si>
  <si>
    <t>FUNÇÃO</t>
  </si>
  <si>
    <t>Encargos</t>
  </si>
  <si>
    <t>Gestão</t>
  </si>
  <si>
    <t>Presidente da Codevasf</t>
  </si>
  <si>
    <t xml:space="preserve">Valor (R$) </t>
  </si>
  <si>
    <t xml:space="preserve">Quant. </t>
  </si>
  <si>
    <t>Categoria</t>
  </si>
  <si>
    <t>Função</t>
  </si>
  <si>
    <t>Símbolo</t>
  </si>
  <si>
    <t>Fonte: Site da Codevasf.</t>
  </si>
  <si>
    <t>Secretariado</t>
  </si>
  <si>
    <t xml:space="preserve">Secretária de Chefe de Gabinete da Presidência </t>
  </si>
  <si>
    <t xml:space="preserve">Secretária de Gerente-Executivo </t>
  </si>
  <si>
    <t xml:space="preserve">CC-4 </t>
  </si>
  <si>
    <t xml:space="preserve">Secretária de Diretor </t>
  </si>
  <si>
    <t xml:space="preserve">Secretária do Presidente </t>
  </si>
  <si>
    <t xml:space="preserve">CC-3 </t>
  </si>
  <si>
    <t xml:space="preserve">Chefe de Assessoria da Presidência </t>
  </si>
  <si>
    <t>Chefe da Ouvidoria</t>
  </si>
  <si>
    <t xml:space="preserve">Chefe da Auditoria Interna </t>
  </si>
  <si>
    <t>Assessoria</t>
  </si>
  <si>
    <t xml:space="preserve">Assessor de Gerente-Executivo </t>
  </si>
  <si>
    <t xml:space="preserve">Assessor de Diretor </t>
  </si>
  <si>
    <t xml:space="preserve">Assessor do Presidente </t>
  </si>
  <si>
    <t xml:space="preserve">CC-2 </t>
  </si>
  <si>
    <t xml:space="preserve">Superintendente Regional </t>
  </si>
  <si>
    <t>Chefe de Gabinete da Presidência</t>
  </si>
  <si>
    <t xml:space="preserve">Gerente-Executivo </t>
  </si>
  <si>
    <t xml:space="preserve">CC-1 </t>
  </si>
  <si>
    <t>ANEXO II - TABELAS DE REMUNERAÇÃO DE CARGOS EM COMISSÃO</t>
  </si>
  <si>
    <t>Apoio</t>
  </si>
  <si>
    <t xml:space="preserve">Apoio à Fiscalização de Obras </t>
  </si>
  <si>
    <t>FG-6</t>
  </si>
  <si>
    <t>Assistente</t>
  </si>
  <si>
    <t xml:space="preserve">FG-5 </t>
  </si>
  <si>
    <t>Técnica</t>
  </si>
  <si>
    <t xml:space="preserve">Representante em Organização de Produtores </t>
  </si>
  <si>
    <t>Fiscal de Obras</t>
  </si>
  <si>
    <t>Auditor</t>
  </si>
  <si>
    <t>FG - 4</t>
  </si>
  <si>
    <t xml:space="preserve">Supervisor de Fiscalização de Obras II </t>
  </si>
  <si>
    <t>FG-3</t>
  </si>
  <si>
    <t>Supervisor de Fiscalização de Obras I</t>
  </si>
  <si>
    <t xml:space="preserve">FG-2 </t>
  </si>
  <si>
    <t xml:space="preserve">Coordenador de Obras e Projetos Especiais </t>
  </si>
  <si>
    <t xml:space="preserve">FG-1T </t>
  </si>
  <si>
    <t xml:space="preserve">Especial </t>
  </si>
  <si>
    <t xml:space="preserve">Consultor Interno </t>
  </si>
  <si>
    <t xml:space="preserve">Especialista </t>
  </si>
  <si>
    <t xml:space="preserve">FG-1E </t>
  </si>
  <si>
    <t>ANEXO II - TABELAS FUNÇÕES GRATIFICADAS</t>
  </si>
  <si>
    <t xml:space="preserve">Total R$ </t>
  </si>
  <si>
    <t xml:space="preserve">Secretária de Superintendente Regional </t>
  </si>
  <si>
    <t>Contribuição a Entidade Fechada Previdência - 8%</t>
  </si>
  <si>
    <t xml:space="preserve">                             665.792.52</t>
  </si>
  <si>
    <t xml:space="preserve">Benefícios Assistênciais </t>
  </si>
  <si>
    <t xml:space="preserve">FC-7 </t>
  </si>
  <si>
    <t>Estimativa das Despesas relativa aos Benefícios Considerada Pela ANA Para o 1º Ano de Operação</t>
  </si>
  <si>
    <t xml:space="preserve">Chefe de Setor </t>
  </si>
  <si>
    <t>FC-6</t>
  </si>
  <si>
    <t xml:space="preserve">Chefe de Unidade de Produção e Pesquisa </t>
  </si>
  <si>
    <t>Chefe de Escritório de Apoio</t>
  </si>
  <si>
    <t>Fonte: àrea de Gestão de Pessoas da Codevasf.</t>
  </si>
  <si>
    <t xml:space="preserve">Chefe de Unidade Regional </t>
  </si>
  <si>
    <t xml:space="preserve">FC-5 </t>
  </si>
  <si>
    <t xml:space="preserve">Gerente Regional </t>
  </si>
  <si>
    <t xml:space="preserve">Chefe de Secretaria Regional </t>
  </si>
  <si>
    <t xml:space="preserve">Chefe de Assessoria Regional </t>
  </si>
  <si>
    <t>Benefícios Pagos em 2015 - UG 195012  - Piaui - Teresina</t>
  </si>
  <si>
    <t>Assessor de Superintendente Regional</t>
  </si>
  <si>
    <t xml:space="preserve">Chefe de Escritório de Representação </t>
  </si>
  <si>
    <t xml:space="preserve">Subchefe de Gabinete da Presidência </t>
  </si>
  <si>
    <t xml:space="preserve">Chefe de Unidade </t>
  </si>
  <si>
    <t xml:space="preserve">FC-4 </t>
  </si>
  <si>
    <t>Gerente</t>
  </si>
  <si>
    <t>Assistência Médica e Odontológica</t>
  </si>
  <si>
    <t>Exames Períodicos</t>
  </si>
  <si>
    <t>FC-3</t>
  </si>
  <si>
    <t>Auxílio Transporte</t>
  </si>
  <si>
    <t xml:space="preserve">Secretário Executivo </t>
  </si>
  <si>
    <t xml:space="preserve">FC-2 </t>
  </si>
  <si>
    <t>Assistência Pré-Escolar</t>
  </si>
  <si>
    <t>Auxílio -Alimentação</t>
  </si>
  <si>
    <t>Titulares</t>
  </si>
  <si>
    <t xml:space="preserve">FC-1 </t>
  </si>
  <si>
    <t>Legislação</t>
  </si>
  <si>
    <t>Valor Per Capita (R$ 1,00)</t>
  </si>
  <si>
    <t>Posição: Março/2016</t>
  </si>
  <si>
    <t>ANEXO II - TABELAS FUNÇÕES DE CONFIANÇA</t>
  </si>
  <si>
    <t>M-28</t>
  </si>
  <si>
    <t>S-28</t>
  </si>
  <si>
    <t>M-27</t>
  </si>
  <si>
    <t>S-27</t>
  </si>
  <si>
    <t>M-26</t>
  </si>
  <si>
    <t>S-26</t>
  </si>
  <si>
    <t>M-25</t>
  </si>
  <si>
    <t>S-25</t>
  </si>
  <si>
    <t>M-24</t>
  </si>
  <si>
    <t>S-24</t>
  </si>
  <si>
    <t>M-23</t>
  </si>
  <si>
    <t>S-23</t>
  </si>
  <si>
    <t>B-22</t>
  </si>
  <si>
    <t>M-22</t>
  </si>
  <si>
    <t>S-22</t>
  </si>
  <si>
    <t>B-21</t>
  </si>
  <si>
    <t>M-21</t>
  </si>
  <si>
    <t>S-21</t>
  </si>
  <si>
    <t>B-20</t>
  </si>
  <si>
    <t>M-20</t>
  </si>
  <si>
    <t>S-20</t>
  </si>
  <si>
    <t>B-19</t>
  </si>
  <si>
    <t>M-19</t>
  </si>
  <si>
    <t>S-19</t>
  </si>
  <si>
    <t>B-18</t>
  </si>
  <si>
    <t>M-18</t>
  </si>
  <si>
    <t>S-18</t>
  </si>
  <si>
    <t>B-17</t>
  </si>
  <si>
    <t>M-17</t>
  </si>
  <si>
    <t>S-17</t>
  </si>
  <si>
    <t>B-16</t>
  </si>
  <si>
    <t>M-16</t>
  </si>
  <si>
    <t>S-16</t>
  </si>
  <si>
    <t>B-15</t>
  </si>
  <si>
    <t>M-15</t>
  </si>
  <si>
    <t>S-15</t>
  </si>
  <si>
    <t>B-14</t>
  </si>
  <si>
    <t>M-14</t>
  </si>
  <si>
    <t>S-14</t>
  </si>
  <si>
    <t>B-13</t>
  </si>
  <si>
    <t>M-13</t>
  </si>
  <si>
    <t>S-13</t>
  </si>
  <si>
    <t>B-12</t>
  </si>
  <si>
    <t>M-12</t>
  </si>
  <si>
    <t>S-12</t>
  </si>
  <si>
    <t>B-11</t>
  </si>
  <si>
    <t>M-11</t>
  </si>
  <si>
    <t>S-11</t>
  </si>
  <si>
    <t>B-10</t>
  </si>
  <si>
    <t>M-10</t>
  </si>
  <si>
    <t>S-10</t>
  </si>
  <si>
    <t>B-09</t>
  </si>
  <si>
    <t>M-09</t>
  </si>
  <si>
    <t>S-09</t>
  </si>
  <si>
    <t>B-08</t>
  </si>
  <si>
    <t>M-08</t>
  </si>
  <si>
    <t>S-08</t>
  </si>
  <si>
    <t>B-07</t>
  </si>
  <si>
    <t>M-07</t>
  </si>
  <si>
    <t>S-07</t>
  </si>
  <si>
    <t>B-06</t>
  </si>
  <si>
    <t>M-06</t>
  </si>
  <si>
    <t>S-06</t>
  </si>
  <si>
    <t>B-05</t>
  </si>
  <si>
    <t>M-05</t>
  </si>
  <si>
    <t>S-05</t>
  </si>
  <si>
    <t>B-04</t>
  </si>
  <si>
    <t>M-04</t>
  </si>
  <si>
    <t>S-04</t>
  </si>
  <si>
    <t>B-03</t>
  </si>
  <si>
    <t>M-03</t>
  </si>
  <si>
    <t>S-03</t>
  </si>
  <si>
    <t>B-02</t>
  </si>
  <si>
    <t>M-02</t>
  </si>
  <si>
    <t>S-02</t>
  </si>
  <si>
    <t>B-01</t>
  </si>
  <si>
    <t>M-01</t>
  </si>
  <si>
    <t>S-01</t>
  </si>
  <si>
    <t xml:space="preserve">VALOR – R$ </t>
  </si>
  <si>
    <t>PADRÃO</t>
  </si>
  <si>
    <t xml:space="preserve">GRUPO: OPERACIONAL </t>
  </si>
  <si>
    <t xml:space="preserve">GRUPO: MÉDIO </t>
  </si>
  <si>
    <t xml:space="preserve">GRUPO: SUPERIOR </t>
  </si>
  <si>
    <t>ANEXO II - TABELAS SALÁRIAIS</t>
  </si>
  <si>
    <t>Veículos e combustível</t>
  </si>
  <si>
    <t>Exames periódicos</t>
  </si>
  <si>
    <t>Tecnologia da Informação</t>
  </si>
  <si>
    <t>Seguro Predial</t>
  </si>
  <si>
    <t>Escritórios e estacionamento</t>
  </si>
  <si>
    <t>Papelaria</t>
  </si>
  <si>
    <t>Mobiliário</t>
  </si>
  <si>
    <t>Diárias e Passagens</t>
  </si>
  <si>
    <t>Água e Eletricidade</t>
  </si>
  <si>
    <t>Comunicação</t>
  </si>
  <si>
    <t>Materiais e Serviços:</t>
  </si>
  <si>
    <t>Despesas Adm. Mão de Obra Própria</t>
  </si>
  <si>
    <t>Proposto Codevasf</t>
  </si>
  <si>
    <t>Adotado ANA</t>
  </si>
  <si>
    <t>Valor R$</t>
  </si>
  <si>
    <t xml:space="preserve">Despesas </t>
  </si>
  <si>
    <t>_Ds</t>
  </si>
  <si>
    <t>Material e Serviços</t>
  </si>
  <si>
    <t>Demanda</t>
  </si>
  <si>
    <t>Soma</t>
  </si>
  <si>
    <t>ESS (R$/MWh)</t>
  </si>
  <si>
    <t>PROINFA (R$/MWh)</t>
  </si>
  <si>
    <t>CDE (R$/MWh)</t>
  </si>
  <si>
    <t xml:space="preserve">MÓVEIS E EQUIPAMENTOS </t>
  </si>
  <si>
    <t>depreciação</t>
  </si>
  <si>
    <t>FERRAMENTAS</t>
  </si>
  <si>
    <t>SISTEMA DE PROTEÇÃ E COMBATE A INCÊNDIOS</t>
  </si>
  <si>
    <t>Sistema de incêndio para Estação de Bombeamento</t>
  </si>
  <si>
    <t>TOTAL DEPRECIAÇÃO</t>
  </si>
  <si>
    <t>Serviços de auditoria independente</t>
  </si>
  <si>
    <t>Auditoria independente</t>
  </si>
  <si>
    <t>EUST (R$)</t>
  </si>
  <si>
    <t>CCG ONS (R$)</t>
  </si>
  <si>
    <t>Serviços Bancários (R$)</t>
  </si>
  <si>
    <t xml:space="preserve">Consumo (MWh/ano) </t>
  </si>
  <si>
    <t>Perda Total</t>
  </si>
  <si>
    <t>Consumo com perdas (MWh/ano)</t>
  </si>
  <si>
    <t>Preço Unitário Energia Elétrica (R$/MWh)</t>
  </si>
  <si>
    <t>Preço do Consumo Anual de Energia Elétrica (R$)</t>
  </si>
  <si>
    <t>ICMS - 25% ("por dentro")</t>
  </si>
  <si>
    <t>CDE (R$)</t>
  </si>
  <si>
    <t>PROINFA (R$)</t>
  </si>
  <si>
    <t>ESS (R$)</t>
  </si>
  <si>
    <t>Custo Variável de Energia Elétrica Total (R$)</t>
  </si>
  <si>
    <t>Eixo Norte - Bom Nome</t>
  </si>
  <si>
    <t>Eixo Leste - Floresta</t>
  </si>
  <si>
    <t>Ponta</t>
  </si>
  <si>
    <t>Fora de Ponta</t>
  </si>
  <si>
    <t>MUST (KW)</t>
  </si>
  <si>
    <t>EUST anual (R$)</t>
  </si>
  <si>
    <t>EC (R$)</t>
  </si>
  <si>
    <t>CCG (R$)</t>
  </si>
  <si>
    <t>Custo total conexão (R$)</t>
  </si>
  <si>
    <t>Componentes</t>
  </si>
  <si>
    <t xml:space="preserve">R$ </t>
  </si>
  <si>
    <t>Operação e Manutenção</t>
  </si>
  <si>
    <t>Cobrança pelo Uso dos Recursos Hídricos</t>
  </si>
  <si>
    <t>Fundo de Reposição de Ativos</t>
  </si>
  <si>
    <t xml:space="preserve">Percentual </t>
  </si>
  <si>
    <t>Energia Elétrica - Parcela Variável</t>
  </si>
  <si>
    <t>Energia Elétrica - Parcela Fixa</t>
  </si>
  <si>
    <t>Taxa de Administração - Parcela Fixa</t>
  </si>
  <si>
    <t>Taxa de Administração - Parcela Variável</t>
  </si>
  <si>
    <t>Cálculo do EUST anual</t>
  </si>
  <si>
    <t>Total custo fixo - conexão.</t>
  </si>
  <si>
    <t>Taxa Associativa ONS e CCEE (R$)</t>
  </si>
  <si>
    <t>Total custo fixo - serviços bancários e taxas associativas.</t>
  </si>
  <si>
    <t>Total custo fixo - demanda de energia elétrica.</t>
  </si>
  <si>
    <t>Custo total anual variável de energia elétrica - consumo, imposto e encargos.</t>
  </si>
  <si>
    <t>Custo total anual fixo de energia elétrica - demanda de potência, conexão, contratação de gestão da comercialização da energia elétrica, serviços bancários e taxas associativas</t>
  </si>
  <si>
    <t>Custo total demanda (R$)</t>
  </si>
  <si>
    <t>Gestão da comercialização da EE</t>
  </si>
  <si>
    <t>Serviços bancários</t>
  </si>
  <si>
    <t>Taxas associativas</t>
  </si>
  <si>
    <t>Custo Fixo de Energia Elétrica Total (R$)</t>
  </si>
  <si>
    <t>Vazão Disponibilizada (m³/s)</t>
  </si>
  <si>
    <t>Soma  (m³/s)</t>
  </si>
  <si>
    <t>Receita anual - parcela fixa</t>
  </si>
  <si>
    <t>Receita anual - parcela variável</t>
  </si>
  <si>
    <t>Volume (m³)</t>
  </si>
  <si>
    <t>Total Receita</t>
  </si>
  <si>
    <t>Medidores de vazão para fiscalização do Rio Piranhas</t>
  </si>
  <si>
    <t>Taxa de Administração Fixa (TAf)</t>
  </si>
  <si>
    <t>CV sem encargos</t>
  </si>
  <si>
    <t>Taxa de Administração Variável (TAv)</t>
  </si>
  <si>
    <t>Taxa de Administração (TA = TAf + TAv)</t>
  </si>
  <si>
    <t>% PTAf</t>
  </si>
  <si>
    <t>CF - FRA - COB</t>
  </si>
  <si>
    <t>CVreg sem encargos</t>
  </si>
  <si>
    <t>R$</t>
  </si>
  <si>
    <t>Parcela Fixa da Receita Requerida</t>
  </si>
  <si>
    <t>Parcela Variável da Receita Requerida</t>
  </si>
  <si>
    <t>Sem PDD</t>
  </si>
  <si>
    <t>Com PDD</t>
  </si>
  <si>
    <t>PDD</t>
  </si>
  <si>
    <t>Receita Requerida Total</t>
  </si>
  <si>
    <t xml:space="preserve">Tarifa de Referência </t>
  </si>
  <si>
    <t>Disponibilidade</t>
  </si>
  <si>
    <t>Sem PDD  (R$/m³)</t>
  </si>
  <si>
    <t>Com PDD  (R$/m³)</t>
  </si>
  <si>
    <t>SABESP</t>
  </si>
  <si>
    <t xml:space="preserve">B1 - 20000cv - 1974  B2 - 20000cv - 1981   B3 - 20000cv - 1981   B4 - 20272cv - 1993 </t>
  </si>
  <si>
    <t>H</t>
  </si>
  <si>
    <t>Vol m3</t>
  </si>
  <si>
    <t>Vazão média m3/s</t>
  </si>
  <si>
    <t>kwh mês</t>
  </si>
  <si>
    <t>efic dec</t>
  </si>
  <si>
    <t>efic total cat</t>
  </si>
  <si>
    <t>efici calc</t>
  </si>
  <si>
    <t>CEN</t>
  </si>
  <si>
    <t>CAESB - testes 1998</t>
  </si>
  <si>
    <t>Vazão m3/s</t>
  </si>
  <si>
    <t>Pot kW</t>
  </si>
  <si>
    <t>B1 11000cv 1976</t>
  </si>
  <si>
    <t>B2 5500cv 1976</t>
  </si>
  <si>
    <t>B3 11000cv 1976</t>
  </si>
  <si>
    <t>Vazões outorga PISF m3/s</t>
  </si>
  <si>
    <t>m3/s</t>
  </si>
  <si>
    <t>B4 5500cv 1976</t>
  </si>
  <si>
    <t>B5 11000cv 1976</t>
  </si>
  <si>
    <t>CAESB - teste 2004</t>
  </si>
  <si>
    <t>B5 11000cv 2004</t>
  </si>
  <si>
    <t>H (mca)</t>
  </si>
  <si>
    <t>Vazão por bomba (m3/s)</t>
  </si>
  <si>
    <t>Pot máxima</t>
  </si>
  <si>
    <t>rend motor</t>
  </si>
  <si>
    <t>efic bomb cat</t>
  </si>
  <si>
    <t>efici calc total</t>
  </si>
  <si>
    <t>Vazão proporcional m3/s</t>
  </si>
  <si>
    <t>Volume mensal m3</t>
  </si>
  <si>
    <t>nº horas/mês</t>
  </si>
  <si>
    <t>Consumo mensal MWh</t>
  </si>
  <si>
    <t>B1 - 6842cv</t>
  </si>
  <si>
    <t>N - 2 bombas</t>
  </si>
  <si>
    <t>B2 - 12160cv</t>
  </si>
  <si>
    <t>B3 - 17201cv</t>
  </si>
  <si>
    <t>Serviços auxiliares Eixo Norte</t>
  </si>
  <si>
    <t>BV1 - 6680cv</t>
  </si>
  <si>
    <t>L - 2 bombas</t>
  </si>
  <si>
    <t>BV2 - 4664cv</t>
  </si>
  <si>
    <t>BV3  - 6781cv</t>
  </si>
  <si>
    <t>BV4 - 6329cv</t>
  </si>
  <si>
    <t>BV5 - 2842cv</t>
  </si>
  <si>
    <t>BV6 - 4319cv</t>
  </si>
  <si>
    <t>Serviços auxiliares Eixo Leste</t>
  </si>
  <si>
    <t>TOTAL MENSAL</t>
  </si>
  <si>
    <t>TOTAL ANUAL</t>
  </si>
  <si>
    <t>Potência máxima = Pot bombas + rendimento + perdas</t>
  </si>
  <si>
    <t>Considerando funcionamento pleno de todas as bombas</t>
  </si>
  <si>
    <t>e tranformadores auxiliares em plena carga</t>
  </si>
  <si>
    <t>Estação de Bombeamento</t>
  </si>
  <si>
    <t>Potência EB (kW)</t>
  </si>
  <si>
    <t>I (A)</t>
  </si>
  <si>
    <t>Km rede 230 kV</t>
  </si>
  <si>
    <t>Ohm.km CAA 636 MCM</t>
  </si>
  <si>
    <t>Potência média perdida rede 230 KV (kW)</t>
  </si>
  <si>
    <t>Km rede 13,8 kV</t>
  </si>
  <si>
    <t>Ohm.km 1/0</t>
  </si>
  <si>
    <t>Potência média perdida rede 13,8 KV (kW)</t>
  </si>
  <si>
    <t>Potência média total perdida (kW)</t>
  </si>
  <si>
    <t>Poténcia média total perdida (%)</t>
  </si>
  <si>
    <t>Tucutu</t>
  </si>
  <si>
    <t>Terra Nova</t>
  </si>
  <si>
    <t>Mangueira</t>
  </si>
  <si>
    <t>SUBTOTAL</t>
  </si>
  <si>
    <t>Areias</t>
  </si>
  <si>
    <t>Braúnas</t>
  </si>
  <si>
    <t>Mandantes</t>
  </si>
  <si>
    <t>Cacimba Nova</t>
  </si>
  <si>
    <t>Moxotó</t>
  </si>
  <si>
    <t>Campos</t>
  </si>
  <si>
    <t>Eficiência conjunto moto-bomba</t>
  </si>
  <si>
    <t>Vazão bombeada (m³/s)</t>
  </si>
  <si>
    <t>Volume mensal (m³)</t>
  </si>
  <si>
    <t>Consumo mensal (MWh)</t>
  </si>
  <si>
    <t>Consumo anual (MWh)</t>
  </si>
  <si>
    <t>Serviços auxiliares</t>
  </si>
  <si>
    <t>Cenário de Referência</t>
  </si>
  <si>
    <t>Cenário de Referência e Rendimentos</t>
  </si>
  <si>
    <t>Resumo do valor considerado razoável pela Ana para o 1º ano de operação</t>
  </si>
  <si>
    <t>Cálculo Tav</t>
  </si>
  <si>
    <t>alterados após audiência</t>
  </si>
  <si>
    <t>Contendo 13º + 1/3 férias (exceto para Presidente e Diretores)</t>
  </si>
  <si>
    <t>Salários +Encargos+Gratificação natalina + 1/3 férias</t>
  </si>
  <si>
    <t>Sistema de proteção e combate à incêndio</t>
  </si>
  <si>
    <t>Adotado pela ANA</t>
  </si>
  <si>
    <t>diferença</t>
  </si>
  <si>
    <t>Valor a ser pago</t>
  </si>
  <si>
    <t>União</t>
  </si>
  <si>
    <t xml:space="preserve">Reajuste linear de 8,28% (ACT/2016 com vigência de 1º/05/2016 a 30/04/2017)   </t>
  </si>
  <si>
    <t>Chefe de Gabinete de Superintendência Regional</t>
  </si>
  <si>
    <t>Chefe de Secretaria da Presidência</t>
  </si>
  <si>
    <t xml:space="preserve">Gestão </t>
  </si>
  <si>
    <t>ACT 2016/2017</t>
  </si>
  <si>
    <t>1015,5 - participação dos empregados 2%  do valor recebido</t>
  </si>
  <si>
    <t>Portaria nº 625 MP</t>
  </si>
  <si>
    <t>ACT2016/2017 -Manutenção  do vale cultura e  seguro de vida.</t>
  </si>
  <si>
    <t>Valor corrigido para janeiro de 2018</t>
  </si>
  <si>
    <t>Fator de correção IGPM para dezembro de 2017</t>
  </si>
  <si>
    <t>atualizado pela tabela de consultoria DNIT para dez 2017</t>
  </si>
  <si>
    <t>atualizado dez 2017</t>
  </si>
  <si>
    <t>fórmula corrigida para multiplicar por 8 ao invés de 12</t>
  </si>
  <si>
    <t xml:space="preserve">Manutenção e Limpeza predial </t>
  </si>
  <si>
    <t xml:space="preserve">Segurança Predial  </t>
  </si>
  <si>
    <t>Custos Administrativos - Materiais e Serviços - R$ 1.973.267,36</t>
  </si>
  <si>
    <t>Escritórios</t>
  </si>
  <si>
    <t>m²/pessoa</t>
  </si>
  <si>
    <t>473 pessoas Sede</t>
  </si>
  <si>
    <t>10 ER Aneel 2007  4730 m²</t>
  </si>
  <si>
    <t xml:space="preserve">Serviços Administrativos PJ  </t>
  </si>
  <si>
    <t xml:space="preserve">R$ 3.440.249,62  - fonte Tesouro Gerencial Balancete 2017 </t>
  </si>
  <si>
    <t xml:space="preserve">e </t>
  </si>
  <si>
    <t xml:space="preserve">pessoas </t>
  </si>
  <si>
    <t>Estacionamento</t>
  </si>
  <si>
    <t>m²/administrativo</t>
  </si>
  <si>
    <t>R$/m².ano</t>
  </si>
  <si>
    <t>Despesas de Viagens (Diárias e Passagens )</t>
  </si>
  <si>
    <t xml:space="preserve">R$ salários - ano </t>
  </si>
  <si>
    <t>2,5 % estimativa com base nas viagens atuais  R$ 308.848,00</t>
  </si>
  <si>
    <t>R$ viagens- ano</t>
  </si>
  <si>
    <t xml:space="preserve">Mobiliários </t>
  </si>
  <si>
    <t>Não houve atualização , a tendência é depreciar    R$  48.669,05</t>
  </si>
  <si>
    <t xml:space="preserve">(-) 10% depreciação anual </t>
  </si>
  <si>
    <t xml:space="preserve">Seguro predial </t>
  </si>
  <si>
    <t xml:space="preserve">Comunicação </t>
  </si>
  <si>
    <t xml:space="preserve">R$ /pessoa.mês </t>
  </si>
  <si>
    <t xml:space="preserve"> - Sede Codevasf</t>
  </si>
  <si>
    <t>Total ano 2017 - Sede  859.930,27 - Tesouro Gerencial Balancete 2017</t>
  </si>
  <si>
    <t xml:space="preserve">pessoa </t>
  </si>
  <si>
    <t xml:space="preserve">R$ /ano </t>
  </si>
  <si>
    <t>Papelaria e outros</t>
  </si>
  <si>
    <t>R$ /pessoa.mês</t>
  </si>
  <si>
    <t>Total ano 2017 - Sede 64.347,22 - Consumo imediato - Tesouro Gerencial Balancete 2017</t>
  </si>
  <si>
    <t>pessoa</t>
  </si>
  <si>
    <t>R$ /ano</t>
  </si>
  <si>
    <t xml:space="preserve">Tecnologia da Informação </t>
  </si>
  <si>
    <t>R$ /pessoa.ano</t>
  </si>
  <si>
    <t xml:space="preserve">Total ano 2017 - Sede 1.663.999,06  - Consumo de material de processamento de dados e </t>
  </si>
  <si>
    <t xml:space="preserve"> locação e arrendamento mercantil operacional - Tesouro Gerencial Balancete 2017</t>
  </si>
  <si>
    <t>Computadores Pessoais  Hardware</t>
  </si>
  <si>
    <t>Software</t>
  </si>
  <si>
    <t>Sistemas Gestão Administrativa</t>
  </si>
  <si>
    <t xml:space="preserve">1% do valor do aluguel escritórios e estacionamento R$ 9.969,32 </t>
  </si>
  <si>
    <t>Estimativa das Despesas relativa aos Benefícios Trabalhistas concedidos a mão de obra própria da Codevasf</t>
  </si>
  <si>
    <t>valor</t>
  </si>
  <si>
    <t>unidade</t>
  </si>
  <si>
    <t>pessoas</t>
  </si>
  <si>
    <t>dias</t>
  </si>
  <si>
    <t>trecho</t>
  </si>
  <si>
    <t>Assistência  Médica e Odontológica</t>
  </si>
  <si>
    <t>R$ /mês.beneficiário</t>
  </si>
  <si>
    <t>Auxilio Alimentação</t>
  </si>
  <si>
    <t>R$ /pessoas.dias</t>
  </si>
  <si>
    <t>Assintência Pré escola</t>
  </si>
  <si>
    <t>R$/mês.filho-pré-escol</t>
  </si>
  <si>
    <t>Fundação São Francisco (Previdência Privada)</t>
  </si>
  <si>
    <t>R$/mês.optante</t>
  </si>
  <si>
    <t>Vale transporte</t>
  </si>
  <si>
    <t>R$/trecho.pessoa</t>
  </si>
  <si>
    <t>Vale Cultura</t>
  </si>
  <si>
    <t>Seguro de vida</t>
  </si>
  <si>
    <t>R$/pessoa.optante.mês</t>
  </si>
  <si>
    <t>TUST (R$/KW)*</t>
  </si>
  <si>
    <t>* Fonte: REH 2259/17 ANEEL</t>
  </si>
  <si>
    <t>Fonte: REH 2365/17 ANEEL</t>
  </si>
  <si>
    <t>Fonte: REH 2358/17 ANEEL</t>
  </si>
  <si>
    <t>Previsão do % entregue após perdas (variável)</t>
  </si>
  <si>
    <t>Previsão do % entregue após perdas (Fixo)</t>
  </si>
  <si>
    <t xml:space="preserve">Total </t>
  </si>
  <si>
    <t>Parcela Fixa  - anual - Cenário apenas Eixo Leste</t>
  </si>
  <si>
    <t>Parcela Variável  - anual - Cenário apenas Eixo Leste</t>
  </si>
  <si>
    <t>Parcela Fixa  - anual - Cenário 2 eixos pleno funcionamento</t>
  </si>
  <si>
    <t>Receita Requerida Fixa  - Anual</t>
  </si>
  <si>
    <t>Receita Requerida Variável  - Anual</t>
  </si>
  <si>
    <t>Fixo +Variável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</si>
</sst>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8" formatCode="&quot;R$&quot;\ #,##0.00;[Red]\-&quot;R$&quot;\ #,##0.00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0_ ;\-0\ "/>
    <numFmt numFmtId="167" formatCode="0.000"/>
    <numFmt numFmtId="168" formatCode="0_)"/>
    <numFmt numFmtId="169" formatCode="#,##0.00_ ;[Red]\-#,##0.00\ "/>
    <numFmt numFmtId="170" formatCode="_-* #,##0.000_-;\-* #,##0.000_-;_-* &quot;-&quot;??_-;_-@_-"/>
    <numFmt numFmtId="171" formatCode="_-* #,##0.00000_-;\-* #,##0.00000_-;_-* &quot;-&quot;??_-;_-@_-"/>
    <numFmt numFmtId="172" formatCode="_-* #,##0.000000_-;\-* #,##0.000000_-;_-* &quot;-&quot;??_-;_-@_-"/>
    <numFmt numFmtId="173" formatCode="0.0000"/>
    <numFmt numFmtId="174" formatCode="0.0000%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Verdana"/>
      <family val="2"/>
    </font>
    <font>
      <sz val="10"/>
      <name val="Verdana"/>
      <family val="2"/>
    </font>
    <font>
      <sz val="9"/>
      <name val="Arial"/>
      <family val="2"/>
    </font>
    <font>
      <sz val="10"/>
      <color rgb="FF000000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9"/>
      <color rgb="FF000000"/>
      <name val="Century Gothic"/>
      <family val="2"/>
    </font>
    <font>
      <sz val="9"/>
      <color theme="1"/>
      <name val="Century Gothic"/>
      <family val="2"/>
    </font>
    <font>
      <sz val="9"/>
      <color rgb="FF000000"/>
      <name val="Century Gothic"/>
      <family val="2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16"/>
      <color theme="1"/>
      <name val="Calibri"/>
      <family val="2"/>
      <scheme val="minor"/>
    </font>
    <font>
      <sz val="8"/>
      <name val="Verdana"/>
      <family val="2"/>
    </font>
    <font>
      <b/>
      <sz val="9"/>
      <color rgb="FF000000"/>
      <name val="Calibri"/>
      <family val="2"/>
    </font>
    <font>
      <b/>
      <sz val="8"/>
      <name val="Times New Roman"/>
      <family val="1"/>
    </font>
    <font>
      <b/>
      <sz val="9"/>
      <name val="Calibri"/>
      <family val="2"/>
    </font>
    <font>
      <b/>
      <sz val="8"/>
      <name val="Verdana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9"/>
      <color rgb="FF000000"/>
      <name val="Calibri"/>
      <family val="2"/>
    </font>
    <font>
      <b/>
      <sz val="12"/>
      <color rgb="FF000000"/>
      <name val="Arial"/>
      <family val="2"/>
    </font>
    <font>
      <sz val="9"/>
      <name val="Verdana"/>
      <family val="2"/>
    </font>
    <font>
      <sz val="10"/>
      <name val="Arial"/>
      <family val="2"/>
    </font>
    <font>
      <sz val="8"/>
      <name val="SimSun"/>
    </font>
    <font>
      <vertAlign val="superscript"/>
      <sz val="8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2"/>
      <name val="Times New Roman"/>
      <family val="1"/>
    </font>
    <font>
      <sz val="11"/>
      <name val="Calibri"/>
      <family val="2"/>
      <scheme val="minor"/>
    </font>
    <font>
      <sz val="8"/>
      <color indexed="10"/>
      <name val="Arial"/>
      <family val="2"/>
    </font>
    <font>
      <sz val="8"/>
      <color indexed="8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vertAlign val="superscript"/>
      <sz val="8"/>
      <name val="Arial"/>
      <family val="2"/>
    </font>
    <font>
      <b/>
      <sz val="14"/>
      <name val="Arial"/>
      <family val="2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Arial"/>
      <family val="2"/>
    </font>
    <font>
      <b/>
      <sz val="14"/>
      <name val="Calibri"/>
      <family val="2"/>
      <scheme val="minor"/>
    </font>
    <font>
      <sz val="10"/>
      <color rgb="FFFF0000"/>
      <name val="Arial"/>
      <family val="2"/>
    </font>
    <font>
      <sz val="10"/>
      <color rgb="FF00B0F0"/>
      <name val="Arial"/>
      <family val="2"/>
    </font>
    <font>
      <strike/>
      <sz val="11"/>
      <color theme="1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7"/>
      </patternFill>
    </fill>
    <fill>
      <patternFill patternType="solid">
        <fgColor indexed="22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78C0D4"/>
      </right>
      <top/>
      <bottom/>
      <diagonal/>
    </border>
    <border>
      <left style="medium">
        <color rgb="FF78C0D4"/>
      </left>
      <right style="medium">
        <color rgb="FF78C0D4"/>
      </right>
      <top/>
      <bottom/>
      <diagonal/>
    </border>
    <border>
      <left/>
      <right style="medium">
        <color rgb="FF78C0D4"/>
      </right>
      <top style="medium">
        <color rgb="FF78C0D4"/>
      </top>
      <bottom/>
      <diagonal/>
    </border>
    <border>
      <left style="medium">
        <color rgb="FF78C0D4"/>
      </left>
      <right style="medium">
        <color rgb="FF78C0D4"/>
      </right>
      <top style="medium">
        <color rgb="FF78C0D4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8" tint="0.39997558519241921"/>
      </left>
      <right style="medium">
        <color theme="8" tint="0.39997558519241921"/>
      </right>
      <top style="medium">
        <color theme="8" tint="0.39997558519241921"/>
      </top>
      <bottom style="medium">
        <color theme="8" tint="0.39997558519241921"/>
      </bottom>
      <diagonal/>
    </border>
    <border>
      <left/>
      <right style="medium">
        <color rgb="FF78C0D4"/>
      </right>
      <top/>
      <bottom style="medium">
        <color rgb="FF78C0D4"/>
      </bottom>
      <diagonal/>
    </border>
    <border>
      <left/>
      <right style="medium">
        <color rgb="FF78C0D4"/>
      </right>
      <top style="medium">
        <color rgb="FF78C0D4"/>
      </top>
      <bottom style="medium">
        <color rgb="FF78C0D4"/>
      </bottom>
      <diagonal/>
    </border>
    <border>
      <left/>
      <right/>
      <top style="medium">
        <color rgb="FF78C0D4"/>
      </top>
      <bottom style="medium">
        <color rgb="FF78C0D4"/>
      </bottom>
      <diagonal/>
    </border>
    <border>
      <left style="medium">
        <color rgb="FF78C0D4"/>
      </left>
      <right/>
      <top style="medium">
        <color rgb="FF78C0D4"/>
      </top>
      <bottom style="medium">
        <color rgb="FF78C0D4"/>
      </bottom>
      <diagonal/>
    </border>
    <border>
      <left/>
      <right style="medium">
        <color theme="8" tint="0.39997558519241921"/>
      </right>
      <top style="medium">
        <color theme="8" tint="0.39997558519241921"/>
      </top>
      <bottom style="medium">
        <color theme="8" tint="0.39997558519241921"/>
      </bottom>
      <diagonal/>
    </border>
    <border>
      <left style="medium">
        <color theme="8" tint="0.39997558519241921"/>
      </left>
      <right/>
      <top style="medium">
        <color theme="8" tint="0.39997558519241921"/>
      </top>
      <bottom style="medium">
        <color theme="8" tint="0.39997558519241921"/>
      </bottom>
      <diagonal/>
    </border>
    <border>
      <left style="medium">
        <color rgb="FF78C0D4"/>
      </left>
      <right style="medium">
        <color rgb="FF78C0D4"/>
      </right>
      <top/>
      <bottom style="medium">
        <color rgb="FF78C0D4"/>
      </bottom>
      <diagonal/>
    </border>
    <border>
      <left style="medium">
        <color theme="8" tint="0.39997558519241921"/>
      </left>
      <right style="medium">
        <color theme="8" tint="0.39997558519241921"/>
      </right>
      <top/>
      <bottom style="medium">
        <color theme="8" tint="0.39997558519241921"/>
      </bottom>
      <diagonal/>
    </border>
    <border>
      <left style="medium">
        <color theme="8" tint="0.39997558519241921"/>
      </left>
      <right style="medium">
        <color theme="8" tint="0.39997558519241921"/>
      </right>
      <top/>
      <bottom/>
      <diagonal/>
    </border>
    <border>
      <left style="medium">
        <color theme="8" tint="0.39997558519241921"/>
      </left>
      <right style="medium">
        <color theme="8" tint="0.39997558519241921"/>
      </right>
      <top style="medium">
        <color theme="8" tint="0.39997558519241921"/>
      </top>
      <bottom/>
      <diagonal/>
    </border>
    <border>
      <left/>
      <right/>
      <top/>
      <bottom style="medium">
        <color rgb="FF78C0D4"/>
      </bottom>
      <diagonal/>
    </border>
    <border>
      <left/>
      <right style="medium">
        <color theme="8" tint="0.39997558519241921"/>
      </right>
      <top/>
      <bottom style="medium">
        <color theme="8" tint="0.39997558519241921"/>
      </bottom>
      <diagonal/>
    </border>
    <border>
      <left/>
      <right/>
      <top/>
      <bottom style="medium">
        <color theme="8" tint="0.39997558519241921"/>
      </bottom>
      <diagonal/>
    </border>
    <border>
      <left style="medium">
        <color rgb="FF78C0D4"/>
      </left>
      <right/>
      <top/>
      <bottom style="medium">
        <color theme="8" tint="0.39997558519241921"/>
      </bottom>
      <diagonal/>
    </border>
    <border>
      <left/>
      <right style="medium">
        <color theme="8" tint="0.39997558519241921"/>
      </right>
      <top/>
      <bottom/>
      <diagonal/>
    </border>
    <border>
      <left style="medium">
        <color rgb="FF78C0D4"/>
      </left>
      <right/>
      <top/>
      <bottom/>
      <diagonal/>
    </border>
    <border>
      <left/>
      <right style="medium">
        <color theme="8" tint="0.39997558519241921"/>
      </right>
      <top style="medium">
        <color theme="8" tint="0.39997558519241921"/>
      </top>
      <bottom/>
      <diagonal/>
    </border>
    <border>
      <left/>
      <right/>
      <top style="medium">
        <color theme="8" tint="0.39997558519241921"/>
      </top>
      <bottom/>
      <diagonal/>
    </border>
    <border>
      <left style="medium">
        <color rgb="FF78C0D4"/>
      </left>
      <right/>
      <top style="medium">
        <color theme="8" tint="0.39997558519241921"/>
      </top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medium">
        <color indexed="64"/>
      </left>
      <right/>
      <top/>
      <bottom style="double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64"/>
      </left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27" fillId="0" borderId="0"/>
    <xf numFmtId="0" fontId="27" fillId="0" borderId="0"/>
    <xf numFmtId="0" fontId="49" fillId="0" borderId="0" applyNumberFormat="0" applyFill="0" applyBorder="0" applyAlignment="0" applyProtection="0"/>
  </cellStyleXfs>
  <cellXfs count="898">
    <xf numFmtId="0" fontId="0" fillId="0" borderId="0" xfId="0"/>
    <xf numFmtId="0" fontId="2" fillId="0" borderId="1" xfId="0" applyFont="1" applyBorder="1"/>
    <xf numFmtId="0" fontId="2" fillId="0" borderId="0" xfId="0" applyFont="1"/>
    <xf numFmtId="43" fontId="0" fillId="0" borderId="0" xfId="0" applyNumberFormat="1"/>
    <xf numFmtId="4" fontId="0" fillId="0" borderId="0" xfId="0" applyNumberFormat="1"/>
    <xf numFmtId="9" fontId="0" fillId="0" borderId="0" xfId="0" applyNumberFormat="1"/>
    <xf numFmtId="0" fontId="2" fillId="0" borderId="0" xfId="0" applyFont="1" applyBorder="1"/>
    <xf numFmtId="0" fontId="0" fillId="0" borderId="1" xfId="0" applyBorder="1"/>
    <xf numFmtId="0" fontId="2" fillId="0" borderId="1" xfId="0" applyFont="1" applyFill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right"/>
    </xf>
    <xf numFmtId="43" fontId="0" fillId="0" borderId="1" xfId="1" applyFont="1" applyBorder="1"/>
    <xf numFmtId="43" fontId="0" fillId="0" borderId="1" xfId="0" applyNumberFormat="1" applyBorder="1"/>
    <xf numFmtId="2" fontId="0" fillId="0" borderId="1" xfId="0" applyNumberFormat="1" applyBorder="1"/>
    <xf numFmtId="0" fontId="0" fillId="3" borderId="0" xfId="0" applyFill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2" xfId="0" applyBorder="1"/>
    <xf numFmtId="0" fontId="0" fillId="0" borderId="0" xfId="0" applyFill="1"/>
    <xf numFmtId="0" fontId="0" fillId="8" borderId="0" xfId="0" applyFill="1"/>
    <xf numFmtId="0" fontId="4" fillId="0" borderId="0" xfId="0" applyFont="1"/>
    <xf numFmtId="3" fontId="0" fillId="0" borderId="0" xfId="0" applyNumberFormat="1"/>
    <xf numFmtId="0" fontId="0" fillId="0" borderId="0" xfId="0" applyBorder="1" applyAlignment="1">
      <alignment horizontal="center"/>
    </xf>
    <xf numFmtId="43" fontId="0" fillId="11" borderId="1" xfId="1" applyFont="1" applyFill="1" applyBorder="1"/>
    <xf numFmtId="43" fontId="2" fillId="10" borderId="1" xfId="0" applyNumberFormat="1" applyFont="1" applyFill="1" applyBorder="1"/>
    <xf numFmtId="0" fontId="5" fillId="8" borderId="15" xfId="0" applyFont="1" applyFill="1" applyBorder="1" applyAlignment="1">
      <alignment horizontal="center" vertical="center" wrapText="1"/>
    </xf>
    <xf numFmtId="0" fontId="5" fillId="8" borderId="17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2" fontId="0" fillId="0" borderId="19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0" fillId="0" borderId="1" xfId="0" applyNumberFormat="1" applyFill="1" applyBorder="1" applyAlignment="1">
      <alignment horizontal="center"/>
    </xf>
    <xf numFmtId="10" fontId="6" fillId="8" borderId="1" xfId="0" applyNumberFormat="1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44" fontId="0" fillId="0" borderId="20" xfId="0" applyNumberFormat="1" applyBorder="1"/>
    <xf numFmtId="0" fontId="0" fillId="0" borderId="21" xfId="0" applyBorder="1"/>
    <xf numFmtId="0" fontId="0" fillId="0" borderId="22" xfId="0" applyBorder="1"/>
    <xf numFmtId="44" fontId="0" fillId="0" borderId="23" xfId="0" applyNumberFormat="1" applyBorder="1"/>
    <xf numFmtId="0" fontId="0" fillId="0" borderId="24" xfId="0" applyBorder="1"/>
    <xf numFmtId="44" fontId="0" fillId="0" borderId="25" xfId="0" applyNumberFormat="1" applyBorder="1"/>
    <xf numFmtId="0" fontId="0" fillId="0" borderId="26" xfId="0" applyBorder="1"/>
    <xf numFmtId="0" fontId="0" fillId="0" borderId="27" xfId="0" applyBorder="1"/>
    <xf numFmtId="0" fontId="0" fillId="0" borderId="23" xfId="0" applyBorder="1"/>
    <xf numFmtId="0" fontId="0" fillId="0" borderId="0" xfId="0" applyFill="1" applyBorder="1"/>
    <xf numFmtId="44" fontId="0" fillId="0" borderId="0" xfId="0" applyNumberFormat="1"/>
    <xf numFmtId="10" fontId="0" fillId="0" borderId="0" xfId="0" applyNumberFormat="1"/>
    <xf numFmtId="4" fontId="10" fillId="0" borderId="28" xfId="0" applyNumberFormat="1" applyFont="1" applyBorder="1" applyAlignment="1">
      <alignment horizontal="right" vertical="center" wrapText="1"/>
    </xf>
    <xf numFmtId="4" fontId="11" fillId="0" borderId="28" xfId="0" applyNumberFormat="1" applyFont="1" applyBorder="1" applyAlignment="1">
      <alignment horizontal="right" vertical="center" wrapText="1"/>
    </xf>
    <xf numFmtId="0" fontId="11" fillId="0" borderId="28" xfId="0" applyFont="1" applyBorder="1" applyAlignment="1">
      <alignment horizontal="right" vertical="center" wrapText="1"/>
    </xf>
    <xf numFmtId="4" fontId="11" fillId="0" borderId="29" xfId="0" applyNumberFormat="1" applyFont="1" applyBorder="1" applyAlignment="1">
      <alignment horizontal="right" vertical="center" wrapText="1"/>
    </xf>
    <xf numFmtId="0" fontId="14" fillId="0" borderId="0" xfId="0" applyFont="1"/>
    <xf numFmtId="10" fontId="0" fillId="0" borderId="0" xfId="0" applyNumberFormat="1" applyBorder="1"/>
    <xf numFmtId="0" fontId="0" fillId="0" borderId="0" xfId="0" applyFill="1" applyAlignment="1">
      <alignment horizontal="left"/>
    </xf>
    <xf numFmtId="0" fontId="15" fillId="0" borderId="0" xfId="0" applyFont="1" applyFill="1" applyAlignment="1">
      <alignment horizontal="left"/>
    </xf>
    <xf numFmtId="0" fontId="15" fillId="0" borderId="0" xfId="0" applyFont="1" applyFill="1"/>
    <xf numFmtId="0" fontId="0" fillId="0" borderId="30" xfId="0" applyFill="1" applyBorder="1"/>
    <xf numFmtId="4" fontId="16" fillId="0" borderId="31" xfId="0" applyNumberFormat="1" applyFont="1" applyFill="1" applyBorder="1" applyAlignment="1">
      <alignment horizontal="right" vertical="center" wrapText="1"/>
    </xf>
    <xf numFmtId="4" fontId="19" fillId="13" borderId="30" xfId="0" applyNumberFormat="1" applyFont="1" applyFill="1" applyBorder="1"/>
    <xf numFmtId="4" fontId="20" fillId="12" borderId="31" xfId="0" applyNumberFormat="1" applyFont="1" applyFill="1" applyBorder="1" applyAlignment="1">
      <alignment horizontal="right" vertical="center" wrapText="1"/>
    </xf>
    <xf numFmtId="2" fontId="15" fillId="0" borderId="30" xfId="0" applyNumberFormat="1" applyFont="1" applyFill="1" applyBorder="1"/>
    <xf numFmtId="0" fontId="15" fillId="0" borderId="30" xfId="0" applyFont="1" applyFill="1" applyBorder="1"/>
    <xf numFmtId="4" fontId="20" fillId="0" borderId="31" xfId="0" applyNumberFormat="1" applyFont="1" applyFill="1" applyBorder="1" applyAlignment="1">
      <alignment horizontal="right" vertical="center" wrapText="1"/>
    </xf>
    <xf numFmtId="4" fontId="22" fillId="0" borderId="31" xfId="0" applyNumberFormat="1" applyFont="1" applyFill="1" applyBorder="1" applyAlignment="1">
      <alignment horizontal="right" vertical="center" wrapText="1"/>
    </xf>
    <xf numFmtId="0" fontId="20" fillId="0" borderId="31" xfId="0" applyFont="1" applyFill="1" applyBorder="1" applyAlignment="1">
      <alignment horizontal="center" vertical="center" wrapText="1"/>
    </xf>
    <xf numFmtId="0" fontId="20" fillId="0" borderId="31" xfId="0" applyFont="1" applyFill="1" applyBorder="1" applyAlignment="1">
      <alignment horizontal="left" vertical="center" wrapText="1"/>
    </xf>
    <xf numFmtId="0" fontId="23" fillId="0" borderId="37" xfId="0" applyFont="1" applyFill="1" applyBorder="1" applyAlignment="1">
      <alignment horizontal="center" vertical="center" wrapText="1"/>
    </xf>
    <xf numFmtId="0" fontId="15" fillId="0" borderId="30" xfId="0" applyFont="1" applyFill="1" applyBorder="1" applyAlignment="1">
      <alignment horizontal="center"/>
    </xf>
    <xf numFmtId="0" fontId="3" fillId="0" borderId="30" xfId="0" applyFont="1" applyFill="1" applyBorder="1"/>
    <xf numFmtId="4" fontId="20" fillId="13" borderId="31" xfId="0" applyNumberFormat="1" applyFont="1" applyFill="1" applyBorder="1" applyAlignment="1">
      <alignment horizontal="right" vertical="center" wrapText="1"/>
    </xf>
    <xf numFmtId="0" fontId="20" fillId="0" borderId="15" xfId="0" applyFont="1" applyFill="1" applyBorder="1" applyAlignment="1">
      <alignment horizontal="center" vertical="center" wrapText="1"/>
    </xf>
    <xf numFmtId="4" fontId="16" fillId="0" borderId="41" xfId="0" applyNumberFormat="1" applyFont="1" applyFill="1" applyBorder="1" applyAlignment="1">
      <alignment horizontal="right" vertical="center" wrapText="1"/>
    </xf>
    <xf numFmtId="0" fontId="3" fillId="0" borderId="0" xfId="0" applyFont="1" applyFill="1"/>
    <xf numFmtId="4" fontId="21" fillId="12" borderId="41" xfId="0" applyNumberFormat="1" applyFont="1" applyFill="1" applyBorder="1" applyAlignment="1">
      <alignment horizontal="right" vertical="center" wrapText="1"/>
    </xf>
    <xf numFmtId="4" fontId="22" fillId="0" borderId="41" xfId="0" applyNumberFormat="1" applyFont="1" applyFill="1" applyBorder="1" applyAlignment="1">
      <alignment horizontal="right" vertical="center" wrapText="1"/>
    </xf>
    <xf numFmtId="0" fontId="22" fillId="0" borderId="31" xfId="0" applyFont="1" applyFill="1" applyBorder="1" applyAlignment="1">
      <alignment horizontal="center" vertical="center" wrapText="1"/>
    </xf>
    <xf numFmtId="0" fontId="22" fillId="0" borderId="31" xfId="0" applyFont="1" applyFill="1" applyBorder="1" applyAlignment="1">
      <alignment horizontal="left" vertical="center" wrapText="1"/>
    </xf>
    <xf numFmtId="0" fontId="21" fillId="0" borderId="37" xfId="0" applyFont="1" applyFill="1" applyBorder="1" applyAlignment="1">
      <alignment horizontal="center" vertical="center" wrapText="1"/>
    </xf>
    <xf numFmtId="4" fontId="24" fillId="0" borderId="41" xfId="0" applyNumberFormat="1" applyFont="1" applyFill="1" applyBorder="1" applyAlignment="1">
      <alignment horizontal="right" vertical="center" wrapText="1"/>
    </xf>
    <xf numFmtId="0" fontId="19" fillId="0" borderId="30" xfId="0" applyFont="1" applyFill="1" applyBorder="1"/>
    <xf numFmtId="0" fontId="19" fillId="0" borderId="30" xfId="0" applyFont="1" applyFill="1" applyBorder="1" applyAlignment="1">
      <alignment horizontal="center"/>
    </xf>
    <xf numFmtId="4" fontId="21" fillId="13" borderId="41" xfId="0" applyNumberFormat="1" applyFont="1" applyFill="1" applyBorder="1" applyAlignment="1">
      <alignment horizontal="right" vertical="center" wrapText="1"/>
    </xf>
    <xf numFmtId="0" fontId="22" fillId="0" borderId="41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4" fontId="21" fillId="13" borderId="31" xfId="0" applyNumberFormat="1" applyFont="1" applyFill="1" applyBorder="1" applyAlignment="1">
      <alignment horizontal="right" vertical="center" wrapText="1"/>
    </xf>
    <xf numFmtId="2" fontId="21" fillId="0" borderId="31" xfId="0" applyNumberFormat="1" applyFont="1" applyFill="1" applyBorder="1" applyAlignment="1">
      <alignment horizontal="right" vertical="center" wrapText="1"/>
    </xf>
    <xf numFmtId="0" fontId="4" fillId="0" borderId="0" xfId="0" applyFont="1" applyFill="1"/>
    <xf numFmtId="2" fontId="22" fillId="0" borderId="31" xfId="0" applyNumberFormat="1" applyFont="1" applyFill="1" applyBorder="1" applyAlignment="1">
      <alignment horizontal="right" vertical="center" wrapText="1"/>
    </xf>
    <xf numFmtId="0" fontId="21" fillId="13" borderId="32" xfId="0" applyFont="1" applyFill="1" applyBorder="1" applyAlignment="1">
      <alignment horizontal="center" vertical="center" wrapText="1"/>
    </xf>
    <xf numFmtId="43" fontId="0" fillId="0" borderId="0" xfId="0" applyNumberFormat="1" applyFill="1"/>
    <xf numFmtId="4" fontId="0" fillId="0" borderId="0" xfId="0" applyNumberFormat="1" applyFill="1"/>
    <xf numFmtId="4" fontId="4" fillId="8" borderId="1" xfId="0" applyNumberFormat="1" applyFont="1" applyFill="1" applyBorder="1" applyAlignment="1">
      <alignment horizontal="center"/>
    </xf>
    <xf numFmtId="0" fontId="0" fillId="8" borderId="1" xfId="0" applyFill="1" applyBorder="1" applyAlignment="1">
      <alignment horizontal="left"/>
    </xf>
    <xf numFmtId="4" fontId="3" fillId="12" borderId="1" xfId="0" applyNumberFormat="1" applyFont="1" applyFill="1" applyBorder="1" applyAlignment="1">
      <alignment horizontal="center"/>
    </xf>
    <xf numFmtId="0" fontId="3" fillId="12" borderId="1" xfId="0" applyFont="1" applyFill="1" applyBorder="1"/>
    <xf numFmtId="43" fontId="3" fillId="13" borderId="1" xfId="0" applyNumberFormat="1" applyFont="1" applyFill="1" applyBorder="1" applyAlignment="1">
      <alignment horizontal="right"/>
    </xf>
    <xf numFmtId="0" fontId="3" fillId="13" borderId="1" xfId="0" applyFont="1" applyFill="1" applyBorder="1"/>
    <xf numFmtId="44" fontId="26" fillId="0" borderId="0" xfId="3" applyFont="1" applyFill="1"/>
    <xf numFmtId="4" fontId="0" fillId="13" borderId="9" xfId="0" applyNumberFormat="1" applyFill="1" applyBorder="1"/>
    <xf numFmtId="0" fontId="4" fillId="0" borderId="8" xfId="0" applyFont="1" applyFill="1" applyBorder="1"/>
    <xf numFmtId="0" fontId="0" fillId="0" borderId="0" xfId="0" applyFill="1" applyAlignment="1">
      <alignment horizontal="center"/>
    </xf>
    <xf numFmtId="0" fontId="27" fillId="3" borderId="0" xfId="0" applyFont="1" applyFill="1"/>
    <xf numFmtId="0" fontId="27" fillId="3" borderId="0" xfId="0" applyFont="1" applyFill="1" applyAlignment="1">
      <alignment horizontal="center"/>
    </xf>
    <xf numFmtId="4" fontId="0" fillId="3" borderId="0" xfId="0" applyNumberFormat="1" applyFill="1"/>
    <xf numFmtId="2" fontId="0" fillId="3" borderId="0" xfId="0" applyNumberFormat="1" applyFill="1"/>
    <xf numFmtId="0" fontId="0" fillId="3" borderId="0" xfId="0" applyFill="1" applyAlignment="1">
      <alignment horizontal="left"/>
    </xf>
    <xf numFmtId="0" fontId="4" fillId="0" borderId="0" xfId="0" applyFont="1" applyFill="1" applyAlignment="1">
      <alignment horizontal="left"/>
    </xf>
    <xf numFmtId="2" fontId="20" fillId="0" borderId="30" xfId="0" applyNumberFormat="1" applyFont="1" applyFill="1" applyBorder="1"/>
    <xf numFmtId="165" fontId="22" fillId="0" borderId="31" xfId="1" applyNumberFormat="1" applyFont="1" applyFill="1" applyBorder="1" applyAlignment="1">
      <alignment horizontal="center" vertical="center" wrapText="1"/>
    </xf>
    <xf numFmtId="166" fontId="22" fillId="0" borderId="31" xfId="1" applyNumberFormat="1" applyFont="1" applyFill="1" applyBorder="1" applyAlignment="1">
      <alignment horizontal="center" vertical="center" wrapText="1"/>
    </xf>
    <xf numFmtId="4" fontId="16" fillId="3" borderId="31" xfId="0" applyNumberFormat="1" applyFont="1" applyFill="1" applyBorder="1" applyAlignment="1">
      <alignment horizontal="right" vertical="center" wrapText="1"/>
    </xf>
    <xf numFmtId="4" fontId="23" fillId="13" borderId="30" xfId="0" applyNumberFormat="1" applyFont="1" applyFill="1" applyBorder="1"/>
    <xf numFmtId="43" fontId="23" fillId="12" borderId="31" xfId="1" applyFont="1" applyFill="1" applyBorder="1" applyAlignment="1">
      <alignment horizontal="right" vertical="center" wrapText="1"/>
    </xf>
    <xf numFmtId="4" fontId="20" fillId="0" borderId="30" xfId="0" applyNumberFormat="1" applyFont="1" applyFill="1" applyBorder="1"/>
    <xf numFmtId="43" fontId="22" fillId="0" borderId="31" xfId="1" applyFont="1" applyFill="1" applyBorder="1" applyAlignment="1">
      <alignment horizontal="right" vertical="center" wrapText="1"/>
    </xf>
    <xf numFmtId="43" fontId="20" fillId="0" borderId="31" xfId="1" applyFont="1" applyFill="1" applyBorder="1" applyAlignment="1">
      <alignment horizontal="right" vertical="center" wrapText="1"/>
    </xf>
    <xf numFmtId="0" fontId="20" fillId="0" borderId="31" xfId="4" applyFont="1" applyFill="1" applyBorder="1" applyAlignment="1">
      <alignment horizontal="center" vertical="center" wrapText="1"/>
    </xf>
    <xf numFmtId="0" fontId="20" fillId="0" borderId="31" xfId="4" applyFont="1" applyFill="1" applyBorder="1" applyAlignment="1">
      <alignment horizontal="left" vertical="center" wrapText="1"/>
    </xf>
    <xf numFmtId="0" fontId="23" fillId="0" borderId="37" xfId="4" applyFont="1" applyFill="1" applyBorder="1" applyAlignment="1">
      <alignment horizontal="center" vertical="center" wrapText="1"/>
    </xf>
    <xf numFmtId="10" fontId="0" fillId="3" borderId="0" xfId="0" applyNumberFormat="1" applyFill="1"/>
    <xf numFmtId="0" fontId="22" fillId="0" borderId="31" xfId="4" applyFont="1" applyFill="1" applyBorder="1" applyAlignment="1">
      <alignment horizontal="center" vertical="center" wrapText="1"/>
    </xf>
    <xf numFmtId="0" fontId="22" fillId="0" borderId="31" xfId="4" applyFont="1" applyFill="1" applyBorder="1" applyAlignment="1">
      <alignment horizontal="left" vertical="center" wrapText="1"/>
    </xf>
    <xf numFmtId="43" fontId="23" fillId="13" borderId="31" xfId="1" applyFont="1" applyFill="1" applyBorder="1" applyAlignment="1">
      <alignment horizontal="right" vertical="center" wrapText="1"/>
    </xf>
    <xf numFmtId="4" fontId="20" fillId="3" borderId="31" xfId="0" applyNumberFormat="1" applyFont="1" applyFill="1" applyBorder="1" applyAlignment="1">
      <alignment horizontal="center" vertical="center" wrapText="1"/>
    </xf>
    <xf numFmtId="2" fontId="20" fillId="3" borderId="31" xfId="0" applyNumberFormat="1" applyFont="1" applyFill="1" applyBorder="1" applyAlignment="1">
      <alignment horizontal="center" vertical="center" wrapText="1"/>
    </xf>
    <xf numFmtId="4" fontId="20" fillId="3" borderId="15" xfId="0" applyNumberFormat="1" applyFont="1" applyFill="1" applyBorder="1" applyAlignment="1">
      <alignment horizontal="center" vertical="center" wrapText="1"/>
    </xf>
    <xf numFmtId="2" fontId="20" fillId="3" borderId="15" xfId="0" applyNumberFormat="1" applyFont="1" applyFill="1" applyBorder="1" applyAlignment="1">
      <alignment horizontal="center" vertical="center" wrapText="1"/>
    </xf>
    <xf numFmtId="43" fontId="23" fillId="12" borderId="41" xfId="1" applyFont="1" applyFill="1" applyBorder="1" applyAlignment="1">
      <alignment horizontal="right" vertical="center" wrapText="1"/>
    </xf>
    <xf numFmtId="165" fontId="22" fillId="0" borderId="15" xfId="1" applyNumberFormat="1" applyFont="1" applyFill="1" applyBorder="1" applyAlignment="1">
      <alignment vertical="center" wrapText="1"/>
    </xf>
    <xf numFmtId="166" fontId="22" fillId="0" borderId="15" xfId="1" applyNumberFormat="1" applyFont="1" applyFill="1" applyBorder="1" applyAlignment="1">
      <alignment horizontal="center" vertical="center" wrapText="1"/>
    </xf>
    <xf numFmtId="165" fontId="22" fillId="0" borderId="31" xfId="1" applyNumberFormat="1" applyFont="1" applyFill="1" applyBorder="1" applyAlignment="1">
      <alignment vertical="center" wrapText="1"/>
    </xf>
    <xf numFmtId="43" fontId="20" fillId="0" borderId="41" xfId="1" applyFont="1" applyFill="1" applyBorder="1" applyAlignment="1">
      <alignment horizontal="right" vertical="center" wrapText="1"/>
    </xf>
    <xf numFmtId="4" fontId="20" fillId="3" borderId="41" xfId="0" applyNumberFormat="1" applyFont="1" applyFill="1" applyBorder="1" applyAlignment="1">
      <alignment horizontal="center" vertical="center" wrapText="1"/>
    </xf>
    <xf numFmtId="4" fontId="20" fillId="3" borderId="0" xfId="0" applyNumberFormat="1" applyFont="1" applyFill="1" applyBorder="1" applyAlignment="1">
      <alignment horizontal="center" vertical="center" wrapText="1"/>
    </xf>
    <xf numFmtId="4" fontId="27" fillId="3" borderId="0" xfId="0" applyNumberFormat="1" applyFont="1" applyFill="1" applyAlignment="1">
      <alignment horizontal="center"/>
    </xf>
    <xf numFmtId="0" fontId="3" fillId="3" borderId="0" xfId="0" applyFont="1" applyFill="1"/>
    <xf numFmtId="2" fontId="30" fillId="0" borderId="1" xfId="0" applyNumberFormat="1" applyFont="1" applyBorder="1"/>
    <xf numFmtId="2" fontId="30" fillId="0" borderId="6" xfId="0" applyNumberFormat="1" applyFont="1" applyBorder="1"/>
    <xf numFmtId="4" fontId="0" fillId="0" borderId="0" xfId="0" applyNumberFormat="1" applyFill="1" applyBorder="1"/>
    <xf numFmtId="4" fontId="0" fillId="0" borderId="0" xfId="0" applyNumberFormat="1" applyBorder="1"/>
    <xf numFmtId="4" fontId="0" fillId="0" borderId="1" xfId="0" applyNumberFormat="1" applyBorder="1"/>
    <xf numFmtId="4" fontId="0" fillId="0" borderId="1" xfId="0" applyNumberFormat="1" applyFill="1" applyBorder="1"/>
    <xf numFmtId="4" fontId="30" fillId="0" borderId="0" xfId="0" applyNumberFormat="1" applyFont="1" applyAlignment="1"/>
    <xf numFmtId="0" fontId="30" fillId="0" borderId="0" xfId="0" applyFont="1"/>
    <xf numFmtId="4" fontId="30" fillId="0" borderId="1" xfId="0" applyNumberFormat="1" applyFont="1" applyBorder="1" applyAlignment="1"/>
    <xf numFmtId="0" fontId="30" fillId="0" borderId="1" xfId="0" applyFont="1" applyBorder="1" applyAlignment="1">
      <alignment horizontal="center"/>
    </xf>
    <xf numFmtId="0" fontId="30" fillId="0" borderId="1" xfId="0" applyFont="1" applyBorder="1"/>
    <xf numFmtId="0" fontId="20" fillId="0" borderId="31" xfId="0" applyFont="1" applyFill="1" applyBorder="1" applyAlignment="1">
      <alignment horizontal="right" vertical="center" wrapText="1"/>
    </xf>
    <xf numFmtId="0" fontId="20" fillId="0" borderId="0" xfId="0" applyFont="1" applyFill="1" applyBorder="1" applyAlignment="1">
      <alignment horizontal="center" vertical="center" wrapText="1"/>
    </xf>
    <xf numFmtId="4" fontId="24" fillId="0" borderId="31" xfId="0" applyNumberFormat="1" applyFont="1" applyFill="1" applyBorder="1" applyAlignment="1">
      <alignment horizontal="right" vertical="center" wrapText="1"/>
    </xf>
    <xf numFmtId="4" fontId="24" fillId="2" borderId="31" xfId="0" applyNumberFormat="1" applyFont="1" applyFill="1" applyBorder="1" applyAlignment="1">
      <alignment horizontal="right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32" fillId="0" borderId="0" xfId="0" applyFont="1"/>
    <xf numFmtId="4" fontId="0" fillId="8" borderId="14" xfId="0" applyNumberFormat="1" applyFill="1" applyBorder="1"/>
    <xf numFmtId="0" fontId="0" fillId="8" borderId="13" xfId="0" applyFill="1" applyBorder="1"/>
    <xf numFmtId="4" fontId="0" fillId="0" borderId="3" xfId="0" applyNumberFormat="1" applyBorder="1"/>
    <xf numFmtId="4" fontId="0" fillId="0" borderId="9" xfId="0" applyNumberFormat="1" applyBorder="1"/>
    <xf numFmtId="0" fontId="0" fillId="0" borderId="10" xfId="0" applyBorder="1" applyAlignment="1">
      <alignment horizontal="center"/>
    </xf>
    <xf numFmtId="0" fontId="4" fillId="0" borderId="1" xfId="0" applyFont="1" applyBorder="1"/>
    <xf numFmtId="167" fontId="0" fillId="9" borderId="14" xfId="0" applyNumberFormat="1" applyFill="1" applyBorder="1"/>
    <xf numFmtId="0" fontId="0" fillId="9" borderId="13" xfId="0" applyFill="1" applyBorder="1" applyAlignment="1">
      <alignment horizontal="right"/>
    </xf>
    <xf numFmtId="0" fontId="0" fillId="9" borderId="3" xfId="0" applyFill="1" applyBorder="1"/>
    <xf numFmtId="17" fontId="0" fillId="9" borderId="2" xfId="0" applyNumberFormat="1" applyFill="1" applyBorder="1"/>
    <xf numFmtId="0" fontId="0" fillId="9" borderId="9" xfId="0" applyFill="1" applyBorder="1"/>
    <xf numFmtId="17" fontId="0" fillId="9" borderId="8" xfId="0" applyNumberFormat="1" applyFill="1" applyBorder="1"/>
    <xf numFmtId="4" fontId="4" fillId="12" borderId="0" xfId="0" applyNumberFormat="1" applyFont="1" applyFill="1" applyAlignment="1">
      <alignment horizontal="center"/>
    </xf>
    <xf numFmtId="0" fontId="3" fillId="12" borderId="0" xfId="0" applyNumberFormat="1" applyFont="1" applyFill="1" applyAlignment="1">
      <alignment wrapText="1"/>
    </xf>
    <xf numFmtId="4" fontId="0" fillId="5" borderId="20" xfId="0" applyNumberFormat="1" applyFill="1" applyBorder="1"/>
    <xf numFmtId="4" fontId="0" fillId="5" borderId="21" xfId="0" applyNumberFormat="1" applyFill="1" applyBorder="1"/>
    <xf numFmtId="43" fontId="0" fillId="0" borderId="21" xfId="0" applyNumberFormat="1" applyBorder="1"/>
    <xf numFmtId="0" fontId="0" fillId="0" borderId="23" xfId="0" applyBorder="1" applyAlignment="1">
      <alignment horizontal="center"/>
    </xf>
    <xf numFmtId="165" fontId="0" fillId="0" borderId="0" xfId="0" applyNumberFormat="1" applyBorder="1"/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0" fillId="8" borderId="27" xfId="0" applyFill="1" applyBorder="1"/>
    <xf numFmtId="0" fontId="0" fillId="0" borderId="20" xfId="0" applyBorder="1"/>
    <xf numFmtId="9" fontId="0" fillId="0" borderId="0" xfId="0" applyNumberFormat="1" applyBorder="1"/>
    <xf numFmtId="4" fontId="0" fillId="5" borderId="23" xfId="0" applyNumberFormat="1" applyFill="1" applyBorder="1"/>
    <xf numFmtId="4" fontId="0" fillId="5" borderId="0" xfId="0" applyNumberFormat="1" applyFill="1" applyBorder="1"/>
    <xf numFmtId="43" fontId="0" fillId="0" borderId="0" xfId="0" applyNumberFormat="1" applyFill="1" applyBorder="1"/>
    <xf numFmtId="0" fontId="0" fillId="0" borderId="24" xfId="0" applyFill="1" applyBorder="1"/>
    <xf numFmtId="43" fontId="0" fillId="0" borderId="0" xfId="0" applyNumberFormat="1" applyBorder="1"/>
    <xf numFmtId="0" fontId="3" fillId="0" borderId="2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25" xfId="0" applyBorder="1"/>
    <xf numFmtId="167" fontId="0" fillId="0" borderId="0" xfId="0" applyNumberFormat="1" applyFill="1" applyBorder="1"/>
    <xf numFmtId="0" fontId="0" fillId="0" borderId="0" xfId="0" applyFill="1" applyBorder="1" applyAlignment="1">
      <alignment horizontal="right"/>
    </xf>
    <xf numFmtId="17" fontId="0" fillId="0" borderId="0" xfId="0" applyNumberFormat="1" applyFill="1" applyBorder="1"/>
    <xf numFmtId="0" fontId="4" fillId="0" borderId="0" xfId="0" applyFont="1" applyFill="1" applyBorder="1"/>
    <xf numFmtId="4" fontId="4" fillId="0" borderId="0" xfId="0" applyNumberFormat="1" applyFont="1" applyFill="1" applyBorder="1" applyAlignment="1">
      <alignment horizontal="center"/>
    </xf>
    <xf numFmtId="3" fontId="0" fillId="0" borderId="0" xfId="0" applyNumberFormat="1" applyBorder="1"/>
    <xf numFmtId="3" fontId="0" fillId="0" borderId="0" xfId="0" applyNumberFormat="1" applyFill="1" applyBorder="1"/>
    <xf numFmtId="0" fontId="0" fillId="3" borderId="0" xfId="0" applyFill="1" applyBorder="1"/>
    <xf numFmtId="2" fontId="0" fillId="0" borderId="0" xfId="0" applyNumberFormat="1" applyFill="1" applyBorder="1"/>
    <xf numFmtId="0" fontId="0" fillId="0" borderId="0" xfId="0" applyFont="1" applyFill="1" applyBorder="1"/>
    <xf numFmtId="4" fontId="0" fillId="0" borderId="0" xfId="0" applyNumberFormat="1" applyFont="1" applyFill="1" applyBorder="1"/>
    <xf numFmtId="9" fontId="3" fillId="0" borderId="0" xfId="0" applyNumberFormat="1" applyFont="1" applyFill="1" applyBorder="1"/>
    <xf numFmtId="0" fontId="4" fillId="3" borderId="0" xfId="0" applyFont="1" applyFill="1" applyBorder="1"/>
    <xf numFmtId="0" fontId="1" fillId="0" borderId="0" xfId="5" applyFill="1" applyBorder="1"/>
    <xf numFmtId="0" fontId="0" fillId="0" borderId="0" xfId="0" applyFill="1" applyBorder="1" applyAlignment="1">
      <alignment horizontal="center"/>
    </xf>
    <xf numFmtId="165" fontId="0" fillId="0" borderId="0" xfId="0" applyNumberFormat="1" applyFill="1" applyBorder="1"/>
    <xf numFmtId="9" fontId="0" fillId="0" borderId="0" xfId="0" applyNumberFormat="1" applyFill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41" fontId="0" fillId="0" borderId="0" xfId="0" applyNumberFormat="1" applyFill="1" applyBorder="1"/>
    <xf numFmtId="4" fontId="0" fillId="0" borderId="7" xfId="0" applyNumberFormat="1" applyBorder="1"/>
    <xf numFmtId="0" fontId="0" fillId="9" borderId="14" xfId="0" applyFill="1" applyBorder="1"/>
    <xf numFmtId="4" fontId="0" fillId="5" borderId="0" xfId="0" applyNumberFormat="1" applyFill="1"/>
    <xf numFmtId="0" fontId="3" fillId="0" borderId="0" xfId="0" applyFont="1" applyAlignment="1">
      <alignment horizontal="center"/>
    </xf>
    <xf numFmtId="0" fontId="4" fillId="3" borderId="0" xfId="0" applyFont="1" applyFill="1"/>
    <xf numFmtId="0" fontId="27" fillId="0" borderId="0" xfId="0" applyFont="1"/>
    <xf numFmtId="43" fontId="27" fillId="0" borderId="1" xfId="0" applyNumberFormat="1" applyFont="1" applyBorder="1"/>
    <xf numFmtId="0" fontId="27" fillId="0" borderId="1" xfId="0" applyFont="1" applyBorder="1"/>
    <xf numFmtId="43" fontId="0" fillId="0" borderId="1" xfId="0" applyNumberFormat="1" applyFont="1" applyBorder="1"/>
    <xf numFmtId="14" fontId="0" fillId="0" borderId="1" xfId="0" applyNumberFormat="1" applyFont="1" applyBorder="1"/>
    <xf numFmtId="49" fontId="33" fillId="0" borderId="5" xfId="0" applyNumberFormat="1" applyFont="1" applyBorder="1" applyAlignment="1">
      <alignment horizontal="left"/>
    </xf>
    <xf numFmtId="0" fontId="33" fillId="0" borderId="1" xfId="0" applyFont="1" applyBorder="1" applyAlignment="1">
      <alignment horizontal="left" vertical="center"/>
    </xf>
    <xf numFmtId="0" fontId="33" fillId="0" borderId="5" xfId="0" applyFont="1" applyBorder="1" applyAlignment="1">
      <alignment horizontal="left" vertical="center"/>
    </xf>
    <xf numFmtId="0" fontId="33" fillId="0" borderId="1" xfId="0" applyFont="1" applyBorder="1" applyAlignment="1">
      <alignment horizontal="left" vertical="center" wrapText="1"/>
    </xf>
    <xf numFmtId="0" fontId="33" fillId="0" borderId="1" xfId="0" applyFont="1" applyFill="1" applyBorder="1" applyAlignment="1">
      <alignment horizontal="left"/>
    </xf>
    <xf numFmtId="4" fontId="23" fillId="0" borderId="50" xfId="6" applyNumberFormat="1" applyFont="1" applyBorder="1" applyAlignment="1">
      <alignment horizontal="right" vertical="center"/>
    </xf>
    <xf numFmtId="0" fontId="23" fillId="15" borderId="50" xfId="6" applyFont="1" applyFill="1" applyBorder="1" applyAlignment="1">
      <alignment horizontal="right" vertical="center"/>
    </xf>
    <xf numFmtId="4" fontId="20" fillId="0" borderId="12" xfId="6" applyNumberFormat="1" applyFont="1" applyBorder="1" applyAlignment="1">
      <alignment horizontal="right" vertical="center"/>
    </xf>
    <xf numFmtId="4" fontId="34" fillId="0" borderId="12" xfId="6" applyNumberFormat="1" applyFont="1" applyBorder="1" applyAlignment="1">
      <alignment horizontal="right" vertical="center"/>
    </xf>
    <xf numFmtId="1" fontId="34" fillId="0" borderId="12" xfId="6" applyNumberFormat="1" applyFont="1" applyBorder="1" applyAlignment="1">
      <alignment horizontal="center" vertical="center"/>
    </xf>
    <xf numFmtId="39" fontId="35" fillId="0" borderId="12" xfId="0" applyNumberFormat="1" applyFont="1" applyBorder="1" applyAlignment="1" applyProtection="1">
      <alignment horizontal="center" vertical="center"/>
      <protection locked="0"/>
    </xf>
    <xf numFmtId="49" fontId="34" fillId="0" borderId="12" xfId="6" applyNumberFormat="1" applyFont="1" applyBorder="1" applyAlignment="1">
      <alignment horizontal="left" vertical="center"/>
    </xf>
    <xf numFmtId="49" fontId="34" fillId="0" borderId="54" xfId="6" applyNumberFormat="1" applyFont="1" applyBorder="1" applyAlignment="1">
      <alignment horizontal="left" vertical="center"/>
    </xf>
    <xf numFmtId="4" fontId="20" fillId="0" borderId="55" xfId="6" applyNumberFormat="1" applyFont="1" applyBorder="1" applyAlignment="1">
      <alignment horizontal="right" vertical="center"/>
    </xf>
    <xf numFmtId="1" fontId="20" fillId="0" borderId="55" xfId="6" applyNumberFormat="1" applyFont="1" applyBorder="1" applyAlignment="1">
      <alignment horizontal="center" vertical="center"/>
    </xf>
    <xf numFmtId="39" fontId="20" fillId="0" borderId="55" xfId="0" applyNumberFormat="1" applyFont="1" applyBorder="1" applyAlignment="1" applyProtection="1">
      <alignment horizontal="center" vertical="center"/>
      <protection locked="0"/>
    </xf>
    <xf numFmtId="4" fontId="20" fillId="0" borderId="1" xfId="6" applyNumberFormat="1" applyFont="1" applyBorder="1" applyAlignment="1">
      <alignment horizontal="right" vertical="center"/>
    </xf>
    <xf numFmtId="49" fontId="20" fillId="0" borderId="58" xfId="6" applyNumberFormat="1" applyFont="1" applyBorder="1" applyAlignment="1">
      <alignment horizontal="left" vertical="center"/>
    </xf>
    <xf numFmtId="49" fontId="20" fillId="0" borderId="57" xfId="6" applyNumberFormat="1" applyFont="1" applyBorder="1" applyAlignment="1">
      <alignment horizontal="left" vertical="center" wrapText="1"/>
    </xf>
    <xf numFmtId="1" fontId="20" fillId="0" borderId="1" xfId="6" applyNumberFormat="1" applyFont="1" applyBorder="1" applyAlignment="1">
      <alignment horizontal="center" vertical="center"/>
    </xf>
    <xf numFmtId="39" fontId="20" fillId="0" borderId="60" xfId="0" applyNumberFormat="1" applyFont="1" applyBorder="1" applyAlignment="1" applyProtection="1">
      <alignment horizontal="center" vertical="center"/>
      <protection locked="0"/>
    </xf>
    <xf numFmtId="39" fontId="20" fillId="0" borderId="1" xfId="0" applyNumberFormat="1" applyFont="1" applyBorder="1" applyAlignment="1" applyProtection="1">
      <alignment horizontal="center" vertical="center"/>
      <protection locked="0"/>
    </xf>
    <xf numFmtId="4" fontId="20" fillId="16" borderId="66" xfId="6" applyNumberFormat="1" applyFont="1" applyFill="1" applyBorder="1" applyAlignment="1">
      <alignment horizontal="right" vertical="center"/>
    </xf>
    <xf numFmtId="4" fontId="34" fillId="16" borderId="66" xfId="6" applyNumberFormat="1" applyFont="1" applyFill="1" applyBorder="1" applyAlignment="1">
      <alignment horizontal="right" vertical="center"/>
    </xf>
    <xf numFmtId="1" fontId="20" fillId="16" borderId="66" xfId="6" applyNumberFormat="1" applyFont="1" applyFill="1" applyBorder="1" applyAlignment="1">
      <alignment horizontal="center" vertical="center"/>
    </xf>
    <xf numFmtId="39" fontId="20" fillId="16" borderId="66" xfId="0" applyNumberFormat="1" applyFont="1" applyFill="1" applyBorder="1" applyAlignment="1" applyProtection="1">
      <alignment horizontal="center" vertical="center"/>
      <protection locked="0"/>
    </xf>
    <xf numFmtId="49" fontId="20" fillId="16" borderId="66" xfId="6" applyNumberFormat="1" applyFont="1" applyFill="1" applyBorder="1" applyAlignment="1">
      <alignment horizontal="left" vertical="center"/>
    </xf>
    <xf numFmtId="49" fontId="20" fillId="16" borderId="67" xfId="6" applyNumberFormat="1" applyFont="1" applyFill="1" applyBorder="1" applyAlignment="1">
      <alignment horizontal="left" vertical="center"/>
    </xf>
    <xf numFmtId="4" fontId="23" fillId="0" borderId="68" xfId="6" applyNumberFormat="1" applyFont="1" applyBorder="1" applyAlignment="1">
      <alignment horizontal="right" vertical="center"/>
    </xf>
    <xf numFmtId="0" fontId="23" fillId="15" borderId="68" xfId="6" applyFont="1" applyFill="1" applyBorder="1" applyAlignment="1">
      <alignment horizontal="right" vertical="center"/>
    </xf>
    <xf numFmtId="4" fontId="20" fillId="0" borderId="71" xfId="6" applyNumberFormat="1" applyFont="1" applyBorder="1" applyAlignment="1">
      <alignment horizontal="right" vertical="center"/>
    </xf>
    <xf numFmtId="1" fontId="20" fillId="0" borderId="71" xfId="6" applyNumberFormat="1" applyFont="1" applyBorder="1" applyAlignment="1">
      <alignment horizontal="center" vertical="center"/>
    </xf>
    <xf numFmtId="39" fontId="35" fillId="0" borderId="71" xfId="0" applyNumberFormat="1" applyFont="1" applyBorder="1" applyAlignment="1" applyProtection="1">
      <alignment horizontal="center" vertical="center"/>
      <protection locked="0"/>
    </xf>
    <xf numFmtId="4" fontId="20" fillId="0" borderId="75" xfId="6" applyNumberFormat="1" applyFont="1" applyBorder="1" applyAlignment="1">
      <alignment horizontal="right" vertical="center"/>
    </xf>
    <xf numFmtId="1" fontId="20" fillId="0" borderId="75" xfId="6" applyNumberFormat="1" applyFont="1" applyBorder="1" applyAlignment="1">
      <alignment horizontal="center" vertical="center"/>
    </xf>
    <xf numFmtId="39" fontId="20" fillId="0" borderId="75" xfId="0" applyNumberFormat="1" applyFont="1" applyBorder="1" applyAlignment="1" applyProtection="1">
      <alignment horizontal="center" vertical="center"/>
      <protection locked="0"/>
    </xf>
    <xf numFmtId="4" fontId="20" fillId="0" borderId="60" xfId="6" applyNumberFormat="1" applyFont="1" applyBorder="1" applyAlignment="1">
      <alignment horizontal="right" vertical="center"/>
    </xf>
    <xf numFmtId="1" fontId="20" fillId="0" borderId="60" xfId="6" applyNumberFormat="1" applyFont="1" applyBorder="1" applyAlignment="1">
      <alignment horizontal="center" vertical="center"/>
    </xf>
    <xf numFmtId="49" fontId="20" fillId="0" borderId="56" xfId="6" applyNumberFormat="1" applyFont="1" applyBorder="1" applyAlignment="1">
      <alignment horizontal="left" vertical="center"/>
    </xf>
    <xf numFmtId="49" fontId="20" fillId="0" borderId="57" xfId="6" applyNumberFormat="1" applyFont="1" applyBorder="1" applyAlignment="1">
      <alignment horizontal="left" vertical="center"/>
    </xf>
    <xf numFmtId="49" fontId="20" fillId="0" borderId="78" xfId="6" applyNumberFormat="1" applyFont="1" applyBorder="1" applyAlignment="1">
      <alignment horizontal="left" vertical="center"/>
    </xf>
    <xf numFmtId="39" fontId="35" fillId="0" borderId="60" xfId="0" applyNumberFormat="1" applyFont="1" applyBorder="1" applyAlignment="1" applyProtection="1">
      <alignment horizontal="center" vertical="center"/>
      <protection locked="0"/>
    </xf>
    <xf numFmtId="4" fontId="20" fillId="0" borderId="60" xfId="6" applyNumberFormat="1" applyFont="1" applyFill="1" applyBorder="1" applyAlignment="1">
      <alignment horizontal="right" vertical="center"/>
    </xf>
    <xf numFmtId="4" fontId="23" fillId="0" borderId="80" xfId="6" applyNumberFormat="1" applyFont="1" applyBorder="1" applyAlignment="1">
      <alignment horizontal="right" vertical="center"/>
    </xf>
    <xf numFmtId="0" fontId="23" fillId="15" borderId="80" xfId="6" applyFont="1" applyFill="1" applyBorder="1" applyAlignment="1">
      <alignment horizontal="right" vertical="center"/>
    </xf>
    <xf numFmtId="39" fontId="35" fillId="0" borderId="75" xfId="0" applyNumberFormat="1" applyFont="1" applyBorder="1" applyAlignment="1" applyProtection="1">
      <alignment horizontal="center" vertical="center"/>
      <protection locked="0"/>
    </xf>
    <xf numFmtId="1" fontId="20" fillId="0" borderId="56" xfId="0" applyNumberFormat="1" applyFont="1" applyBorder="1" applyAlignment="1">
      <alignment horizontal="center" vertical="center"/>
    </xf>
    <xf numFmtId="3" fontId="20" fillId="0" borderId="60" xfId="0" applyNumberFormat="1" applyFont="1" applyBorder="1" applyAlignment="1" applyProtection="1">
      <alignment horizontal="center" vertical="center"/>
      <protection locked="0"/>
    </xf>
    <xf numFmtId="1" fontId="20" fillId="0" borderId="83" xfId="0" applyNumberFormat="1" applyFont="1" applyBorder="1" applyAlignment="1">
      <alignment horizontal="center" vertical="center"/>
    </xf>
    <xf numFmtId="3" fontId="20" fillId="0" borderId="55" xfId="0" applyNumberFormat="1" applyFont="1" applyBorder="1" applyAlignment="1" applyProtection="1">
      <alignment horizontal="center" vertical="center"/>
      <protection locked="0"/>
    </xf>
    <xf numFmtId="49" fontId="20" fillId="0" borderId="76" xfId="6" applyNumberFormat="1" applyFont="1" applyBorder="1" applyAlignment="1">
      <alignment horizontal="left" vertical="center"/>
    </xf>
    <xf numFmtId="49" fontId="20" fillId="0" borderId="61" xfId="6" applyNumberFormat="1" applyFont="1" applyBorder="1" applyAlignment="1">
      <alignment horizontal="left" vertical="center"/>
    </xf>
    <xf numFmtId="49" fontId="20" fillId="0" borderId="77" xfId="6" applyNumberFormat="1" applyFont="1" applyBorder="1" applyAlignment="1">
      <alignment horizontal="left" vertical="center"/>
    </xf>
    <xf numFmtId="4" fontId="20" fillId="17" borderId="60" xfId="6" applyNumberFormat="1" applyFont="1" applyFill="1" applyBorder="1" applyAlignment="1">
      <alignment horizontal="right" vertical="center"/>
    </xf>
    <xf numFmtId="49" fontId="34" fillId="0" borderId="57" xfId="6" applyNumberFormat="1" applyFont="1" applyBorder="1" applyAlignment="1">
      <alignment horizontal="left" vertical="center"/>
    </xf>
    <xf numFmtId="4" fontId="20" fillId="0" borderId="78" xfId="6" applyNumberFormat="1" applyFont="1" applyBorder="1" applyAlignment="1">
      <alignment horizontal="right" vertical="center"/>
    </xf>
    <xf numFmtId="0" fontId="20" fillId="16" borderId="55" xfId="6" applyFont="1" applyFill="1" applyBorder="1" applyAlignment="1">
      <alignment horizontal="center" vertical="center" wrapText="1"/>
    </xf>
    <xf numFmtId="0" fontId="20" fillId="0" borderId="55" xfId="6" applyFont="1" applyBorder="1" applyAlignment="1">
      <alignment horizontal="center" vertical="center" wrapText="1"/>
    </xf>
    <xf numFmtId="0" fontId="20" fillId="0" borderId="56" xfId="6" applyFont="1" applyBorder="1" applyAlignment="1">
      <alignment horizontal="center" vertical="center"/>
    </xf>
    <xf numFmtId="0" fontId="20" fillId="0" borderId="60" xfId="6" applyFont="1" applyBorder="1" applyAlignment="1">
      <alignment horizontal="center" vertical="center"/>
    </xf>
    <xf numFmtId="0" fontId="36" fillId="0" borderId="56" xfId="6" applyFont="1" applyBorder="1" applyAlignment="1">
      <alignment horizontal="center" vertical="center"/>
    </xf>
    <xf numFmtId="0" fontId="36" fillId="0" borderId="60" xfId="6" applyFont="1" applyBorder="1" applyAlignment="1">
      <alignment horizontal="center" vertical="center"/>
    </xf>
    <xf numFmtId="0" fontId="23" fillId="0" borderId="55" xfId="6" applyFont="1" applyBorder="1" applyAlignment="1">
      <alignment horizontal="center" vertical="center" wrapText="1"/>
    </xf>
    <xf numFmtId="4" fontId="23" fillId="17" borderId="60" xfId="6" applyNumberFormat="1" applyFont="1" applyFill="1" applyBorder="1" applyAlignment="1">
      <alignment horizontal="right" vertical="center"/>
    </xf>
    <xf numFmtId="4" fontId="20" fillId="0" borderId="60" xfId="7" applyNumberFormat="1" applyFont="1" applyBorder="1" applyAlignment="1">
      <alignment horizontal="right" vertical="center"/>
    </xf>
    <xf numFmtId="4" fontId="37" fillId="0" borderId="60" xfId="0" applyNumberFormat="1" applyFont="1" applyBorder="1" applyAlignment="1" applyProtection="1">
      <protection locked="0"/>
    </xf>
    <xf numFmtId="0" fontId="37" fillId="0" borderId="60" xfId="0" applyFont="1" applyBorder="1" applyAlignment="1">
      <alignment horizontal="center"/>
    </xf>
    <xf numFmtId="0" fontId="2" fillId="0" borderId="22" xfId="0" applyFont="1" applyBorder="1"/>
    <xf numFmtId="44" fontId="2" fillId="0" borderId="20" xfId="0" applyNumberFormat="1" applyFont="1" applyBorder="1"/>
    <xf numFmtId="43" fontId="2" fillId="0" borderId="5" xfId="0" applyNumberFormat="1" applyFont="1" applyBorder="1"/>
    <xf numFmtId="43" fontId="0" fillId="0" borderId="5" xfId="1" applyFont="1" applyBorder="1"/>
    <xf numFmtId="10" fontId="0" fillId="0" borderId="1" xfId="0" applyNumberFormat="1" applyBorder="1"/>
    <xf numFmtId="40" fontId="0" fillId="10" borderId="5" xfId="1" applyNumberFormat="1" applyFont="1" applyFill="1" applyBorder="1"/>
    <xf numFmtId="43" fontId="0" fillId="2" borderId="5" xfId="1" applyFont="1" applyFill="1" applyBorder="1"/>
    <xf numFmtId="0" fontId="2" fillId="2" borderId="1" xfId="0" applyFont="1" applyFill="1" applyBorder="1"/>
    <xf numFmtId="43" fontId="2" fillId="2" borderId="1" xfId="1" applyFont="1" applyFill="1" applyBorder="1"/>
    <xf numFmtId="43" fontId="0" fillId="11" borderId="1" xfId="0" applyNumberFormat="1" applyFill="1" applyBorder="1"/>
    <xf numFmtId="0" fontId="0" fillId="11" borderId="1" xfId="0" applyFill="1" applyBorder="1"/>
    <xf numFmtId="40" fontId="0" fillId="10" borderId="1" xfId="0" applyNumberFormat="1" applyFill="1" applyBorder="1"/>
    <xf numFmtId="10" fontId="0" fillId="11" borderId="1" xfId="0" applyNumberFormat="1" applyFill="1" applyBorder="1"/>
    <xf numFmtId="0" fontId="0" fillId="2" borderId="1" xfId="0" applyFill="1" applyBorder="1"/>
    <xf numFmtId="10" fontId="0" fillId="2" borderId="1" xfId="0" applyNumberFormat="1" applyFill="1" applyBorder="1"/>
    <xf numFmtId="43" fontId="0" fillId="3" borderId="5" xfId="1" applyFont="1" applyFill="1" applyBorder="1"/>
    <xf numFmtId="0" fontId="2" fillId="19" borderId="1" xfId="0" applyFont="1" applyFill="1" applyBorder="1" applyAlignment="1">
      <alignment horizontal="center"/>
    </xf>
    <xf numFmtId="44" fontId="0" fillId="0" borderId="1" xfId="0" applyNumberFormat="1" applyBorder="1"/>
    <xf numFmtId="10" fontId="0" fillId="0" borderId="1" xfId="0" applyNumberFormat="1" applyBorder="1" applyAlignment="1">
      <alignment horizontal="center"/>
    </xf>
    <xf numFmtId="0" fontId="0" fillId="0" borderId="1" xfId="0" applyFill="1" applyBorder="1"/>
    <xf numFmtId="0" fontId="2" fillId="19" borderId="1" xfId="0" applyFont="1" applyFill="1" applyBorder="1"/>
    <xf numFmtId="44" fontId="2" fillId="19" borderId="1" xfId="0" applyNumberFormat="1" applyFont="1" applyFill="1" applyBorder="1"/>
    <xf numFmtId="10" fontId="2" fillId="19" borderId="1" xfId="0" applyNumberFormat="1" applyFont="1" applyFill="1" applyBorder="1" applyAlignment="1">
      <alignment horizontal="center"/>
    </xf>
    <xf numFmtId="2" fontId="2" fillId="19" borderId="1" xfId="0" applyNumberFormat="1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2" fillId="1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1" fillId="20" borderId="12" xfId="0" applyFont="1" applyFill="1" applyBorder="1" applyAlignment="1">
      <alignment horizontal="left" vertical="center"/>
    </xf>
    <xf numFmtId="0" fontId="41" fillId="20" borderId="12" xfId="0" applyFont="1" applyFill="1" applyBorder="1" applyAlignment="1">
      <alignment vertical="center"/>
    </xf>
    <xf numFmtId="43" fontId="41" fillId="20" borderId="6" xfId="0" applyNumberFormat="1" applyFont="1" applyFill="1" applyBorder="1" applyAlignment="1">
      <alignment vertical="center"/>
    </xf>
    <xf numFmtId="0" fontId="0" fillId="0" borderId="1" xfId="0" applyFont="1" applyBorder="1" applyAlignment="1">
      <alignment horizontal="left"/>
    </xf>
    <xf numFmtId="49" fontId="33" fillId="0" borderId="1" xfId="0" applyNumberFormat="1" applyFont="1" applyFill="1" applyBorder="1" applyAlignment="1">
      <alignment horizontal="left" wrapText="1"/>
    </xf>
    <xf numFmtId="49" fontId="33" fillId="0" borderId="84" xfId="0" applyNumberFormat="1" applyFont="1" applyBorder="1" applyAlignment="1">
      <alignment horizontal="left" wrapText="1"/>
    </xf>
    <xf numFmtId="49" fontId="33" fillId="0" borderId="1" xfId="0" applyNumberFormat="1" applyFont="1" applyBorder="1" applyAlignment="1">
      <alignment horizontal="left" wrapText="1"/>
    </xf>
    <xf numFmtId="49" fontId="33" fillId="0" borderId="1" xfId="0" applyNumberFormat="1" applyFont="1" applyBorder="1" applyAlignment="1">
      <alignment horizontal="left"/>
    </xf>
    <xf numFmtId="0" fontId="33" fillId="0" borderId="85" xfId="0" applyFont="1" applyBorder="1" applyAlignment="1">
      <alignment horizontal="left" vertical="center" wrapText="1"/>
    </xf>
    <xf numFmtId="0" fontId="33" fillId="0" borderId="86" xfId="0" applyFont="1" applyBorder="1" applyAlignment="1">
      <alignment horizontal="left" vertical="center"/>
    </xf>
    <xf numFmtId="14" fontId="20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 vertical="center" wrapText="1"/>
    </xf>
    <xf numFmtId="169" fontId="0" fillId="0" borderId="0" xfId="0" applyNumberFormat="1"/>
    <xf numFmtId="0" fontId="0" fillId="0" borderId="0" xfId="0" applyAlignment="1"/>
    <xf numFmtId="0" fontId="2" fillId="6" borderId="87" xfId="0" applyFont="1" applyFill="1" applyBorder="1"/>
    <xf numFmtId="44" fontId="2" fillId="6" borderId="29" xfId="0" applyNumberFormat="1" applyFont="1" applyFill="1" applyBorder="1"/>
    <xf numFmtId="0" fontId="2" fillId="6" borderId="29" xfId="0" applyFont="1" applyFill="1" applyBorder="1"/>
    <xf numFmtId="0" fontId="0" fillId="6" borderId="27" xfId="0" applyFill="1" applyBorder="1"/>
    <xf numFmtId="0" fontId="0" fillId="6" borderId="26" xfId="0" applyFill="1" applyBorder="1"/>
    <xf numFmtId="0" fontId="13" fillId="6" borderId="25" xfId="0" applyFont="1" applyFill="1" applyBorder="1" applyAlignment="1">
      <alignment horizontal="center"/>
    </xf>
    <xf numFmtId="0" fontId="0" fillId="6" borderId="22" xfId="0" applyFill="1" applyBorder="1"/>
    <xf numFmtId="0" fontId="0" fillId="6" borderId="21" xfId="0" applyFill="1" applyBorder="1"/>
    <xf numFmtId="44" fontId="12" fillId="6" borderId="20" xfId="0" applyNumberFormat="1" applyFont="1" applyFill="1" applyBorder="1"/>
    <xf numFmtId="8" fontId="9" fillId="6" borderId="28" xfId="0" applyNumberFormat="1" applyFont="1" applyFill="1" applyBorder="1" applyAlignment="1">
      <alignment horizontal="right" vertical="center" wrapText="1"/>
    </xf>
    <xf numFmtId="0" fontId="42" fillId="0" borderId="0" xfId="0" applyFont="1"/>
    <xf numFmtId="3" fontId="43" fillId="0" borderId="1" xfId="0" applyNumberFormat="1" applyFont="1" applyBorder="1"/>
    <xf numFmtId="0" fontId="42" fillId="0" borderId="1" xfId="0" applyFont="1" applyBorder="1" applyAlignment="1">
      <alignment horizontal="right"/>
    </xf>
    <xf numFmtId="3" fontId="27" fillId="0" borderId="1" xfId="0" applyNumberFormat="1" applyFont="1" applyBorder="1"/>
    <xf numFmtId="3" fontId="27" fillId="0" borderId="1" xfId="0" applyNumberFormat="1" applyFont="1" applyFill="1" applyBorder="1"/>
    <xf numFmtId="9" fontId="27" fillId="0" borderId="1" xfId="0" applyNumberFormat="1" applyFont="1" applyFill="1" applyBorder="1"/>
    <xf numFmtId="0" fontId="27" fillId="0" borderId="1" xfId="0" applyFont="1" applyFill="1" applyBorder="1" applyAlignment="1">
      <alignment horizontal="center"/>
    </xf>
    <xf numFmtId="0" fontId="27" fillId="0" borderId="1" xfId="0" applyFont="1" applyFill="1" applyBorder="1"/>
    <xf numFmtId="9" fontId="27" fillId="0" borderId="1" xfId="0" applyNumberFormat="1" applyFont="1" applyBorder="1"/>
    <xf numFmtId="0" fontId="27" fillId="0" borderId="1" xfId="0" applyFont="1" applyBorder="1" applyAlignment="1">
      <alignment horizontal="center"/>
    </xf>
    <xf numFmtId="3" fontId="27" fillId="21" borderId="1" xfId="0" applyNumberFormat="1" applyFont="1" applyFill="1" applyBorder="1"/>
    <xf numFmtId="0" fontId="27" fillId="21" borderId="1" xfId="0" applyFont="1" applyFill="1" applyBorder="1"/>
    <xf numFmtId="9" fontId="27" fillId="5" borderId="1" xfId="0" applyNumberFormat="1" applyFont="1" applyFill="1" applyBorder="1"/>
    <xf numFmtId="0" fontId="27" fillId="5" borderId="1" xfId="0" applyFont="1" applyFill="1" applyBorder="1" applyAlignment="1">
      <alignment horizontal="center"/>
    </xf>
    <xf numFmtId="4" fontId="42" fillId="21" borderId="1" xfId="0" applyNumberFormat="1" applyFont="1" applyFill="1" applyBorder="1" applyAlignment="1">
      <alignment vertical="center"/>
    </xf>
    <xf numFmtId="0" fontId="44" fillId="0" borderId="1" xfId="0" applyFont="1" applyBorder="1" applyAlignment="1">
      <alignment horizontal="center"/>
    </xf>
    <xf numFmtId="10" fontId="45" fillId="21" borderId="1" xfId="2" applyNumberFormat="1" applyFont="1" applyFill="1" applyBorder="1" applyAlignment="1">
      <alignment horizontal="left"/>
    </xf>
    <xf numFmtId="0" fontId="43" fillId="0" borderId="1" xfId="0" applyFont="1" applyBorder="1" applyAlignment="1">
      <alignment horizontal="right"/>
    </xf>
    <xf numFmtId="4" fontId="0" fillId="0" borderId="89" xfId="0" applyNumberFormat="1" applyBorder="1" applyAlignment="1">
      <alignment vertical="center"/>
    </xf>
    <xf numFmtId="0" fontId="0" fillId="0" borderId="90" xfId="0" applyBorder="1" applyAlignment="1">
      <alignment horizontal="center"/>
    </xf>
    <xf numFmtId="0" fontId="0" fillId="0" borderId="90" xfId="0" applyBorder="1"/>
    <xf numFmtId="0" fontId="0" fillId="0" borderId="91" xfId="0" applyBorder="1" applyAlignment="1">
      <alignment vertical="center"/>
    </xf>
    <xf numFmtId="0" fontId="2" fillId="0" borderId="92" xfId="0" applyFont="1" applyBorder="1" applyAlignment="1">
      <alignment horizontal="center"/>
    </xf>
    <xf numFmtId="0" fontId="2" fillId="0" borderId="93" xfId="0" applyFont="1" applyBorder="1" applyAlignment="1">
      <alignment horizontal="center"/>
    </xf>
    <xf numFmtId="0" fontId="2" fillId="0" borderId="94" xfId="0" applyFont="1" applyBorder="1" applyAlignment="1">
      <alignment horizontal="center"/>
    </xf>
    <xf numFmtId="0" fontId="0" fillId="0" borderId="96" xfId="0" applyBorder="1" applyAlignment="1">
      <alignment horizontal="center"/>
    </xf>
    <xf numFmtId="0" fontId="0" fillId="0" borderId="96" xfId="0" applyBorder="1"/>
    <xf numFmtId="0" fontId="0" fillId="0" borderId="98" xfId="0" applyBorder="1" applyAlignment="1">
      <alignment horizontal="center"/>
    </xf>
    <xf numFmtId="0" fontId="0" fillId="0" borderId="98" xfId="0" applyBorder="1"/>
    <xf numFmtId="4" fontId="0" fillId="0" borderId="29" xfId="0" applyNumberFormat="1" applyBorder="1" applyAlignment="1">
      <alignment vertical="center"/>
    </xf>
    <xf numFmtId="0" fontId="0" fillId="0" borderId="29" xfId="0" applyBorder="1" applyAlignment="1">
      <alignment horizontal="center"/>
    </xf>
    <xf numFmtId="0" fontId="0" fillId="0" borderId="29" xfId="0" applyBorder="1"/>
    <xf numFmtId="0" fontId="0" fillId="0" borderId="29" xfId="0" applyBorder="1" applyAlignment="1">
      <alignment vertical="center"/>
    </xf>
    <xf numFmtId="4" fontId="0" fillId="0" borderId="89" xfId="0" applyNumberFormat="1" applyBorder="1"/>
    <xf numFmtId="4" fontId="0" fillId="0" borderId="91" xfId="0" applyNumberFormat="1" applyBorder="1" applyAlignment="1">
      <alignment vertical="center"/>
    </xf>
    <xf numFmtId="4" fontId="0" fillId="0" borderId="95" xfId="0" applyNumberFormat="1" applyBorder="1" applyAlignment="1">
      <alignment vertical="center"/>
    </xf>
    <xf numFmtId="0" fontId="0" fillId="0" borderId="97" xfId="0" applyBorder="1" applyAlignment="1">
      <alignment vertical="center"/>
    </xf>
    <xf numFmtId="0" fontId="0" fillId="0" borderId="102" xfId="0" applyBorder="1" applyAlignment="1">
      <alignment vertical="center"/>
    </xf>
    <xf numFmtId="0" fontId="0" fillId="0" borderId="100" xfId="0" applyBorder="1" applyAlignment="1">
      <alignment vertical="center"/>
    </xf>
    <xf numFmtId="0" fontId="2" fillId="0" borderId="29" xfId="0" applyFont="1" applyBorder="1" applyAlignment="1">
      <alignment horizontal="center"/>
    </xf>
    <xf numFmtId="0" fontId="2" fillId="0" borderId="103" xfId="0" applyFont="1" applyBorder="1" applyAlignment="1">
      <alignment horizontal="center"/>
    </xf>
    <xf numFmtId="0" fontId="2" fillId="0" borderId="104" xfId="0" applyFont="1" applyBorder="1" applyAlignment="1">
      <alignment horizontal="center"/>
    </xf>
    <xf numFmtId="4" fontId="0" fillId="0" borderId="29" xfId="0" applyNumberFormat="1" applyBorder="1"/>
    <xf numFmtId="0" fontId="0" fillId="0" borderId="28" xfId="0" applyBorder="1"/>
    <xf numFmtId="0" fontId="0" fillId="0" borderId="106" xfId="0" applyBorder="1"/>
    <xf numFmtId="4" fontId="0" fillId="0" borderId="91" xfId="0" applyNumberFormat="1" applyBorder="1" applyAlignment="1">
      <alignment horizontal="center"/>
    </xf>
    <xf numFmtId="0" fontId="0" fillId="0" borderId="109" xfId="0" applyBorder="1"/>
    <xf numFmtId="0" fontId="0" fillId="0" borderId="111" xfId="0" applyBorder="1"/>
    <xf numFmtId="4" fontId="0" fillId="0" borderId="110" xfId="0" applyNumberFormat="1" applyBorder="1"/>
    <xf numFmtId="0" fontId="2" fillId="0" borderId="112" xfId="0" applyFont="1" applyBorder="1"/>
    <xf numFmtId="0" fontId="2" fillId="0" borderId="113" xfId="0" applyFont="1" applyBorder="1"/>
    <xf numFmtId="0" fontId="2" fillId="0" borderId="113" xfId="0" applyFont="1" applyBorder="1" applyAlignment="1">
      <alignment horizontal="center"/>
    </xf>
    <xf numFmtId="0" fontId="2" fillId="0" borderId="0" xfId="0" applyFont="1" applyAlignment="1"/>
    <xf numFmtId="0" fontId="0" fillId="0" borderId="105" xfId="0" applyBorder="1"/>
    <xf numFmtId="0" fontId="0" fillId="0" borderId="87" xfId="0" applyBorder="1"/>
    <xf numFmtId="164" fontId="0" fillId="0" borderId="0" xfId="2" applyNumberFormat="1" applyFont="1"/>
    <xf numFmtId="4" fontId="2" fillId="0" borderId="1" xfId="0" applyNumberFormat="1" applyFont="1" applyBorder="1"/>
    <xf numFmtId="3" fontId="0" fillId="0" borderId="1" xfId="0" applyNumberFormat="1" applyBorder="1"/>
    <xf numFmtId="4" fontId="46" fillId="0" borderId="0" xfId="0" applyNumberFormat="1" applyFont="1"/>
    <xf numFmtId="0" fontId="0" fillId="6" borderId="1" xfId="0" applyFill="1" applyBorder="1"/>
    <xf numFmtId="3" fontId="0" fillId="6" borderId="1" xfId="0" applyNumberFormat="1" applyFill="1" applyBorder="1"/>
    <xf numFmtId="4" fontId="2" fillId="6" borderId="1" xfId="0" applyNumberFormat="1" applyFont="1" applyFill="1" applyBorder="1"/>
    <xf numFmtId="3" fontId="2" fillId="6" borderId="1" xfId="0" applyNumberFormat="1" applyFont="1" applyFill="1" applyBorder="1"/>
    <xf numFmtId="43" fontId="2" fillId="0" borderId="1" xfId="0" applyNumberFormat="1" applyFont="1" applyBorder="1" applyAlignment="1">
      <alignment horizontal="center"/>
    </xf>
    <xf numFmtId="43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40" fillId="0" borderId="0" xfId="0" applyFont="1" applyAlignment="1">
      <alignment horizontal="center"/>
    </xf>
    <xf numFmtId="0" fontId="33" fillId="0" borderId="6" xfId="0" applyFont="1" applyBorder="1" applyAlignment="1">
      <alignment horizontal="left" vertical="center"/>
    </xf>
    <xf numFmtId="0" fontId="33" fillId="0" borderId="115" xfId="0" applyFont="1" applyBorder="1" applyAlignment="1">
      <alignment horizontal="left" vertical="center"/>
    </xf>
    <xf numFmtId="0" fontId="33" fillId="0" borderId="6" xfId="0" applyFont="1" applyFill="1" applyBorder="1" applyAlignment="1">
      <alignment horizontal="left"/>
    </xf>
    <xf numFmtId="0" fontId="33" fillId="0" borderId="117" xfId="0" applyFont="1" applyBorder="1" applyAlignment="1">
      <alignment horizontal="left" vertical="center"/>
    </xf>
    <xf numFmtId="0" fontId="33" fillId="0" borderId="6" xfId="0" applyFont="1" applyBorder="1" applyAlignment="1">
      <alignment horizontal="left" vertical="center" wrapText="1"/>
    </xf>
    <xf numFmtId="0" fontId="31" fillId="0" borderId="1" xfId="0" applyFont="1" applyFill="1" applyBorder="1" applyAlignment="1">
      <alignment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left" vertical="center" wrapText="1"/>
    </xf>
    <xf numFmtId="4" fontId="31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right" vertical="center" wrapText="1"/>
    </xf>
    <xf numFmtId="4" fontId="20" fillId="0" borderId="1" xfId="0" applyNumberFormat="1" applyFont="1" applyFill="1" applyBorder="1" applyAlignment="1">
      <alignment horizontal="right" vertical="center" wrapText="1"/>
    </xf>
    <xf numFmtId="4" fontId="0" fillId="3" borderId="0" xfId="0" applyNumberFormat="1" applyFill="1" applyBorder="1"/>
    <xf numFmtId="44" fontId="0" fillId="0" borderId="0" xfId="3" applyFont="1" applyFill="1" applyBorder="1"/>
    <xf numFmtId="0" fontId="0" fillId="3" borderId="1" xfId="0" applyFill="1" applyBorder="1" applyAlignment="1">
      <alignment horizontal="left"/>
    </xf>
    <xf numFmtId="0" fontId="3" fillId="13" borderId="1" xfId="0" applyFont="1" applyFill="1" applyBorder="1" applyAlignment="1">
      <alignment horizontal="left"/>
    </xf>
    <xf numFmtId="0" fontId="3" fillId="12" borderId="1" xfId="0" applyFont="1" applyFill="1" applyBorder="1" applyAlignment="1">
      <alignment horizontal="left"/>
    </xf>
    <xf numFmtId="4" fontId="0" fillId="3" borderId="1" xfId="0" applyNumberFormat="1" applyFill="1" applyBorder="1"/>
    <xf numFmtId="0" fontId="3" fillId="14" borderId="1" xfId="0" applyFont="1" applyFill="1" applyBorder="1"/>
    <xf numFmtId="0" fontId="3" fillId="14" borderId="1" xfId="0" applyFont="1" applyFill="1" applyBorder="1" applyAlignment="1">
      <alignment horizontal="center"/>
    </xf>
    <xf numFmtId="4" fontId="0" fillId="5" borderId="1" xfId="0" applyNumberFormat="1" applyFill="1" applyBorder="1"/>
    <xf numFmtId="0" fontId="4" fillId="0" borderId="1" xfId="0" applyFont="1" applyBorder="1" applyAlignment="1">
      <alignment horizontal="center"/>
    </xf>
    <xf numFmtId="2" fontId="0" fillId="12" borderId="1" xfId="0" applyNumberFormat="1" applyFill="1" applyBorder="1"/>
    <xf numFmtId="0" fontId="0" fillId="7" borderId="1" xfId="0" applyFill="1" applyBorder="1" applyAlignment="1">
      <alignment horizontal="center"/>
    </xf>
    <xf numFmtId="0" fontId="0" fillId="3" borderId="1" xfId="0" applyFill="1" applyBorder="1"/>
    <xf numFmtId="0" fontId="1" fillId="3" borderId="1" xfId="5" applyFill="1" applyBorder="1"/>
    <xf numFmtId="0" fontId="4" fillId="3" borderId="1" xfId="0" applyFont="1" applyFill="1" applyBorder="1"/>
    <xf numFmtId="0" fontId="0" fillId="3" borderId="1" xfId="0" applyFont="1" applyFill="1" applyBorder="1"/>
    <xf numFmtId="9" fontId="3" fillId="6" borderId="1" xfId="0" applyNumberFormat="1" applyFont="1" applyFill="1" applyBorder="1"/>
    <xf numFmtId="4" fontId="0" fillId="3" borderId="1" xfId="0" applyNumberFormat="1" applyFont="1" applyFill="1" applyBorder="1"/>
    <xf numFmtId="3" fontId="0" fillId="3" borderId="1" xfId="0" applyNumberFormat="1" applyFill="1" applyBorder="1"/>
    <xf numFmtId="10" fontId="27" fillId="0" borderId="1" xfId="0" applyNumberFormat="1" applyFont="1" applyBorder="1"/>
    <xf numFmtId="0" fontId="3" fillId="0" borderId="1" xfId="0" applyFont="1" applyBorder="1" applyAlignment="1">
      <alignment horizontal="center"/>
    </xf>
    <xf numFmtId="43" fontId="0" fillId="5" borderId="1" xfId="0" applyNumberFormat="1" applyFill="1" applyBorder="1"/>
    <xf numFmtId="41" fontId="0" fillId="0" borderId="1" xfId="0" applyNumberFormat="1" applyBorder="1"/>
    <xf numFmtId="43" fontId="0" fillId="2" borderId="1" xfId="0" applyNumberFormat="1" applyFill="1" applyBorder="1"/>
    <xf numFmtId="0" fontId="0" fillId="8" borderId="1" xfId="0" applyFill="1" applyBorder="1"/>
    <xf numFmtId="43" fontId="0" fillId="8" borderId="1" xfId="0" applyNumberFormat="1" applyFill="1" applyBorder="1"/>
    <xf numFmtId="43" fontId="0" fillId="12" borderId="1" xfId="0" applyNumberFormat="1" applyFill="1" applyBorder="1"/>
    <xf numFmtId="0" fontId="5" fillId="8" borderId="1" xfId="0" applyFont="1" applyFill="1" applyBorder="1" applyAlignment="1">
      <alignment horizontal="center" vertical="center" wrapText="1"/>
    </xf>
    <xf numFmtId="0" fontId="23" fillId="0" borderId="37" xfId="0" applyFont="1" applyFill="1" applyBorder="1" applyAlignment="1">
      <alignment horizontal="center" vertical="center" wrapText="1"/>
    </xf>
    <xf numFmtId="3" fontId="2" fillId="0" borderId="1" xfId="0" applyNumberFormat="1" applyFont="1" applyBorder="1"/>
    <xf numFmtId="0" fontId="0" fillId="0" borderId="1" xfId="0" applyBorder="1" applyAlignment="1">
      <alignment horizontal="center" wrapText="1"/>
    </xf>
    <xf numFmtId="43" fontId="0" fillId="0" borderId="1" xfId="1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43" fontId="0" fillId="0" borderId="0" xfId="0" applyNumberFormat="1" applyBorder="1" applyAlignment="1">
      <alignment horizontal="center"/>
    </xf>
    <xf numFmtId="10" fontId="0" fillId="0" borderId="0" xfId="2" applyNumberFormat="1" applyFont="1" applyBorder="1" applyAlignment="1">
      <alignment horizontal="center"/>
    </xf>
    <xf numFmtId="43" fontId="2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wrapText="1"/>
    </xf>
    <xf numFmtId="10" fontId="0" fillId="0" borderId="0" xfId="2" applyNumberFormat="1" applyFont="1" applyBorder="1"/>
    <xf numFmtId="165" fontId="0" fillId="0" borderId="1" xfId="1" applyNumberFormat="1" applyFont="1" applyBorder="1"/>
    <xf numFmtId="0" fontId="47" fillId="0" borderId="29" xfId="0" applyFont="1" applyBorder="1" applyAlignment="1">
      <alignment horizontal="center" vertical="center"/>
    </xf>
    <xf numFmtId="0" fontId="47" fillId="0" borderId="105" xfId="0" applyFont="1" applyBorder="1" applyAlignment="1">
      <alignment horizontal="center" vertical="center"/>
    </xf>
    <xf numFmtId="4" fontId="47" fillId="0" borderId="20" xfId="0" applyNumberFormat="1" applyFont="1" applyBorder="1" applyAlignment="1">
      <alignment horizontal="center" vertical="center"/>
    </xf>
    <xf numFmtId="0" fontId="47" fillId="23" borderId="28" xfId="0" applyFont="1" applyFill="1" applyBorder="1" applyAlignment="1">
      <alignment horizontal="center" vertical="center"/>
    </xf>
    <xf numFmtId="4" fontId="47" fillId="23" borderId="20" xfId="0" applyNumberFormat="1" applyFont="1" applyFill="1" applyBorder="1" applyAlignment="1">
      <alignment horizontal="center" vertical="center"/>
    </xf>
    <xf numFmtId="10" fontId="48" fillId="0" borderId="20" xfId="2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0" fillId="0" borderId="0" xfId="0" applyAlignment="1">
      <alignment horizontal="right"/>
    </xf>
    <xf numFmtId="43" fontId="0" fillId="0" borderId="1" xfId="0" applyNumberFormat="1" applyFill="1" applyBorder="1"/>
    <xf numFmtId="0" fontId="2" fillId="3" borderId="0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center"/>
    </xf>
    <xf numFmtId="0" fontId="2" fillId="22" borderId="118" xfId="0" applyFont="1" applyFill="1" applyBorder="1" applyAlignment="1">
      <alignment horizontal="center" vertical="center" wrapText="1"/>
    </xf>
    <xf numFmtId="0" fontId="2" fillId="22" borderId="116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43" fontId="0" fillId="0" borderId="0" xfId="1" applyFont="1" applyBorder="1" applyAlignment="1">
      <alignment horizontal="center"/>
    </xf>
    <xf numFmtId="0" fontId="0" fillId="0" borderId="0" xfId="0" applyFont="1" applyAlignment="1">
      <alignment horizontal="center"/>
    </xf>
    <xf numFmtId="43" fontId="0" fillId="0" borderId="0" xfId="1" applyFont="1"/>
    <xf numFmtId="10" fontId="0" fillId="0" borderId="1" xfId="2" applyNumberFormat="1" applyFont="1" applyBorder="1"/>
    <xf numFmtId="43" fontId="0" fillId="0" borderId="0" xfId="1" applyFont="1" applyBorder="1"/>
    <xf numFmtId="10" fontId="0" fillId="0" borderId="110" xfId="2" applyNumberFormat="1" applyFont="1" applyBorder="1"/>
    <xf numFmtId="9" fontId="0" fillId="0" borderId="1" xfId="2" applyFont="1" applyBorder="1"/>
    <xf numFmtId="0" fontId="0" fillId="0" borderId="91" xfId="0" applyBorder="1"/>
    <xf numFmtId="0" fontId="49" fillId="0" borderId="28" xfId="8" applyBorder="1" applyAlignment="1">
      <alignment horizontal="center" vertical="center"/>
    </xf>
    <xf numFmtId="9" fontId="0" fillId="0" borderId="89" xfId="2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43" fontId="0" fillId="0" borderId="1" xfId="1" applyFont="1" applyFill="1" applyBorder="1"/>
    <xf numFmtId="9" fontId="0" fillId="0" borderId="1" xfId="2" applyFont="1" applyFill="1" applyBorder="1"/>
    <xf numFmtId="0" fontId="47" fillId="0" borderId="29" xfId="0" applyFont="1" applyBorder="1" applyAlignment="1">
      <alignment horizontal="left" vertical="center"/>
    </xf>
    <xf numFmtId="4" fontId="47" fillId="0" borderId="105" xfId="0" applyNumberFormat="1" applyFont="1" applyBorder="1" applyAlignment="1">
      <alignment horizontal="center" vertical="center"/>
    </xf>
    <xf numFmtId="167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43" fontId="0" fillId="0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43" fontId="0" fillId="3" borderId="0" xfId="1" applyFont="1" applyFill="1"/>
    <xf numFmtId="0" fontId="48" fillId="0" borderId="29" xfId="0" applyFont="1" applyBorder="1" applyAlignment="1">
      <alignment horizontal="center" vertical="center"/>
    </xf>
    <xf numFmtId="0" fontId="2" fillId="2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10" fontId="0" fillId="0" borderId="1" xfId="2" applyNumberFormat="1" applyFont="1" applyBorder="1" applyAlignment="1">
      <alignment horizontal="center" vertical="center"/>
    </xf>
    <xf numFmtId="0" fontId="51" fillId="0" borderId="1" xfId="0" applyFont="1" applyBorder="1" applyAlignment="1">
      <alignment horizontal="center" vertical="center"/>
    </xf>
    <xf numFmtId="43" fontId="51" fillId="0" borderId="1" xfId="1" applyFont="1" applyBorder="1" applyAlignment="1">
      <alignment horizontal="center" vertical="center"/>
    </xf>
    <xf numFmtId="0" fontId="51" fillId="0" borderId="0" xfId="0" applyFont="1" applyAlignment="1">
      <alignment vertical="center"/>
    </xf>
    <xf numFmtId="0" fontId="2" fillId="5" borderId="1" xfId="0" applyFont="1" applyFill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170" fontId="0" fillId="0" borderId="1" xfId="0" applyNumberFormat="1" applyBorder="1"/>
    <xf numFmtId="43" fontId="0" fillId="25" borderId="1" xfId="1" applyFont="1" applyFill="1" applyBorder="1"/>
    <xf numFmtId="164" fontId="0" fillId="0" borderId="1" xfId="2" applyNumberFormat="1" applyFont="1" applyBorder="1"/>
    <xf numFmtId="43" fontId="0" fillId="25" borderId="1" xfId="0" applyNumberFormat="1" applyFill="1" applyBorder="1"/>
    <xf numFmtId="10" fontId="0" fillId="0" borderId="0" xfId="2" applyNumberFormat="1" applyFont="1"/>
    <xf numFmtId="0" fontId="2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3" fontId="0" fillId="0" borderId="0" xfId="0" applyNumberFormat="1" applyFill="1" applyBorder="1" applyAlignment="1">
      <alignment vertical="center"/>
    </xf>
    <xf numFmtId="43" fontId="50" fillId="0" borderId="0" xfId="1" applyFont="1" applyFill="1" applyBorder="1"/>
    <xf numFmtId="43" fontId="52" fillId="0" borderId="1" xfId="1" applyFont="1" applyFill="1" applyBorder="1" applyAlignment="1">
      <alignment horizontal="center"/>
    </xf>
    <xf numFmtId="43" fontId="2" fillId="0" borderId="0" xfId="0" applyNumberFormat="1" applyFont="1" applyBorder="1" applyAlignment="1">
      <alignment horizontal="center" vertical="center"/>
    </xf>
    <xf numFmtId="2" fontId="2" fillId="0" borderId="0" xfId="2" applyNumberFormat="1" applyFont="1" applyBorder="1" applyAlignment="1">
      <alignment horizontal="center" vertical="center"/>
    </xf>
    <xf numFmtId="171" fontId="0" fillId="0" borderId="0" xfId="0" applyNumberFormat="1" applyFill="1" applyBorder="1" applyAlignment="1">
      <alignment vertical="center"/>
    </xf>
    <xf numFmtId="43" fontId="50" fillId="0" borderId="0" xfId="0" applyNumberFormat="1" applyFont="1" applyFill="1" applyBorder="1"/>
    <xf numFmtId="0" fontId="52" fillId="0" borderId="0" xfId="0" applyFont="1" applyFill="1" applyBorder="1" applyAlignment="1">
      <alignment horizontal="center"/>
    </xf>
    <xf numFmtId="0" fontId="52" fillId="0" borderId="0" xfId="0" applyFont="1" applyBorder="1" applyAlignment="1">
      <alignment horizontal="center"/>
    </xf>
    <xf numFmtId="43" fontId="52" fillId="0" borderId="0" xfId="0" applyNumberFormat="1" applyFont="1" applyFill="1" applyBorder="1"/>
    <xf numFmtId="167" fontId="0" fillId="0" borderId="0" xfId="2" applyNumberFormat="1" applyFont="1" applyBorder="1" applyAlignment="1">
      <alignment horizontal="center" vertical="center"/>
    </xf>
    <xf numFmtId="167" fontId="0" fillId="0" borderId="0" xfId="1" applyNumberFormat="1" applyFont="1" applyBorder="1" applyAlignment="1">
      <alignment horizontal="center" vertical="center"/>
    </xf>
    <xf numFmtId="43" fontId="52" fillId="0" borderId="0" xfId="0" applyNumberFormat="1" applyFont="1" applyFill="1" applyBorder="1" applyAlignment="1">
      <alignment horizontal="center"/>
    </xf>
    <xf numFmtId="43" fontId="2" fillId="0" borderId="0" xfId="0" applyNumberFormat="1" applyFont="1" applyBorder="1"/>
    <xf numFmtId="2" fontId="0" fillId="0" borderId="0" xfId="2" applyNumberFormat="1" applyFont="1" applyBorder="1" applyAlignment="1">
      <alignment horizontal="center" vertical="center"/>
    </xf>
    <xf numFmtId="172" fontId="0" fillId="0" borderId="0" xfId="0" applyNumberFormat="1" applyFill="1" applyBorder="1" applyAlignment="1">
      <alignment vertical="center"/>
    </xf>
    <xf numFmtId="43" fontId="12" fillId="0" borderId="0" xfId="0" applyNumberFormat="1" applyFont="1" applyFill="1" applyBorder="1"/>
    <xf numFmtId="0" fontId="2" fillId="0" borderId="0" xfId="0" applyFont="1" applyFill="1" applyBorder="1" applyAlignment="1">
      <alignment horizontal="center" vertical="center"/>
    </xf>
    <xf numFmtId="172" fontId="0" fillId="0" borderId="0" xfId="0" applyNumberFormat="1"/>
    <xf numFmtId="0" fontId="2" fillId="0" borderId="91" xfId="0" applyFont="1" applyBorder="1" applyAlignment="1">
      <alignment horizontal="center" vertical="center" wrapText="1"/>
    </xf>
    <xf numFmtId="0" fontId="2" fillId="0" borderId="90" xfId="0" applyFont="1" applyBorder="1" applyAlignment="1">
      <alignment horizontal="center" vertical="center" wrapText="1"/>
    </xf>
    <xf numFmtId="43" fontId="2" fillId="0" borderId="90" xfId="0" applyNumberFormat="1" applyFont="1" applyBorder="1" applyAlignment="1">
      <alignment horizontal="center" vertical="center" wrapText="1"/>
    </xf>
    <xf numFmtId="164" fontId="2" fillId="0" borderId="90" xfId="2" applyNumberFormat="1" applyFont="1" applyBorder="1" applyAlignment="1">
      <alignment horizontal="center" vertical="center" wrapText="1"/>
    </xf>
    <xf numFmtId="10" fontId="2" fillId="0" borderId="90" xfId="2" applyNumberFormat="1" applyFont="1" applyBorder="1" applyAlignment="1">
      <alignment horizontal="center" vertical="center" wrapText="1"/>
    </xf>
    <xf numFmtId="10" fontId="2" fillId="0" borderId="89" xfId="2" applyNumberFormat="1" applyFont="1" applyBorder="1" applyAlignment="1">
      <alignment horizontal="center" vertical="center" wrapText="1"/>
    </xf>
    <xf numFmtId="171" fontId="0" fillId="0" borderId="0" xfId="0" applyNumberFormat="1"/>
    <xf numFmtId="0" fontId="0" fillId="0" borderId="102" xfId="0" applyBorder="1"/>
    <xf numFmtId="0" fontId="0" fillId="0" borderId="85" xfId="0" applyBorder="1" applyAlignment="1">
      <alignment horizontal="center" vertical="center"/>
    </xf>
    <xf numFmtId="43" fontId="0" fillId="0" borderId="85" xfId="0" applyNumberFormat="1" applyBorder="1"/>
    <xf numFmtId="173" fontId="0" fillId="0" borderId="85" xfId="2" applyNumberFormat="1" applyFont="1" applyBorder="1"/>
    <xf numFmtId="10" fontId="0" fillId="0" borderId="85" xfId="2" applyNumberFormat="1" applyFont="1" applyBorder="1"/>
    <xf numFmtId="2" fontId="0" fillId="0" borderId="85" xfId="2" applyNumberFormat="1" applyFont="1" applyBorder="1"/>
    <xf numFmtId="0" fontId="0" fillId="0" borderId="85" xfId="0" applyBorder="1"/>
    <xf numFmtId="0" fontId="0" fillId="0" borderId="101" xfId="0" applyBorder="1"/>
    <xf numFmtId="173" fontId="0" fillId="0" borderId="1" xfId="2" applyNumberFormat="1" applyFont="1" applyBorder="1"/>
    <xf numFmtId="2" fontId="0" fillId="0" borderId="1" xfId="2" applyNumberFormat="1" applyFont="1" applyBorder="1"/>
    <xf numFmtId="0" fontId="0" fillId="0" borderId="110" xfId="0" applyBorder="1"/>
    <xf numFmtId="167" fontId="0" fillId="0" borderId="1" xfId="0" applyNumberFormat="1" applyBorder="1"/>
    <xf numFmtId="173" fontId="0" fillId="0" borderId="1" xfId="0" applyNumberFormat="1" applyBorder="1"/>
    <xf numFmtId="0" fontId="0" fillId="0" borderId="119" xfId="0" applyBorder="1"/>
    <xf numFmtId="0" fontId="0" fillId="0" borderId="88" xfId="0" applyBorder="1"/>
    <xf numFmtId="0" fontId="0" fillId="0" borderId="120" xfId="0" applyBorder="1"/>
    <xf numFmtId="0" fontId="2" fillId="0" borderId="87" xfId="0" applyFont="1" applyBorder="1"/>
    <xf numFmtId="0" fontId="2" fillId="0" borderId="114" xfId="0" applyFont="1" applyBorder="1"/>
    <xf numFmtId="43" fontId="2" fillId="0" borderId="114" xfId="0" applyNumberFormat="1" applyFont="1" applyBorder="1"/>
    <xf numFmtId="10" fontId="2" fillId="0" borderId="105" xfId="2" applyNumberFormat="1" applyFont="1" applyBorder="1"/>
    <xf numFmtId="43" fontId="2" fillId="0" borderId="0" xfId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43" fontId="52" fillId="0" borderId="1" xfId="0" applyNumberFormat="1" applyFont="1" applyFill="1" applyBorder="1" applyAlignment="1">
      <alignment horizontal="center"/>
    </xf>
    <xf numFmtId="43" fontId="52" fillId="0" borderId="1" xfId="0" applyNumberFormat="1" applyFont="1" applyFill="1" applyBorder="1"/>
    <xf numFmtId="10" fontId="0" fillId="0" borderId="1" xfId="2" applyNumberFormat="1" applyFont="1" applyFill="1" applyBorder="1"/>
    <xf numFmtId="164" fontId="0" fillId="0" borderId="1" xfId="2" applyNumberFormat="1" applyFont="1" applyFill="1" applyBorder="1"/>
    <xf numFmtId="10" fontId="2" fillId="0" borderId="1" xfId="2" applyNumberFormat="1" applyFont="1" applyFill="1" applyBorder="1" applyAlignment="1">
      <alignment horizontal="center" vertical="center"/>
    </xf>
    <xf numFmtId="10" fontId="0" fillId="0" borderId="1" xfId="2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0" fillId="0" borderId="5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6" xfId="0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43" fontId="0" fillId="0" borderId="5" xfId="0" applyNumberFormat="1" applyBorder="1" applyAlignment="1"/>
    <xf numFmtId="43" fontId="0" fillId="0" borderId="12" xfId="0" applyNumberFormat="1" applyBorder="1" applyAlignment="1"/>
    <xf numFmtId="43" fontId="0" fillId="0" borderId="6" xfId="0" applyNumberFormat="1" applyBorder="1" applyAlignment="1"/>
    <xf numFmtId="4" fontId="47" fillId="0" borderId="29" xfId="0" applyNumberFormat="1" applyFont="1" applyBorder="1" applyAlignment="1">
      <alignment horizontal="center" vertical="center"/>
    </xf>
    <xf numFmtId="4" fontId="2" fillId="0" borderId="90" xfId="0" applyNumberFormat="1" applyFont="1" applyBorder="1" applyAlignment="1">
      <alignment horizontal="center"/>
    </xf>
    <xf numFmtId="44" fontId="14" fillId="0" borderId="0" xfId="0" applyNumberFormat="1" applyFont="1"/>
    <xf numFmtId="0" fontId="0" fillId="0" borderId="4" xfId="0" applyFill="1" applyBorder="1"/>
    <xf numFmtId="43" fontId="0" fillId="0" borderId="1" xfId="0" applyNumberFormat="1" applyFill="1" applyBorder="1" applyAlignment="1">
      <alignment horizontal="center"/>
    </xf>
    <xf numFmtId="4" fontId="42" fillId="0" borderId="0" xfId="0" applyNumberFormat="1" applyFont="1"/>
    <xf numFmtId="3" fontId="42" fillId="0" borderId="0" xfId="0" applyNumberFormat="1" applyFont="1"/>
    <xf numFmtId="10" fontId="45" fillId="0" borderId="1" xfId="2" applyNumberFormat="1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25" borderId="1" xfId="0" applyFill="1" applyBorder="1"/>
    <xf numFmtId="169" fontId="0" fillId="0" borderId="0" xfId="0" applyNumberFormat="1" applyAlignment="1">
      <alignment horizontal="center" vertical="center" wrapText="1"/>
    </xf>
    <xf numFmtId="0" fontId="0" fillId="24" borderId="27" xfId="0" applyFill="1" applyBorder="1"/>
    <xf numFmtId="0" fontId="0" fillId="24" borderId="26" xfId="0" applyFill="1" applyBorder="1"/>
    <xf numFmtId="43" fontId="0" fillId="24" borderId="25" xfId="1" applyFont="1" applyFill="1" applyBorder="1"/>
    <xf numFmtId="0" fontId="0" fillId="24" borderId="24" xfId="0" applyFill="1" applyBorder="1"/>
    <xf numFmtId="0" fontId="0" fillId="24" borderId="0" xfId="0" applyFill="1" applyBorder="1"/>
    <xf numFmtId="43" fontId="0" fillId="24" borderId="23" xfId="1" applyFont="1" applyFill="1" applyBorder="1"/>
    <xf numFmtId="0" fontId="0" fillId="24" borderId="22" xfId="0" applyFill="1" applyBorder="1"/>
    <xf numFmtId="0" fontId="0" fillId="24" borderId="21" xfId="0" applyFill="1" applyBorder="1"/>
    <xf numFmtId="43" fontId="0" fillId="24" borderId="20" xfId="1" applyFont="1" applyFill="1" applyBorder="1"/>
    <xf numFmtId="3" fontId="27" fillId="25" borderId="1" xfId="0" applyNumberFormat="1" applyFont="1" applyFill="1" applyBorder="1" applyAlignment="1">
      <alignment horizontal="right"/>
    </xf>
    <xf numFmtId="3" fontId="27" fillId="25" borderId="1" xfId="0" applyNumberFormat="1" applyFont="1" applyFill="1" applyBorder="1"/>
    <xf numFmtId="3" fontId="43" fillId="25" borderId="1" xfId="0" applyNumberFormat="1" applyFont="1" applyFill="1" applyBorder="1"/>
    <xf numFmtId="3" fontId="53" fillId="0" borderId="1" xfId="0" applyNumberFormat="1" applyFont="1" applyBorder="1"/>
    <xf numFmtId="3" fontId="53" fillId="21" borderId="1" xfId="0" applyNumberFormat="1" applyFont="1" applyFill="1" applyBorder="1"/>
    <xf numFmtId="3" fontId="54" fillId="0" borderId="1" xfId="0" applyNumberFormat="1" applyFont="1" applyBorder="1"/>
    <xf numFmtId="3" fontId="30" fillId="0" borderId="1" xfId="0" applyNumberFormat="1" applyFont="1" applyBorder="1"/>
    <xf numFmtId="3" fontId="53" fillId="0" borderId="1" xfId="0" applyNumberFormat="1" applyFont="1" applyFill="1" applyBorder="1"/>
    <xf numFmtId="0" fontId="0" fillId="0" borderId="1" xfId="0" applyBorder="1" applyAlignment="1">
      <alignment horizontal="center"/>
    </xf>
    <xf numFmtId="0" fontId="2" fillId="0" borderId="121" xfId="0" applyFont="1" applyBorder="1" applyAlignment="1">
      <alignment horizontal="center"/>
    </xf>
    <xf numFmtId="4" fontId="0" fillId="0" borderId="23" xfId="0" applyNumberFormat="1" applyBorder="1"/>
    <xf numFmtId="4" fontId="0" fillId="0" borderId="20" xfId="0" applyNumberFormat="1" applyBorder="1"/>
    <xf numFmtId="4" fontId="0" fillId="0" borderId="122" xfId="0" applyNumberFormat="1" applyBorder="1"/>
    <xf numFmtId="4" fontId="0" fillId="0" borderId="108" xfId="0" applyNumberFormat="1" applyBorder="1"/>
    <xf numFmtId="0" fontId="2" fillId="0" borderId="0" xfId="0" applyFont="1" applyBorder="1" applyAlignment="1">
      <alignment horizontal="center"/>
    </xf>
    <xf numFmtId="3" fontId="0" fillId="0" borderId="24" xfId="0" applyNumberFormat="1" applyBorder="1"/>
    <xf numFmtId="3" fontId="0" fillId="0" borderId="23" xfId="0" applyNumberFormat="1" applyBorder="1"/>
    <xf numFmtId="173" fontId="0" fillId="0" borderId="1" xfId="0" applyNumberFormat="1" applyFont="1" applyBorder="1"/>
    <xf numFmtId="173" fontId="27" fillId="0" borderId="1" xfId="0" applyNumberFormat="1" applyFont="1" applyBorder="1"/>
    <xf numFmtId="174" fontId="0" fillId="0" borderId="0" xfId="0" applyNumberFormat="1"/>
    <xf numFmtId="0" fontId="2" fillId="0" borderId="27" xfId="0" applyFont="1" applyBorder="1"/>
    <xf numFmtId="0" fontId="2" fillId="0" borderId="26" xfId="0" applyFont="1" applyBorder="1"/>
    <xf numFmtId="0" fontId="2" fillId="0" borderId="24" xfId="0" applyFont="1" applyBorder="1"/>
    <xf numFmtId="8" fontId="2" fillId="0" borderId="0" xfId="0" applyNumberFormat="1" applyFont="1" applyBorder="1"/>
    <xf numFmtId="0" fontId="0" fillId="0" borderId="0" xfId="0" applyFont="1" applyBorder="1"/>
    <xf numFmtId="9" fontId="55" fillId="0" borderId="0" xfId="0" applyNumberFormat="1" applyFont="1" applyBorder="1"/>
    <xf numFmtId="8" fontId="2" fillId="0" borderId="21" xfId="0" applyNumberFormat="1" applyFont="1" applyBorder="1"/>
    <xf numFmtId="4" fontId="0" fillId="0" borderId="106" xfId="0" applyNumberFormat="1" applyBorder="1"/>
    <xf numFmtId="9" fontId="0" fillId="0" borderId="106" xfId="0" applyNumberFormat="1" applyBorder="1"/>
    <xf numFmtId="170" fontId="0" fillId="2" borderId="1" xfId="0" applyNumberFormat="1" applyFill="1" applyBorder="1"/>
    <xf numFmtId="43" fontId="2" fillId="2" borderId="1" xfId="0" applyNumberFormat="1" applyFont="1" applyFill="1" applyBorder="1"/>
    <xf numFmtId="43" fontId="0" fillId="2" borderId="1" xfId="0" applyNumberFormat="1" applyFill="1" applyBorder="1" applyAlignment="1">
      <alignment horizontal="center"/>
    </xf>
    <xf numFmtId="0" fontId="2" fillId="22" borderId="88" xfId="0" applyFont="1" applyFill="1" applyBorder="1" applyAlignment="1">
      <alignment horizontal="center" vertical="center" wrapText="1"/>
    </xf>
    <xf numFmtId="0" fontId="2" fillId="22" borderId="85" xfId="0" applyFont="1" applyFill="1" applyBorder="1" applyAlignment="1">
      <alignment horizontal="center" vertical="center" wrapText="1"/>
    </xf>
    <xf numFmtId="0" fontId="2" fillId="22" borderId="5" xfId="0" applyFont="1" applyFill="1" applyBorder="1" applyAlignment="1">
      <alignment horizontal="center" vertical="justify" wrapText="1"/>
    </xf>
    <xf numFmtId="0" fontId="2" fillId="22" borderId="6" xfId="0" applyFont="1" applyFill="1" applyBorder="1" applyAlignment="1">
      <alignment horizontal="center" vertical="justify" wrapText="1"/>
    </xf>
    <xf numFmtId="0" fontId="0" fillId="0" borderId="1" xfId="0" applyBorder="1" applyAlignment="1">
      <alignment horizontal="center"/>
    </xf>
    <xf numFmtId="0" fontId="2" fillId="19" borderId="1" xfId="0" applyFont="1" applyFill="1" applyBorder="1" applyAlignment="1">
      <alignment horizontal="center"/>
    </xf>
    <xf numFmtId="10" fontId="0" fillId="0" borderId="1" xfId="2" applyNumberFormat="1" applyFont="1" applyFill="1" applyBorder="1" applyAlignment="1">
      <alignment horizontal="center"/>
    </xf>
    <xf numFmtId="43" fontId="0" fillId="0" borderId="1" xfId="1" applyNumberFormat="1" applyFont="1" applyFill="1" applyBorder="1"/>
    <xf numFmtId="167" fontId="2" fillId="27" borderId="1" xfId="0" applyNumberFormat="1" applyFont="1" applyFill="1" applyBorder="1" applyAlignment="1">
      <alignment horizontal="center"/>
    </xf>
    <xf numFmtId="0" fontId="2" fillId="22" borderId="1" xfId="0" applyFont="1" applyFill="1" applyBorder="1" applyAlignment="1">
      <alignment horizontal="center" vertical="justify" wrapText="1"/>
    </xf>
    <xf numFmtId="0" fontId="2" fillId="3" borderId="0" xfId="0" applyFont="1" applyFill="1" applyBorder="1" applyAlignment="1">
      <alignment horizontal="center" vertical="center"/>
    </xf>
    <xf numFmtId="164" fontId="0" fillId="0" borderId="0" xfId="2" applyNumberFormat="1" applyFont="1" applyFill="1" applyBorder="1" applyAlignment="1">
      <alignment horizontal="center" vertical="center"/>
    </xf>
    <xf numFmtId="0" fontId="47" fillId="0" borderId="107" xfId="0" applyFont="1" applyBorder="1" applyAlignment="1">
      <alignment horizontal="center" vertical="center"/>
    </xf>
    <xf numFmtId="4" fontId="47" fillId="0" borderId="28" xfId="0" applyNumberFormat="1" applyFont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10" fontId="0" fillId="3" borderId="1" xfId="2" applyNumberFormat="1" applyFont="1" applyFill="1" applyBorder="1" applyAlignment="1">
      <alignment horizontal="center"/>
    </xf>
    <xf numFmtId="10" fontId="1" fillId="0" borderId="1" xfId="2" applyNumberFormat="1" applyFont="1" applyBorder="1" applyAlignment="1">
      <alignment horizontal="center"/>
    </xf>
    <xf numFmtId="9" fontId="0" fillId="0" borderId="1" xfId="2" applyFont="1" applyBorder="1" applyAlignment="1">
      <alignment horizontal="center"/>
    </xf>
    <xf numFmtId="43" fontId="2" fillId="3" borderId="0" xfId="0" applyNumberFormat="1" applyFont="1" applyFill="1" applyBorder="1"/>
    <xf numFmtId="0" fontId="2" fillId="3" borderId="0" xfId="0" applyFont="1" applyFill="1" applyBorder="1" applyAlignment="1">
      <alignment horizontal="center"/>
    </xf>
    <xf numFmtId="4" fontId="47" fillId="3" borderId="0" xfId="0" applyNumberFormat="1" applyFont="1" applyFill="1" applyBorder="1" applyAlignment="1">
      <alignment horizontal="center" vertical="center"/>
    </xf>
    <xf numFmtId="4" fontId="2" fillId="3" borderId="0" xfId="0" applyNumberFormat="1" applyFont="1" applyFill="1" applyBorder="1"/>
    <xf numFmtId="43" fontId="1" fillId="0" borderId="1" xfId="1" applyFont="1" applyBorder="1"/>
    <xf numFmtId="0" fontId="2" fillId="19" borderId="85" xfId="0" applyFont="1" applyFill="1" applyBorder="1" applyAlignment="1">
      <alignment horizontal="center"/>
    </xf>
    <xf numFmtId="0" fontId="2" fillId="19" borderId="117" xfId="0" applyFont="1" applyFill="1" applyBorder="1" applyAlignment="1">
      <alignment horizontal="center"/>
    </xf>
    <xf numFmtId="0" fontId="2" fillId="19" borderId="101" xfId="0" applyFont="1" applyFill="1" applyBorder="1" applyAlignment="1">
      <alignment horizontal="center"/>
    </xf>
    <xf numFmtId="0" fontId="2" fillId="3" borderId="102" xfId="0" applyFont="1" applyFill="1" applyBorder="1" applyAlignment="1">
      <alignment horizontal="center"/>
    </xf>
    <xf numFmtId="43" fontId="1" fillId="0" borderId="110" xfId="1" applyFont="1" applyBorder="1"/>
    <xf numFmtId="0" fontId="2" fillId="3" borderId="111" xfId="0" applyFont="1" applyFill="1" applyBorder="1" applyAlignment="1">
      <alignment horizontal="center"/>
    </xf>
    <xf numFmtId="0" fontId="2" fillId="3" borderId="109" xfId="0" applyFont="1" applyFill="1" applyBorder="1" applyAlignment="1">
      <alignment horizontal="center"/>
    </xf>
    <xf numFmtId="43" fontId="2" fillId="0" borderId="96" xfId="1" applyFont="1" applyBorder="1"/>
    <xf numFmtId="43" fontId="2" fillId="0" borderId="108" xfId="1" applyFont="1" applyBorder="1"/>
    <xf numFmtId="0" fontId="2" fillId="28" borderId="111" xfId="0" applyFont="1" applyFill="1" applyBorder="1" applyAlignment="1">
      <alignment horizontal="center"/>
    </xf>
    <xf numFmtId="43" fontId="1" fillId="28" borderId="1" xfId="1" applyFont="1" applyFill="1" applyBorder="1"/>
    <xf numFmtId="0" fontId="2" fillId="29" borderId="100" xfId="0" applyFont="1" applyFill="1" applyBorder="1" applyAlignment="1">
      <alignment horizontal="center"/>
    </xf>
    <xf numFmtId="43" fontId="0" fillId="29" borderId="1" xfId="0" applyNumberFormat="1" applyFill="1" applyBorder="1"/>
    <xf numFmtId="0" fontId="2" fillId="6" borderId="109" xfId="0" applyFont="1" applyFill="1" applyBorder="1" applyAlignment="1">
      <alignment horizontal="center"/>
    </xf>
    <xf numFmtId="43" fontId="2" fillId="6" borderId="96" xfId="1" applyFont="1" applyFill="1" applyBorder="1"/>
    <xf numFmtId="43" fontId="2" fillId="6" borderId="108" xfId="1" applyFont="1" applyFill="1" applyBorder="1"/>
    <xf numFmtId="43" fontId="2" fillId="0" borderId="110" xfId="1" applyFont="1" applyBorder="1"/>
    <xf numFmtId="43" fontId="2" fillId="28" borderId="110" xfId="1" applyFont="1" applyFill="1" applyBorder="1"/>
    <xf numFmtId="43" fontId="2" fillId="29" borderId="110" xfId="0" applyNumberFormat="1" applyFont="1" applyFill="1" applyBorder="1"/>
    <xf numFmtId="43" fontId="2" fillId="0" borderId="0" xfId="1" applyFont="1" applyBorder="1"/>
    <xf numFmtId="43" fontId="1" fillId="3" borderId="0" xfId="1" applyFont="1" applyFill="1" applyBorder="1"/>
    <xf numFmtId="43" fontId="0" fillId="3" borderId="0" xfId="0" applyNumberFormat="1" applyFill="1" applyBorder="1"/>
    <xf numFmtId="43" fontId="2" fillId="3" borderId="0" xfId="1" applyFont="1" applyFill="1" applyBorder="1"/>
    <xf numFmtId="0" fontId="2" fillId="3" borderId="0" xfId="0" applyFont="1" applyFill="1" applyBorder="1" applyAlignment="1"/>
    <xf numFmtId="0" fontId="2" fillId="6" borderId="1" xfId="0" applyFont="1" applyFill="1" applyBorder="1" applyAlignment="1">
      <alignment horizontal="center"/>
    </xf>
    <xf numFmtId="43" fontId="2" fillId="6" borderId="1" xfId="1" applyFont="1" applyFill="1" applyBorder="1"/>
    <xf numFmtId="8" fontId="0" fillId="0" borderId="0" xfId="0" applyNumberFormat="1" applyBorder="1"/>
    <xf numFmtId="0" fontId="2" fillId="6" borderId="107" xfId="0" applyFont="1" applyFill="1" applyBorder="1" applyAlignment="1">
      <alignment horizontal="center" vertical="center"/>
    </xf>
    <xf numFmtId="0" fontId="2" fillId="6" borderId="28" xfId="0" applyFont="1" applyFill="1" applyBorder="1" applyAlignment="1">
      <alignment horizontal="center" vertical="center"/>
    </xf>
    <xf numFmtId="43" fontId="2" fillId="3" borderId="1" xfId="1" applyFont="1" applyFill="1" applyBorder="1"/>
    <xf numFmtId="43" fontId="2" fillId="3" borderId="1" xfId="0" applyNumberFormat="1" applyFont="1" applyFill="1" applyBorder="1"/>
    <xf numFmtId="43" fontId="1" fillId="3" borderId="1" xfId="1" applyFont="1" applyFill="1" applyBorder="1"/>
    <xf numFmtId="43" fontId="2" fillId="3" borderId="110" xfId="1" applyFont="1" applyFill="1" applyBorder="1"/>
    <xf numFmtId="0" fontId="2" fillId="3" borderId="100" xfId="0" applyFont="1" applyFill="1" applyBorder="1" applyAlignment="1">
      <alignment horizontal="center"/>
    </xf>
    <xf numFmtId="43" fontId="0" fillId="3" borderId="1" xfId="0" applyNumberFormat="1" applyFill="1" applyBorder="1"/>
    <xf numFmtId="43" fontId="2" fillId="3" borderId="110" xfId="0" applyNumberFormat="1" applyFont="1" applyFill="1" applyBorder="1"/>
    <xf numFmtId="0" fontId="2" fillId="6" borderId="87" xfId="0" applyFont="1" applyFill="1" applyBorder="1" applyAlignment="1">
      <alignment horizontal="center"/>
    </xf>
    <xf numFmtId="0" fontId="2" fillId="6" borderId="114" xfId="0" applyFont="1" applyFill="1" applyBorder="1" applyAlignment="1">
      <alignment horizontal="center"/>
    </xf>
    <xf numFmtId="0" fontId="2" fillId="6" borderId="105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justify"/>
    </xf>
    <xf numFmtId="0" fontId="2" fillId="0" borderId="10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6" borderId="107" xfId="0" applyFont="1" applyFill="1" applyBorder="1" applyAlignment="1">
      <alignment horizontal="center" vertical="center"/>
    </xf>
    <xf numFmtId="0" fontId="2" fillId="6" borderId="28" xfId="0" applyFont="1" applyFill="1" applyBorder="1" applyAlignment="1">
      <alignment horizontal="center" vertical="center"/>
    </xf>
    <xf numFmtId="0" fontId="0" fillId="3" borderId="88" xfId="0" applyFill="1" applyBorder="1" applyAlignment="1">
      <alignment horizontal="center" vertical="justify"/>
    </xf>
    <xf numFmtId="0" fontId="0" fillId="3" borderId="85" xfId="0" applyFill="1" applyBorder="1" applyAlignment="1">
      <alignment horizontal="center" vertical="justify"/>
    </xf>
    <xf numFmtId="10" fontId="0" fillId="0" borderId="0" xfId="2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85" xfId="0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40" fillId="0" borderId="0" xfId="0" applyFont="1" applyAlignment="1">
      <alignment horizontal="center"/>
    </xf>
    <xf numFmtId="0" fontId="39" fillId="18" borderId="68" xfId="7" applyFont="1" applyFill="1" applyBorder="1" applyAlignment="1">
      <alignment horizontal="center" vertical="center"/>
    </xf>
    <xf numFmtId="49" fontId="20" fillId="0" borderId="77" xfId="6" applyNumberFormat="1" applyFont="1" applyBorder="1" applyAlignment="1">
      <alignment horizontal="left" vertical="center"/>
    </xf>
    <xf numFmtId="49" fontId="20" fillId="0" borderId="61" xfId="6" applyNumberFormat="1" applyFont="1" applyBorder="1" applyAlignment="1">
      <alignment horizontal="left" vertical="center"/>
    </xf>
    <xf numFmtId="49" fontId="20" fillId="0" borderId="76" xfId="6" applyNumberFormat="1" applyFont="1" applyBorder="1" applyAlignment="1">
      <alignment horizontal="left" vertical="center"/>
    </xf>
    <xf numFmtId="49" fontId="20" fillId="0" borderId="74" xfId="6" applyNumberFormat="1" applyFont="1" applyBorder="1" applyAlignment="1">
      <alignment horizontal="left" vertical="center" wrapText="1"/>
    </xf>
    <xf numFmtId="49" fontId="20" fillId="0" borderId="73" xfId="6" applyNumberFormat="1" applyFont="1" applyBorder="1" applyAlignment="1">
      <alignment horizontal="left" vertical="center" wrapText="1"/>
    </xf>
    <xf numFmtId="49" fontId="20" fillId="0" borderId="72" xfId="6" applyNumberFormat="1" applyFont="1" applyBorder="1" applyAlignment="1">
      <alignment horizontal="left" vertical="center" wrapText="1"/>
    </xf>
    <xf numFmtId="0" fontId="23" fillId="0" borderId="70" xfId="6" applyFont="1" applyBorder="1" applyAlignment="1">
      <alignment horizontal="right" vertical="center"/>
    </xf>
    <xf numFmtId="0" fontId="23" fillId="0" borderId="69" xfId="6" applyFont="1" applyBorder="1" applyAlignment="1">
      <alignment horizontal="right" vertical="center"/>
    </xf>
    <xf numFmtId="49" fontId="20" fillId="0" borderId="64" xfId="6" applyNumberFormat="1" applyFont="1" applyBorder="1" applyAlignment="1">
      <alignment horizontal="left" vertical="center"/>
    </xf>
    <xf numFmtId="49" fontId="20" fillId="0" borderId="63" xfId="6" applyNumberFormat="1" applyFont="1" applyBorder="1" applyAlignment="1">
      <alignment horizontal="left" vertical="center"/>
    </xf>
    <xf numFmtId="49" fontId="20" fillId="0" borderId="79" xfId="6" applyNumberFormat="1" applyFont="1" applyBorder="1" applyAlignment="1">
      <alignment horizontal="left" vertical="center"/>
    </xf>
    <xf numFmtId="49" fontId="20" fillId="0" borderId="78" xfId="6" applyNumberFormat="1" applyFont="1" applyBorder="1" applyAlignment="1">
      <alignment horizontal="left" vertical="center" wrapText="1"/>
    </xf>
    <xf numFmtId="49" fontId="20" fillId="0" borderId="57" xfId="6" applyNumberFormat="1" applyFont="1" applyBorder="1" applyAlignment="1">
      <alignment horizontal="left" vertical="center" wrapText="1"/>
    </xf>
    <xf numFmtId="49" fontId="20" fillId="0" borderId="56" xfId="6" applyNumberFormat="1" applyFont="1" applyBorder="1" applyAlignment="1">
      <alignment horizontal="left" vertical="center" wrapText="1"/>
    </xf>
    <xf numFmtId="0" fontId="36" fillId="0" borderId="79" xfId="6" applyFont="1" applyBorder="1" applyAlignment="1">
      <alignment horizontal="center" vertical="center" wrapText="1"/>
    </xf>
    <xf numFmtId="0" fontId="20" fillId="0" borderId="60" xfId="6" applyFont="1" applyBorder="1" applyAlignment="1">
      <alignment horizontal="left" vertical="center"/>
    </xf>
    <xf numFmtId="0" fontId="23" fillId="0" borderId="55" xfId="6" applyFont="1" applyBorder="1" applyAlignment="1">
      <alignment horizontal="center" vertical="center" wrapText="1"/>
    </xf>
    <xf numFmtId="0" fontId="23" fillId="0" borderId="55" xfId="6" applyFont="1" applyBorder="1" applyAlignment="1">
      <alignment horizontal="center" vertical="center"/>
    </xf>
    <xf numFmtId="0" fontId="23" fillId="0" borderId="78" xfId="6" applyFont="1" applyBorder="1" applyAlignment="1">
      <alignment horizontal="left" vertical="center"/>
    </xf>
    <xf numFmtId="0" fontId="23" fillId="0" borderId="57" xfId="6" applyFont="1" applyBorder="1" applyAlignment="1">
      <alignment horizontal="left" vertical="center"/>
    </xf>
    <xf numFmtId="0" fontId="23" fillId="0" borderId="56" xfId="6" applyFont="1" applyBorder="1" applyAlignment="1">
      <alignment horizontal="left" vertical="center"/>
    </xf>
    <xf numFmtId="49" fontId="20" fillId="0" borderId="78" xfId="6" applyNumberFormat="1" applyFont="1" applyBorder="1" applyAlignment="1">
      <alignment horizontal="left" vertical="center"/>
    </xf>
    <xf numFmtId="49" fontId="20" fillId="0" borderId="57" xfId="6" applyNumberFormat="1" applyFont="1" applyBorder="1" applyAlignment="1">
      <alignment horizontal="left" vertical="center"/>
    </xf>
    <xf numFmtId="49" fontId="20" fillId="0" borderId="56" xfId="6" applyNumberFormat="1" applyFont="1" applyBorder="1" applyAlignment="1">
      <alignment horizontal="left" vertical="center"/>
    </xf>
    <xf numFmtId="49" fontId="23" fillId="0" borderId="78" xfId="6" applyNumberFormat="1" applyFont="1" applyBorder="1" applyAlignment="1">
      <alignment horizontal="left" vertical="center"/>
    </xf>
    <xf numFmtId="49" fontId="23" fillId="0" borderId="57" xfId="6" applyNumberFormat="1" applyFont="1" applyBorder="1" applyAlignment="1">
      <alignment horizontal="left" vertical="center"/>
    </xf>
    <xf numFmtId="49" fontId="23" fillId="0" borderId="56" xfId="6" applyNumberFormat="1" applyFont="1" applyBorder="1" applyAlignment="1">
      <alignment horizontal="left" vertical="center"/>
    </xf>
    <xf numFmtId="0" fontId="23" fillId="0" borderId="78" xfId="6" applyFont="1" applyBorder="1" applyAlignment="1">
      <alignment horizontal="center" vertical="center"/>
    </xf>
    <xf numFmtId="0" fontId="23" fillId="0" borderId="57" xfId="6" applyFont="1" applyBorder="1" applyAlignment="1">
      <alignment horizontal="center" vertical="center"/>
    </xf>
    <xf numFmtId="0" fontId="23" fillId="0" borderId="56" xfId="6" applyFont="1" applyBorder="1" applyAlignment="1">
      <alignment horizontal="center" vertical="center"/>
    </xf>
    <xf numFmtId="49" fontId="23" fillId="0" borderId="78" xfId="6" applyNumberFormat="1" applyFont="1" applyBorder="1" applyAlignment="1">
      <alignment horizontal="right" vertical="center"/>
    </xf>
    <xf numFmtId="49" fontId="23" fillId="0" borderId="57" xfId="6" applyNumberFormat="1" applyFont="1" applyBorder="1" applyAlignment="1">
      <alignment horizontal="right" vertical="center"/>
    </xf>
    <xf numFmtId="49" fontId="23" fillId="0" borderId="56" xfId="6" applyNumberFormat="1" applyFont="1" applyBorder="1" applyAlignment="1">
      <alignment horizontal="right" vertical="center"/>
    </xf>
    <xf numFmtId="168" fontId="34" fillId="0" borderId="79" xfId="0" applyNumberFormat="1" applyFont="1" applyBorder="1" applyAlignment="1" applyProtection="1">
      <alignment horizontal="left" vertical="center"/>
      <protection locked="0"/>
    </xf>
    <xf numFmtId="0" fontId="23" fillId="0" borderId="53" xfId="6" applyFont="1" applyBorder="1" applyAlignment="1">
      <alignment horizontal="right" vertical="center"/>
    </xf>
    <xf numFmtId="0" fontId="23" fillId="0" borderId="52" xfId="6" applyFont="1" applyBorder="1" applyAlignment="1">
      <alignment horizontal="right" vertical="center"/>
    </xf>
    <xf numFmtId="0" fontId="23" fillId="0" borderId="51" xfId="6" applyFont="1" applyBorder="1" applyAlignment="1">
      <alignment horizontal="right" vertical="center"/>
    </xf>
    <xf numFmtId="0" fontId="23" fillId="0" borderId="82" xfId="6" applyFont="1" applyBorder="1" applyAlignment="1">
      <alignment horizontal="right" vertical="center"/>
    </xf>
    <xf numFmtId="0" fontId="23" fillId="0" borderId="81" xfId="6" applyFont="1" applyBorder="1" applyAlignment="1">
      <alignment horizontal="right" vertical="center"/>
    </xf>
    <xf numFmtId="49" fontId="20" fillId="0" borderId="5" xfId="6" applyNumberFormat="1" applyFont="1" applyBorder="1" applyAlignment="1">
      <alignment horizontal="left" vertical="center"/>
    </xf>
    <xf numFmtId="49" fontId="20" fillId="0" borderId="12" xfId="6" applyNumberFormat="1" applyFont="1" applyBorder="1" applyAlignment="1">
      <alignment horizontal="left" vertical="center"/>
    </xf>
    <xf numFmtId="49" fontId="20" fillId="0" borderId="6" xfId="6" applyNumberFormat="1" applyFont="1" applyBorder="1" applyAlignment="1">
      <alignment horizontal="left" vertical="center"/>
    </xf>
    <xf numFmtId="49" fontId="20" fillId="0" borderId="62" xfId="6" applyNumberFormat="1" applyFont="1" applyBorder="1" applyAlignment="1">
      <alignment horizontal="left" vertical="center"/>
    </xf>
    <xf numFmtId="49" fontId="20" fillId="0" borderId="59" xfId="6" applyNumberFormat="1" applyFont="1" applyBorder="1" applyAlignment="1">
      <alignment horizontal="left" vertical="center"/>
    </xf>
    <xf numFmtId="49" fontId="20" fillId="0" borderId="58" xfId="6" applyNumberFormat="1" applyFont="1" applyBorder="1" applyAlignment="1">
      <alignment horizontal="left" vertical="center"/>
    </xf>
    <xf numFmtId="49" fontId="20" fillId="0" borderId="65" xfId="6" applyNumberFormat="1" applyFont="1" applyBorder="1" applyAlignment="1">
      <alignment horizontal="left" vertical="center"/>
    </xf>
    <xf numFmtId="49" fontId="20" fillId="0" borderId="55" xfId="6" applyNumberFormat="1" applyFont="1" applyBorder="1" applyAlignment="1">
      <alignment horizontal="left" vertical="center"/>
    </xf>
    <xf numFmtId="0" fontId="41" fillId="20" borderId="12" xfId="0" applyFont="1" applyFill="1" applyBorder="1" applyAlignment="1">
      <alignment horizontal="left" vertical="center"/>
    </xf>
    <xf numFmtId="0" fontId="33" fillId="0" borderId="115" xfId="0" applyFont="1" applyBorder="1" applyAlignment="1">
      <alignment horizontal="left" vertical="center"/>
    </xf>
    <xf numFmtId="0" fontId="33" fillId="0" borderId="117" xfId="0" applyFont="1" applyBorder="1" applyAlignment="1">
      <alignment horizontal="left" vertical="center"/>
    </xf>
    <xf numFmtId="0" fontId="40" fillId="0" borderId="0" xfId="0" applyFont="1" applyAlignment="1">
      <alignment horizontal="center" vertical="center"/>
    </xf>
    <xf numFmtId="0" fontId="33" fillId="0" borderId="84" xfId="0" applyFont="1" applyBorder="1" applyAlignment="1">
      <alignment horizontal="left" vertical="center" wrapText="1"/>
    </xf>
    <xf numFmtId="0" fontId="33" fillId="0" borderId="85" xfId="0" applyFont="1" applyBorder="1" applyAlignment="1">
      <alignment horizontal="left" vertical="center" wrapText="1"/>
    </xf>
    <xf numFmtId="0" fontId="2" fillId="19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6" fillId="8" borderId="1" xfId="0" applyFont="1" applyFill="1" applyBorder="1" applyAlignment="1">
      <alignment horizontal="center" vertical="center" wrapText="1"/>
    </xf>
    <xf numFmtId="0" fontId="5" fillId="8" borderId="18" xfId="0" applyFont="1" applyFill="1" applyBorder="1" applyAlignment="1">
      <alignment horizontal="center" vertical="center" wrapText="1"/>
    </xf>
    <xf numFmtId="0" fontId="5" fillId="8" borderId="16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21" fillId="12" borderId="34" xfId="0" applyFont="1" applyFill="1" applyBorder="1" applyAlignment="1">
      <alignment horizontal="right" vertical="center" wrapText="1"/>
    </xf>
    <xf numFmtId="0" fontId="21" fillId="12" borderId="33" xfId="0" applyFont="1" applyFill="1" applyBorder="1" applyAlignment="1">
      <alignment horizontal="right" vertical="center" wrapText="1"/>
    </xf>
    <xf numFmtId="0" fontId="21" fillId="12" borderId="32" xfId="0" applyFont="1" applyFill="1" applyBorder="1" applyAlignment="1">
      <alignment horizontal="right" vertical="center" wrapText="1"/>
    </xf>
    <xf numFmtId="0" fontId="19" fillId="0" borderId="36" xfId="0" applyFont="1" applyFill="1" applyBorder="1" applyAlignment="1">
      <alignment horizontal="center"/>
    </xf>
    <xf numFmtId="0" fontId="19" fillId="0" borderId="35" xfId="0" applyFont="1" applyFill="1" applyBorder="1" applyAlignment="1">
      <alignment horizontal="center"/>
    </xf>
    <xf numFmtId="0" fontId="17" fillId="0" borderId="34" xfId="0" applyFont="1" applyFill="1" applyBorder="1" applyAlignment="1">
      <alignment horizontal="center" vertical="center" wrapText="1"/>
    </xf>
    <xf numFmtId="0" fontId="17" fillId="0" borderId="33" xfId="0" applyFont="1" applyFill="1" applyBorder="1" applyAlignment="1">
      <alignment horizontal="center" vertical="center" wrapText="1"/>
    </xf>
    <xf numFmtId="0" fontId="17" fillId="0" borderId="32" xfId="0" applyFont="1" applyFill="1" applyBorder="1" applyAlignment="1">
      <alignment horizontal="center" vertical="center" wrapText="1"/>
    </xf>
    <xf numFmtId="4" fontId="21" fillId="0" borderId="40" xfId="0" applyNumberFormat="1" applyFont="1" applyFill="1" applyBorder="1" applyAlignment="1">
      <alignment horizontal="center" vertical="center" wrapText="1"/>
    </xf>
    <xf numFmtId="4" fontId="21" fillId="0" borderId="39" xfId="0" applyNumberFormat="1" applyFont="1" applyFill="1" applyBorder="1" applyAlignment="1">
      <alignment horizontal="center" vertical="center" wrapText="1"/>
    </xf>
    <xf numFmtId="4" fontId="21" fillId="0" borderId="38" xfId="0" applyNumberFormat="1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0" fontId="23" fillId="0" borderId="37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wrapText="1"/>
    </xf>
    <xf numFmtId="0" fontId="20" fillId="0" borderId="37" xfId="0" applyFont="1" applyFill="1" applyBorder="1" applyAlignment="1">
      <alignment horizontal="center" vertical="center" wrapText="1"/>
    </xf>
    <xf numFmtId="0" fontId="21" fillId="0" borderId="34" xfId="0" applyFont="1" applyFill="1" applyBorder="1" applyAlignment="1">
      <alignment horizontal="right" vertical="center" wrapText="1"/>
    </xf>
    <xf numFmtId="0" fontId="21" fillId="0" borderId="33" xfId="0" applyFont="1" applyFill="1" applyBorder="1" applyAlignment="1">
      <alignment horizontal="right" vertical="center" wrapText="1"/>
    </xf>
    <xf numFmtId="0" fontId="21" fillId="0" borderId="32" xfId="0" applyFont="1" applyFill="1" applyBorder="1" applyAlignment="1">
      <alignment horizontal="right" vertical="center" wrapText="1"/>
    </xf>
    <xf numFmtId="0" fontId="23" fillId="12" borderId="34" xfId="0" applyFont="1" applyFill="1" applyBorder="1" applyAlignment="1">
      <alignment horizontal="center" vertical="center" wrapText="1"/>
    </xf>
    <xf numFmtId="0" fontId="23" fillId="12" borderId="33" xfId="0" applyFont="1" applyFill="1" applyBorder="1" applyAlignment="1">
      <alignment horizontal="center" vertical="center" wrapText="1"/>
    </xf>
    <xf numFmtId="0" fontId="23" fillId="12" borderId="32" xfId="0" applyFont="1" applyFill="1" applyBorder="1" applyAlignment="1">
      <alignment horizontal="center" vertical="center" wrapText="1"/>
    </xf>
    <xf numFmtId="0" fontId="21" fillId="0" borderId="18" xfId="0" applyFont="1" applyFill="1" applyBorder="1" applyAlignment="1">
      <alignment horizontal="center" vertical="center" wrapText="1"/>
    </xf>
    <xf numFmtId="0" fontId="21" fillId="0" borderId="37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 vertical="center" wrapText="1"/>
    </xf>
    <xf numFmtId="0" fontId="22" fillId="0" borderId="37" xfId="0" applyFont="1" applyFill="1" applyBorder="1" applyAlignment="1">
      <alignment horizontal="center" vertical="center" wrapText="1"/>
    </xf>
    <xf numFmtId="0" fontId="21" fillId="13" borderId="34" xfId="0" applyFont="1" applyFill="1" applyBorder="1" applyAlignment="1">
      <alignment horizontal="center" vertical="center" wrapText="1"/>
    </xf>
    <xf numFmtId="0" fontId="21" fillId="13" borderId="33" xfId="0" applyFont="1" applyFill="1" applyBorder="1" applyAlignment="1">
      <alignment horizontal="center" vertical="center" wrapText="1"/>
    </xf>
    <xf numFmtId="0" fontId="21" fillId="13" borderId="32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left" vertical="center" wrapText="1"/>
    </xf>
    <xf numFmtId="0" fontId="22" fillId="0" borderId="37" xfId="0" applyFont="1" applyFill="1" applyBorder="1" applyAlignment="1">
      <alignment horizontal="left" vertical="center" wrapText="1"/>
    </xf>
    <xf numFmtId="0" fontId="21" fillId="12" borderId="34" xfId="0" applyFont="1" applyFill="1" applyBorder="1" applyAlignment="1">
      <alignment horizontal="center" vertical="center" wrapText="1"/>
    </xf>
    <xf numFmtId="0" fontId="21" fillId="12" borderId="33" xfId="0" applyFont="1" applyFill="1" applyBorder="1" applyAlignment="1">
      <alignment horizontal="center" vertical="center" wrapText="1"/>
    </xf>
    <xf numFmtId="0" fontId="23" fillId="3" borderId="34" xfId="0" applyFont="1" applyFill="1" applyBorder="1" applyAlignment="1">
      <alignment horizontal="center" vertical="center" wrapText="1"/>
    </xf>
    <xf numFmtId="0" fontId="23" fillId="3" borderId="33" xfId="0" applyFont="1" applyFill="1" applyBorder="1" applyAlignment="1">
      <alignment horizontal="center" vertical="center" wrapText="1"/>
    </xf>
    <xf numFmtId="0" fontId="23" fillId="3" borderId="32" xfId="0" applyFont="1" applyFill="1" applyBorder="1" applyAlignment="1">
      <alignment horizontal="center" vertical="center" wrapText="1"/>
    </xf>
    <xf numFmtId="0" fontId="23" fillId="0" borderId="34" xfId="4" applyFont="1" applyFill="1" applyBorder="1" applyAlignment="1">
      <alignment horizontal="right" vertical="center" wrapText="1"/>
    </xf>
    <xf numFmtId="0" fontId="23" fillId="0" borderId="33" xfId="4" applyFont="1" applyFill="1" applyBorder="1" applyAlignment="1">
      <alignment horizontal="right" vertical="center" wrapText="1"/>
    </xf>
    <xf numFmtId="0" fontId="23" fillId="0" borderId="32" xfId="4" applyFont="1" applyFill="1" applyBorder="1" applyAlignment="1">
      <alignment horizontal="right" vertical="center" wrapText="1"/>
    </xf>
    <xf numFmtId="0" fontId="23" fillId="3" borderId="34" xfId="0" applyFont="1" applyFill="1" applyBorder="1" applyAlignment="1">
      <alignment horizontal="right" vertical="center" wrapText="1"/>
    </xf>
    <xf numFmtId="0" fontId="23" fillId="3" borderId="33" xfId="0" applyFont="1" applyFill="1" applyBorder="1" applyAlignment="1">
      <alignment horizontal="right" vertical="center" wrapText="1"/>
    </xf>
    <xf numFmtId="0" fontId="23" fillId="3" borderId="32" xfId="0" applyFont="1" applyFill="1" applyBorder="1" applyAlignment="1">
      <alignment horizontal="right" vertical="center" wrapText="1"/>
    </xf>
    <xf numFmtId="4" fontId="21" fillId="0" borderId="49" xfId="0" applyNumberFormat="1" applyFont="1" applyFill="1" applyBorder="1" applyAlignment="1">
      <alignment horizontal="center" vertical="center" wrapText="1"/>
    </xf>
    <xf numFmtId="4" fontId="21" fillId="0" borderId="48" xfId="0" applyNumberFormat="1" applyFont="1" applyFill="1" applyBorder="1" applyAlignment="1">
      <alignment horizontal="center" vertical="center" wrapText="1"/>
    </xf>
    <xf numFmtId="4" fontId="21" fillId="0" borderId="47" xfId="0" applyNumberFormat="1" applyFont="1" applyFill="1" applyBorder="1" applyAlignment="1">
      <alignment horizontal="center" vertical="center" wrapText="1"/>
    </xf>
    <xf numFmtId="4" fontId="21" fillId="0" borderId="46" xfId="0" applyNumberFormat="1" applyFont="1" applyFill="1" applyBorder="1" applyAlignment="1">
      <alignment horizontal="center" vertical="center" wrapText="1"/>
    </xf>
    <xf numFmtId="4" fontId="21" fillId="0" borderId="0" xfId="0" applyNumberFormat="1" applyFont="1" applyFill="1" applyBorder="1" applyAlignment="1">
      <alignment horizontal="center" vertical="center" wrapText="1"/>
    </xf>
    <xf numFmtId="4" fontId="21" fillId="0" borderId="45" xfId="0" applyNumberFormat="1" applyFont="1" applyFill="1" applyBorder="1" applyAlignment="1">
      <alignment horizontal="center" vertical="center" wrapText="1"/>
    </xf>
    <xf numFmtId="4" fontId="21" fillId="0" borderId="44" xfId="0" applyNumberFormat="1" applyFont="1" applyFill="1" applyBorder="1" applyAlignment="1">
      <alignment horizontal="center" vertical="center" wrapText="1"/>
    </xf>
    <xf numFmtId="4" fontId="21" fillId="0" borderId="43" xfId="0" applyNumberFormat="1" applyFont="1" applyFill="1" applyBorder="1" applyAlignment="1">
      <alignment horizontal="center" vertical="center" wrapText="1"/>
    </xf>
    <xf numFmtId="4" fontId="21" fillId="0" borderId="42" xfId="0" applyNumberFormat="1" applyFont="1" applyFill="1" applyBorder="1" applyAlignment="1">
      <alignment horizontal="center" vertical="center" wrapText="1"/>
    </xf>
    <xf numFmtId="0" fontId="23" fillId="3" borderId="18" xfId="0" applyFont="1" applyFill="1" applyBorder="1" applyAlignment="1">
      <alignment horizontal="center" vertical="center" wrapText="1"/>
    </xf>
    <xf numFmtId="0" fontId="23" fillId="3" borderId="37" xfId="0" applyFont="1" applyFill="1" applyBorder="1" applyAlignment="1">
      <alignment horizontal="center" vertical="center" wrapText="1"/>
    </xf>
    <xf numFmtId="0" fontId="20" fillId="3" borderId="18" xfId="0" applyFont="1" applyFill="1" applyBorder="1" applyAlignment="1">
      <alignment horizontal="center" vertical="center" wrapText="1"/>
    </xf>
    <xf numFmtId="0" fontId="20" fillId="3" borderId="37" xfId="0" applyFont="1" applyFill="1" applyBorder="1" applyAlignment="1">
      <alignment horizontal="center" vertical="center" wrapText="1"/>
    </xf>
    <xf numFmtId="0" fontId="23" fillId="12" borderId="34" xfId="4" applyFont="1" applyFill="1" applyBorder="1" applyAlignment="1">
      <alignment horizontal="right" vertical="center" wrapText="1"/>
    </xf>
    <xf numFmtId="0" fontId="23" fillId="12" borderId="33" xfId="4" applyFont="1" applyFill="1" applyBorder="1" applyAlignment="1">
      <alignment horizontal="right" vertical="center" wrapText="1"/>
    </xf>
    <xf numFmtId="0" fontId="23" fillId="12" borderId="32" xfId="4" applyFont="1" applyFill="1" applyBorder="1" applyAlignment="1">
      <alignment horizontal="right" vertical="center" wrapText="1"/>
    </xf>
    <xf numFmtId="0" fontId="4" fillId="0" borderId="30" xfId="4" applyFont="1" applyFill="1" applyBorder="1" applyAlignment="1">
      <alignment horizontal="center" vertical="center"/>
    </xf>
    <xf numFmtId="0" fontId="20" fillId="3" borderId="18" xfId="0" applyFont="1" applyFill="1" applyBorder="1" applyAlignment="1">
      <alignment horizontal="left" vertical="center" wrapText="1"/>
    </xf>
    <xf numFmtId="0" fontId="20" fillId="3" borderId="37" xfId="0" applyFont="1" applyFill="1" applyBorder="1" applyAlignment="1">
      <alignment horizontal="left" vertical="center" wrapText="1"/>
    </xf>
    <xf numFmtId="4" fontId="0" fillId="3" borderId="1" xfId="0" applyNumberFormat="1" applyFill="1" applyBorder="1" applyAlignment="1">
      <alignment horizontal="center"/>
    </xf>
    <xf numFmtId="4" fontId="3" fillId="13" borderId="1" xfId="0" applyNumberFormat="1" applyFont="1" applyFill="1" applyBorder="1" applyAlignment="1">
      <alignment horizontal="center"/>
    </xf>
    <xf numFmtId="4" fontId="3" fillId="12" borderId="1" xfId="0" applyNumberFormat="1" applyFont="1" applyFill="1" applyBorder="1" applyAlignment="1">
      <alignment horizontal="center"/>
    </xf>
    <xf numFmtId="4" fontId="0" fillId="8" borderId="1" xfId="0" applyNumberForma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23" fillId="0" borderId="34" xfId="0" applyFont="1" applyFill="1" applyBorder="1" applyAlignment="1">
      <alignment horizontal="center" vertical="center" wrapText="1"/>
    </xf>
    <xf numFmtId="0" fontId="23" fillId="0" borderId="33" xfId="0" applyFont="1" applyFill="1" applyBorder="1" applyAlignment="1">
      <alignment horizontal="center" vertical="center" wrapText="1"/>
    </xf>
    <xf numFmtId="0" fontId="23" fillId="0" borderId="32" xfId="0" applyFont="1" applyFill="1" applyBorder="1" applyAlignment="1">
      <alignment horizontal="center" vertical="center" wrapText="1"/>
    </xf>
    <xf numFmtId="0" fontId="3" fillId="5" borderId="0" xfId="0" applyNumberFormat="1" applyFont="1" applyFill="1" applyAlignment="1">
      <alignment horizontal="right" wrapText="1"/>
    </xf>
    <xf numFmtId="0" fontId="3" fillId="0" borderId="0" xfId="0" applyNumberFormat="1" applyFont="1" applyFill="1" applyBorder="1" applyAlignment="1">
      <alignment horizontal="left" wrapText="1"/>
    </xf>
    <xf numFmtId="0" fontId="3" fillId="0" borderId="0" xfId="0" applyNumberFormat="1" applyFont="1" applyFill="1" applyBorder="1" applyAlignment="1">
      <alignment horizontal="right" wrapText="1"/>
    </xf>
    <xf numFmtId="0" fontId="3" fillId="5" borderId="1" xfId="0" applyNumberFormat="1" applyFont="1" applyFill="1" applyBorder="1" applyAlignment="1">
      <alignment horizontal="right" wrapText="1"/>
    </xf>
    <xf numFmtId="0" fontId="3" fillId="7" borderId="1" xfId="0" applyNumberFormat="1" applyFont="1" applyFill="1" applyBorder="1" applyAlignment="1">
      <alignment horizontal="right" wrapText="1"/>
    </xf>
    <xf numFmtId="0" fontId="5" fillId="8" borderId="1" xfId="0" applyFont="1" applyFill="1" applyBorder="1" applyAlignment="1">
      <alignment horizontal="center" vertical="center" wrapText="1"/>
    </xf>
    <xf numFmtId="0" fontId="23" fillId="12" borderId="46" xfId="0" applyFont="1" applyFill="1" applyBorder="1" applyAlignment="1">
      <alignment horizontal="center" vertical="center" wrapText="1"/>
    </xf>
    <xf numFmtId="0" fontId="23" fillId="12" borderId="0" xfId="0" applyFont="1" applyFill="1" applyBorder="1" applyAlignment="1">
      <alignment horizontal="center" vertical="center" wrapText="1"/>
    </xf>
    <xf numFmtId="0" fontId="23" fillId="12" borderId="4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10" fontId="0" fillId="26" borderId="0" xfId="2" applyNumberFormat="1" applyFont="1" applyFill="1" applyBorder="1" applyAlignment="1">
      <alignment horizontal="center"/>
    </xf>
    <xf numFmtId="0" fontId="44" fillId="14" borderId="5" xfId="0" applyFont="1" applyFill="1" applyBorder="1" applyAlignment="1">
      <alignment horizontal="left" vertical="center"/>
    </xf>
    <xf numFmtId="0" fontId="44" fillId="14" borderId="12" xfId="0" applyFont="1" applyFill="1" applyBorder="1" applyAlignment="1">
      <alignment horizontal="left" vertical="center"/>
    </xf>
    <xf numFmtId="0" fontId="44" fillId="25" borderId="88" xfId="0" applyFont="1" applyFill="1" applyBorder="1" applyAlignment="1">
      <alignment horizontal="center" vertical="center" wrapText="1"/>
    </xf>
    <xf numFmtId="0" fontId="44" fillId="25" borderId="4" xfId="0" applyFont="1" applyFill="1" applyBorder="1" applyAlignment="1">
      <alignment horizontal="center" vertical="center" wrapText="1"/>
    </xf>
    <xf numFmtId="0" fontId="44" fillId="25" borderId="11" xfId="0" applyFont="1" applyFill="1" applyBorder="1" applyAlignment="1">
      <alignment horizontal="center" vertical="center" wrapText="1"/>
    </xf>
    <xf numFmtId="0" fontId="44" fillId="0" borderId="88" xfId="0" applyFont="1" applyBorder="1" applyAlignment="1">
      <alignment horizontal="center" vertical="center" wrapText="1"/>
    </xf>
    <xf numFmtId="0" fontId="44" fillId="0" borderId="4" xfId="0" applyFont="1" applyBorder="1" applyAlignment="1">
      <alignment horizontal="center" vertical="center" wrapText="1"/>
    </xf>
    <xf numFmtId="0" fontId="44" fillId="0" borderId="11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 wrapText="1"/>
    </xf>
    <xf numFmtId="0" fontId="2" fillId="0" borderId="87" xfId="0" applyFont="1" applyBorder="1" applyAlignment="1">
      <alignment horizontal="center"/>
    </xf>
    <xf numFmtId="0" fontId="2" fillId="0" borderId="105" xfId="0" applyFont="1" applyBorder="1" applyAlignment="1">
      <alignment horizontal="center"/>
    </xf>
    <xf numFmtId="0" fontId="2" fillId="0" borderId="2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4" fontId="0" fillId="0" borderId="92" xfId="0" applyNumberFormat="1" applyBorder="1" applyAlignment="1">
      <alignment horizontal="center" vertical="center"/>
    </xf>
    <xf numFmtId="4" fontId="0" fillId="0" borderId="99" xfId="0" applyNumberFormat="1" applyBorder="1" applyAlignment="1">
      <alignment horizontal="center" vertical="center"/>
    </xf>
    <xf numFmtId="4" fontId="0" fillId="0" borderId="95" xfId="0" applyNumberFormat="1" applyBorder="1" applyAlignment="1">
      <alignment horizontal="center" vertical="center"/>
    </xf>
    <xf numFmtId="3" fontId="0" fillId="0" borderId="87" xfId="0" applyNumberFormat="1" applyBorder="1" applyAlignment="1">
      <alignment horizontal="center"/>
    </xf>
    <xf numFmtId="3" fontId="0" fillId="0" borderId="105" xfId="0" applyNumberFormat="1" applyBorder="1" applyAlignment="1">
      <alignment horizontal="center"/>
    </xf>
    <xf numFmtId="0" fontId="0" fillId="0" borderId="94" xfId="0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0" fillId="0" borderId="94" xfId="0" applyBorder="1" applyAlignment="1">
      <alignment vertical="center"/>
    </xf>
    <xf numFmtId="0" fontId="0" fillId="0" borderId="100" xfId="0" applyBorder="1" applyAlignment="1">
      <alignment vertical="center"/>
    </xf>
    <xf numFmtId="0" fontId="0" fillId="0" borderId="97" xfId="0" applyBorder="1" applyAlignment="1">
      <alignment vertical="center"/>
    </xf>
    <xf numFmtId="4" fontId="0" fillId="0" borderId="101" xfId="0" applyNumberFormat="1" applyBorder="1" applyAlignment="1">
      <alignment horizontal="center" vertical="center"/>
    </xf>
    <xf numFmtId="0" fontId="2" fillId="0" borderId="114" xfId="0" applyFont="1" applyBorder="1" applyAlignment="1">
      <alignment horizontal="center"/>
    </xf>
    <xf numFmtId="0" fontId="0" fillId="0" borderId="87" xfId="0" applyBorder="1" applyAlignment="1">
      <alignment horizontal="center"/>
    </xf>
    <xf numFmtId="0" fontId="0" fillId="0" borderId="114" xfId="0" applyBorder="1" applyAlignment="1">
      <alignment horizontal="center"/>
    </xf>
    <xf numFmtId="0" fontId="0" fillId="0" borderId="105" xfId="0" applyBorder="1" applyAlignment="1">
      <alignment horizontal="center"/>
    </xf>
  </cellXfs>
  <cellStyles count="9">
    <cellStyle name="Hiperlink" xfId="8" builtinId="8"/>
    <cellStyle name="Moeda" xfId="3" builtinId="4"/>
    <cellStyle name="Normal" xfId="0" builtinId="0"/>
    <cellStyle name="Normal 4" xfId="5"/>
    <cellStyle name="Normal 5" xfId="4"/>
    <cellStyle name="Normal_PP-V" xfId="6"/>
    <cellStyle name="Normal_PP-VI" xfId="7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onnections" Target="connection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Parcela Fixa  - anual - Cenário apenas Eixo Leste operando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Tarifa!$G$34</c:f>
              <c:strCache>
                <c:ptCount val="1"/>
                <c:pt idx="0">
                  <c:v>Parcela Fixa  - anual - Cenário apenas Eixo Leste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EC9-4F82-A52C-0B64C5377F8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EC9-4F82-A52C-0B64C5377F8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A65E-435B-8123-D7A4D56202B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65E-435B-8123-D7A4D56202B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BEC9-4F82-A52C-0B64C5377F8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65E-435B-8123-D7A4D56202BD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EC9-4F82-A52C-0B64C5377F8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EC9-4F82-A52C-0B64C5377F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Tarifa!$F$35:$F$41</c:f>
              <c:strCache>
                <c:ptCount val="7"/>
                <c:pt idx="1">
                  <c:v>CE</c:v>
                </c:pt>
                <c:pt idx="2">
                  <c:v>PB</c:v>
                </c:pt>
                <c:pt idx="3">
                  <c:v>PE</c:v>
                </c:pt>
                <c:pt idx="4">
                  <c:v>RN</c:v>
                </c:pt>
                <c:pt idx="5">
                  <c:v>União</c:v>
                </c:pt>
                <c:pt idx="6">
                  <c:v>Total</c:v>
                </c:pt>
              </c:strCache>
            </c:strRef>
          </c:cat>
          <c:val>
            <c:numRef>
              <c:f>Tarifa!$G$35:$G$40</c:f>
              <c:numCache>
                <c:formatCode>_(* #,##0.00_);_(* \(#,##0.00\);_(* "-"??_);_(@_)</c:formatCode>
                <c:ptCount val="6"/>
                <c:pt idx="1">
                  <c:v>0</c:v>
                </c:pt>
                <c:pt idx="2">
                  <c:v>35958624.514661416</c:v>
                </c:pt>
                <c:pt idx="3">
                  <c:v>5772467.5483724456</c:v>
                </c:pt>
                <c:pt idx="4">
                  <c:v>0</c:v>
                </c:pt>
                <c:pt idx="5">
                  <c:v>112047443.42560808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5E-435B-8123-D7A4D56202BD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egendEntry>
        <c:idx val="0"/>
        <c:delete val="1"/>
      </c:legendEntry>
      <c:legendEntry>
        <c:idx val="1"/>
        <c:delete val="1"/>
      </c:legendEntry>
      <c:legendEntry>
        <c:idx val="4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31</xdr:row>
      <xdr:rowOff>74295</xdr:rowOff>
    </xdr:from>
    <xdr:to>
      <xdr:col>10</xdr:col>
      <xdr:colOff>144780</xdr:colOff>
      <xdr:row>46</xdr:row>
      <xdr:rowOff>3810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56D04D1-2C2D-4E86-8F3A-8F6338D85C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104775</xdr:colOff>
      <xdr:row>39</xdr:row>
      <xdr:rowOff>2475</xdr:rowOff>
    </xdr:from>
    <xdr:to>
      <xdr:col>18</xdr:col>
      <xdr:colOff>136881</xdr:colOff>
      <xdr:row>46</xdr:row>
      <xdr:rowOff>123825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58975" y="192975"/>
          <a:ext cx="8152169" cy="145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288925</xdr:colOff>
      <xdr:row>0</xdr:row>
      <xdr:rowOff>0</xdr:rowOff>
    </xdr:from>
    <xdr:ext cx="10502265" cy="219773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56775" y="0"/>
          <a:ext cx="10502265" cy="2197735"/>
        </a:xfrm>
        <a:prstGeom prst="rect">
          <a:avLst/>
        </a:prstGeom>
      </xdr:spPr>
    </xdr:pic>
    <xdr:clientData/>
  </xdr:oneCellAnchor>
  <xdr:twoCellAnchor>
    <xdr:from>
      <xdr:col>8</xdr:col>
      <xdr:colOff>203200</xdr:colOff>
      <xdr:row>15</xdr:row>
      <xdr:rowOff>127000</xdr:rowOff>
    </xdr:from>
    <xdr:to>
      <xdr:col>14</xdr:col>
      <xdr:colOff>876300</xdr:colOff>
      <xdr:row>22</xdr:row>
      <xdr:rowOff>101600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/>
      </xdr:nvSpPr>
      <xdr:spPr>
        <a:xfrm>
          <a:off x="6908800" y="2984500"/>
          <a:ext cx="5664200" cy="1308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Referência</a:t>
          </a:r>
          <a:r>
            <a:rPr lang="en-US" sz="1100" baseline="0"/>
            <a:t> para Custo de Softwares de Automação:</a:t>
          </a:r>
        </a:p>
        <a:p>
          <a:endParaRPr lang="en-US" sz="1100"/>
        </a:p>
        <a:p>
          <a:r>
            <a:rPr lang="en-US" sz="1100"/>
            <a:t>SCADA (Supervisiory Control and Data Acquisition) – sistema de aquisição de dados e controle de supervisão, proporcionando comunicação com os dispositivos de campo e controlando processos de forma automática, permitindo informações e gestão do processo produtivo</a:t>
          </a:r>
        </a:p>
      </xdr:txBody>
    </xdr:sp>
    <xdr:clientData/>
  </xdr:twoCellAnchor>
  <xdr:twoCellAnchor>
    <xdr:from>
      <xdr:col>8</xdr:col>
      <xdr:colOff>203200</xdr:colOff>
      <xdr:row>15</xdr:row>
      <xdr:rowOff>127000</xdr:rowOff>
    </xdr:from>
    <xdr:to>
      <xdr:col>14</xdr:col>
      <xdr:colOff>876300</xdr:colOff>
      <xdr:row>22</xdr:row>
      <xdr:rowOff>101600</xdr:rowOff>
    </xdr:to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 txBox="1"/>
      </xdr:nvSpPr>
      <xdr:spPr>
        <a:xfrm>
          <a:off x="6908800" y="2984500"/>
          <a:ext cx="5664200" cy="1308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Referência</a:t>
          </a:r>
          <a:r>
            <a:rPr lang="en-US" sz="1100" baseline="0"/>
            <a:t> para Custo de Softwares de Automação:</a:t>
          </a:r>
        </a:p>
        <a:p>
          <a:endParaRPr lang="en-US" sz="1100"/>
        </a:p>
        <a:p>
          <a:r>
            <a:rPr lang="en-US" sz="1100"/>
            <a:t>SCADA (Supervisiory Control and Data Acquisition) – sistema de aquisição de dados e controle de supervisão, proporcionando comunicação com os dispositivos de campo e controlando processos de forma automática, permitindo informações e gestão do processo produtivo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71"/>
  <sheetViews>
    <sheetView showGridLines="0" tabSelected="1" zoomScale="76" zoomScaleNormal="76" workbookViewId="0">
      <selection activeCell="F25" sqref="F25"/>
    </sheetView>
  </sheetViews>
  <sheetFormatPr defaultColWidth="23.85546875" defaultRowHeight="15" x14ac:dyDescent="0.25"/>
  <cols>
    <col min="1" max="1" width="20" bestFit="1" customWidth="1"/>
    <col min="2" max="2" width="22.42578125" customWidth="1"/>
    <col min="3" max="3" width="23.42578125" customWidth="1"/>
    <col min="4" max="4" width="20.42578125" customWidth="1"/>
    <col min="5" max="5" width="29.5703125" customWidth="1"/>
    <col min="6" max="6" width="54" customWidth="1"/>
    <col min="9" max="9" width="19.7109375" customWidth="1"/>
  </cols>
  <sheetData>
    <row r="1" spans="1:8" ht="15.75" thickBot="1" x14ac:dyDescent="0.3">
      <c r="A1" s="477" t="s">
        <v>1250</v>
      </c>
      <c r="B1" s="477"/>
      <c r="C1" s="475"/>
      <c r="F1" t="s">
        <v>1150</v>
      </c>
    </row>
    <row r="2" spans="1:8" ht="31.15" customHeight="1" thickBot="1" x14ac:dyDescent="0.3">
      <c r="A2" s="479" t="s">
        <v>16</v>
      </c>
      <c r="B2" s="657" t="s">
        <v>1148</v>
      </c>
      <c r="C2" s="716" t="s">
        <v>1339</v>
      </c>
      <c r="D2" s="716" t="s">
        <v>1340</v>
      </c>
      <c r="F2" s="467" t="s">
        <v>1126</v>
      </c>
      <c r="G2" s="468" t="s">
        <v>1127</v>
      </c>
      <c r="H2" s="468" t="s">
        <v>1131</v>
      </c>
    </row>
    <row r="3" spans="1:8" s="14" customFormat="1" ht="15.75" thickBot="1" x14ac:dyDescent="0.3">
      <c r="A3" s="480"/>
      <c r="B3" s="304" t="s">
        <v>10</v>
      </c>
      <c r="C3" s="717"/>
      <c r="D3" s="717"/>
      <c r="F3" s="490" t="s">
        <v>1128</v>
      </c>
      <c r="G3" s="469">
        <f>'Anexo 2_CF_O&amp;M'!C5</f>
        <v>63507592.623958379</v>
      </c>
      <c r="H3" s="472">
        <f>G3/$G$11</f>
        <v>0.48181100931404403</v>
      </c>
    </row>
    <row r="4" spans="1:8" s="14" customFormat="1" ht="15.75" thickBot="1" x14ac:dyDescent="0.3">
      <c r="A4" s="478" t="s">
        <v>17</v>
      </c>
      <c r="B4" s="474">
        <v>0</v>
      </c>
      <c r="C4" s="662"/>
      <c r="D4" s="662"/>
      <c r="F4" s="490" t="s">
        <v>0</v>
      </c>
      <c r="G4" s="469">
        <f>'Anexo 3_Custos Ambientais'!C17</f>
        <v>20128250.374478787</v>
      </c>
      <c r="H4" s="472">
        <f t="shared" ref="H4" si="0">G4/$G$11</f>
        <v>0.15270634939789565</v>
      </c>
    </row>
    <row r="5" spans="1:8" s="14" customFormat="1" ht="15.75" thickBot="1" x14ac:dyDescent="0.3">
      <c r="A5" s="478" t="s">
        <v>18</v>
      </c>
      <c r="B5" s="474">
        <v>4.6719999999999997</v>
      </c>
      <c r="C5" s="663">
        <f>B5/B9</f>
        <v>0.86167465879749172</v>
      </c>
      <c r="D5" s="663">
        <f>B5/C24</f>
        <v>0.51911111111111108</v>
      </c>
      <c r="F5" s="490" t="s">
        <v>1130</v>
      </c>
      <c r="G5" s="469">
        <f>'Anexo 4_CF_FRA'!G6*20%</f>
        <v>3770959.8439047621</v>
      </c>
      <c r="H5" s="472">
        <f t="shared" ref="H5:H11" si="1">G5/$G$11</f>
        <v>2.8609019699938329E-2</v>
      </c>
    </row>
    <row r="6" spans="1:8" s="2" customFormat="1" ht="15.75" thickBot="1" x14ac:dyDescent="0.3">
      <c r="A6" s="478" t="s">
        <v>19</v>
      </c>
      <c r="B6" s="474">
        <v>0.75</v>
      </c>
      <c r="C6" s="664">
        <f>B6/B9</f>
        <v>0.13832534120250831</v>
      </c>
      <c r="D6" s="664">
        <f>B6/C24</f>
        <v>8.3333333333333329E-2</v>
      </c>
      <c r="F6" s="490" t="s">
        <v>1</v>
      </c>
      <c r="G6" s="469">
        <f>'Anexo 5_Desp Adm'!F4</f>
        <v>16151218.372282468</v>
      </c>
      <c r="H6" s="472">
        <f t="shared" si="1"/>
        <v>0.12253392868595735</v>
      </c>
    </row>
    <row r="7" spans="1:8" ht="15.75" thickBot="1" x14ac:dyDescent="0.3">
      <c r="A7" s="478" t="s">
        <v>20</v>
      </c>
      <c r="B7" s="474">
        <v>0</v>
      </c>
      <c r="C7" s="652"/>
      <c r="D7" s="652"/>
      <c r="F7" s="505" t="s">
        <v>1129</v>
      </c>
      <c r="G7" s="469">
        <v>12253835.199999999</v>
      </c>
      <c r="H7" s="472">
        <f t="shared" si="1"/>
        <v>9.2965777188862467E-2</v>
      </c>
    </row>
    <row r="8" spans="1:8" ht="15.75" thickBot="1" x14ac:dyDescent="0.3">
      <c r="A8" s="667" t="s">
        <v>1261</v>
      </c>
      <c r="B8" s="7"/>
      <c r="C8" s="665">
        <v>0</v>
      </c>
      <c r="D8" s="306">
        <f>D9-D6-D5</f>
        <v>0.39755555555555555</v>
      </c>
      <c r="F8" s="490" t="s">
        <v>1133</v>
      </c>
      <c r="G8" s="469">
        <f>'Anexo 1_CF_CV Energia Elétrica'!N12</f>
        <v>13613998.671999998</v>
      </c>
      <c r="H8" s="472">
        <f t="shared" si="1"/>
        <v>0.10328488563242808</v>
      </c>
    </row>
    <row r="9" spans="1:8" ht="15.75" thickBot="1" x14ac:dyDescent="0.3">
      <c r="A9" s="473" t="s">
        <v>9</v>
      </c>
      <c r="B9" s="410">
        <f>SUM(B4:B7)</f>
        <v>5.4219999999999997</v>
      </c>
      <c r="C9" s="665">
        <f>B9/B9</f>
        <v>1</v>
      </c>
      <c r="D9" s="665">
        <f>C24/C24</f>
        <v>1</v>
      </c>
      <c r="F9" s="490" t="s">
        <v>1134</v>
      </c>
      <c r="G9" s="469">
        <f>'Anexo 7_Tx Adm'!C4</f>
        <v>2268021.2008543927</v>
      </c>
      <c r="H9" s="472">
        <f t="shared" si="1"/>
        <v>1.7206723460606501E-2</v>
      </c>
    </row>
    <row r="10" spans="1:8" ht="14.25" customHeight="1" thickBot="1" x14ac:dyDescent="0.3">
      <c r="C10" s="658"/>
      <c r="D10" s="659"/>
      <c r="F10" s="375" t="s">
        <v>82</v>
      </c>
      <c r="G10" s="596">
        <f>'Anexo 2_CF_O&amp;M'!C39</f>
        <v>116296.98850000001</v>
      </c>
      <c r="H10" s="472">
        <f t="shared" si="1"/>
        <v>8.8230662026748182E-4</v>
      </c>
    </row>
    <row r="11" spans="1:8" ht="24.75" customHeight="1" thickBot="1" x14ac:dyDescent="0.3">
      <c r="A11" s="501" t="s">
        <v>1152</v>
      </c>
      <c r="B11" s="502">
        <f>B9*86400*365</f>
        <v>170988192</v>
      </c>
      <c r="F11" s="470" t="s">
        <v>9</v>
      </c>
      <c r="G11" s="471">
        <f>SUM(G3:G10)</f>
        <v>131810173.2759788</v>
      </c>
      <c r="H11" s="472">
        <f t="shared" si="1"/>
        <v>1</v>
      </c>
    </row>
    <row r="12" spans="1:8" ht="5.45" customHeight="1" x14ac:dyDescent="0.25"/>
    <row r="13" spans="1:8" ht="15.75" thickBot="1" x14ac:dyDescent="0.3">
      <c r="F13" t="s">
        <v>1151</v>
      </c>
    </row>
    <row r="14" spans="1:8" ht="15.75" thickBot="1" x14ac:dyDescent="0.3">
      <c r="A14" s="499" t="s">
        <v>1169</v>
      </c>
      <c r="B14" s="499" t="s">
        <v>1171</v>
      </c>
      <c r="C14" s="499" t="s">
        <v>1172</v>
      </c>
      <c r="D14" s="3"/>
      <c r="F14" s="467" t="s">
        <v>1126</v>
      </c>
      <c r="G14" s="468" t="s">
        <v>1127</v>
      </c>
      <c r="H14" s="468" t="s">
        <v>1131</v>
      </c>
    </row>
    <row r="15" spans="1:8" ht="15.75" thickBot="1" x14ac:dyDescent="0.3">
      <c r="A15" s="500" t="s">
        <v>1170</v>
      </c>
      <c r="B15" s="498">
        <f>G21/(D24*86400*365)</f>
        <v>0.2091928516479106</v>
      </c>
      <c r="C15" s="656">
        <f>I21/(D24*86400*365)</f>
        <v>0.24405832692256238</v>
      </c>
      <c r="F15" s="490" t="s">
        <v>1132</v>
      </c>
      <c r="G15" s="469">
        <f>'Anexo 1_CF_CV Energia Elétrica'!R3</f>
        <v>117442831.89752424</v>
      </c>
      <c r="H15" s="472">
        <f>G15/G17</f>
        <v>1</v>
      </c>
    </row>
    <row r="16" spans="1:8" ht="15.75" thickBot="1" x14ac:dyDescent="0.3">
      <c r="A16" s="500" t="s">
        <v>285</v>
      </c>
      <c r="B16" s="498">
        <f>G22/B11</f>
        <v>0.68684761517055071</v>
      </c>
      <c r="C16" s="656">
        <f>I22/B11</f>
        <v>0.80132221769897594</v>
      </c>
      <c r="F16" s="490" t="s">
        <v>1135</v>
      </c>
      <c r="G16" s="469">
        <f>'Anexo 7_Tx Adm'!C8</f>
        <v>0</v>
      </c>
      <c r="H16" s="472">
        <f>G16/G17</f>
        <v>0</v>
      </c>
    </row>
    <row r="17" spans="1:9" ht="15.75" thickBot="1" x14ac:dyDescent="0.3">
      <c r="F17" s="470" t="s">
        <v>9</v>
      </c>
      <c r="G17" s="471">
        <f>SUM(G15:G16)</f>
        <v>117442831.89752424</v>
      </c>
      <c r="H17" s="472">
        <f>SUM(H15:H16)</f>
        <v>1</v>
      </c>
    </row>
    <row r="18" spans="1:9" ht="30" customHeight="1" thickBot="1" x14ac:dyDescent="0.3">
      <c r="A18" s="479" t="s">
        <v>16</v>
      </c>
      <c r="B18" s="650" t="s">
        <v>1148</v>
      </c>
      <c r="C18" s="651"/>
      <c r="D18" s="648" t="s">
        <v>1149</v>
      </c>
      <c r="F18" s="489" t="s">
        <v>1153</v>
      </c>
      <c r="G18" s="597">
        <f>(G11+G17)</f>
        <v>249253005.17350304</v>
      </c>
      <c r="H18" s="491">
        <f>G18/G18</f>
        <v>1</v>
      </c>
    </row>
    <row r="19" spans="1:9" ht="15.75" thickBot="1" x14ac:dyDescent="0.3">
      <c r="A19" s="480"/>
      <c r="B19" s="653" t="s">
        <v>11</v>
      </c>
      <c r="C19" s="653" t="s">
        <v>10</v>
      </c>
      <c r="D19" s="649"/>
      <c r="E19" s="14"/>
    </row>
    <row r="20" spans="1:9" ht="15.75" thickBot="1" x14ac:dyDescent="0.3">
      <c r="A20" s="478" t="s">
        <v>17</v>
      </c>
      <c r="B20" s="474">
        <v>7.57</v>
      </c>
      <c r="C20" s="474">
        <v>0</v>
      </c>
      <c r="D20" s="410">
        <f>SUM(B20:C20)</f>
        <v>7.57</v>
      </c>
      <c r="E20" s="14"/>
      <c r="F20" s="467" t="s">
        <v>41</v>
      </c>
      <c r="G20" s="468" t="s">
        <v>1165</v>
      </c>
      <c r="H20" s="660" t="s">
        <v>1167</v>
      </c>
      <c r="I20" s="468" t="s">
        <v>1166</v>
      </c>
    </row>
    <row r="21" spans="1:9" ht="15.75" thickBot="1" x14ac:dyDescent="0.3">
      <c r="A21" s="478" t="s">
        <v>18</v>
      </c>
      <c r="B21" s="474">
        <v>0.85</v>
      </c>
      <c r="C21" s="474">
        <v>4.2</v>
      </c>
      <c r="D21" s="410">
        <f>SUM(B21:C21)</f>
        <v>5.05</v>
      </c>
      <c r="F21" s="496" t="s">
        <v>1163</v>
      </c>
      <c r="G21" s="497">
        <f>G11</f>
        <v>131810173.2759788</v>
      </c>
      <c r="H21" s="596">
        <f>G11*(6/36)</f>
        <v>21968362.212663133</v>
      </c>
      <c r="I21" s="497">
        <f>G21+H21</f>
        <v>153778535.48864195</v>
      </c>
    </row>
    <row r="22" spans="1:9" ht="15.75" thickBot="1" x14ac:dyDescent="0.3">
      <c r="A22" s="478" t="s">
        <v>19</v>
      </c>
      <c r="B22" s="474">
        <v>0.59</v>
      </c>
      <c r="C22" s="474">
        <v>4.8</v>
      </c>
      <c r="D22" s="410">
        <f>SUM(B22:C22)</f>
        <v>5.39</v>
      </c>
      <c r="F22" s="496" t="s">
        <v>1164</v>
      </c>
      <c r="G22" s="497">
        <f>G17</f>
        <v>117442831.89752424</v>
      </c>
      <c r="H22" s="596">
        <f>G17*(6/36)</f>
        <v>19573805.316254038</v>
      </c>
      <c r="I22" s="497">
        <f>G22+H22</f>
        <v>137016637.21377829</v>
      </c>
    </row>
    <row r="23" spans="1:9" ht="15.75" thickBot="1" x14ac:dyDescent="0.3">
      <c r="A23" s="478" t="s">
        <v>20</v>
      </c>
      <c r="B23" s="474">
        <v>1.97</v>
      </c>
      <c r="C23" s="474">
        <v>0</v>
      </c>
      <c r="D23" s="410">
        <f>SUM(B23:C23)</f>
        <v>1.97</v>
      </c>
      <c r="F23" s="496" t="s">
        <v>1168</v>
      </c>
      <c r="G23" s="497">
        <f>SUM(G21:G22)</f>
        <v>249253005.17350304</v>
      </c>
      <c r="H23" s="661">
        <f>SUM(H21:H22)</f>
        <v>41542167.528917171</v>
      </c>
      <c r="I23" s="497">
        <f>SUM(I21:I22)</f>
        <v>290795172.70242023</v>
      </c>
    </row>
    <row r="24" spans="1:9" x14ac:dyDescent="0.25">
      <c r="A24" s="473" t="s">
        <v>9</v>
      </c>
      <c r="B24" s="410">
        <f>SUM(B20:B23)</f>
        <v>10.98</v>
      </c>
      <c r="C24" s="410">
        <f>SUM(C20:C23)</f>
        <v>9</v>
      </c>
      <c r="D24" s="410">
        <f>SUM(B24:C24)</f>
        <v>19.98</v>
      </c>
      <c r="F24" s="18"/>
    </row>
    <row r="25" spans="1:9" ht="15.75" thickBot="1" x14ac:dyDescent="0.3">
      <c r="G25" s="4"/>
      <c r="H25" s="668"/>
    </row>
    <row r="26" spans="1:9" ht="15.75" thickBot="1" x14ac:dyDescent="0.3">
      <c r="A26" s="712" t="s">
        <v>1260</v>
      </c>
      <c r="B26" s="708" t="s">
        <v>1344</v>
      </c>
      <c r="C26" s="708"/>
      <c r="D26" s="709"/>
      <c r="G26" s="484"/>
      <c r="H26" s="669"/>
      <c r="I26" s="3"/>
    </row>
    <row r="27" spans="1:9" ht="15.75" thickBot="1" x14ac:dyDescent="0.3">
      <c r="A27" s="713"/>
      <c r="B27" s="672" t="s">
        <v>11</v>
      </c>
      <c r="C27" s="671" t="s">
        <v>10</v>
      </c>
      <c r="D27" s="673" t="s">
        <v>1341</v>
      </c>
      <c r="F27" s="630"/>
      <c r="G27" s="630"/>
      <c r="I27" s="3"/>
    </row>
    <row r="28" spans="1:9" ht="14.45" customHeight="1" x14ac:dyDescent="0.25">
      <c r="A28" s="674" t="s">
        <v>17</v>
      </c>
      <c r="B28" s="670">
        <f t="shared" ref="B28:C32" si="2">$I$21*(B20/$D$24)</f>
        <v>58263439.121572554</v>
      </c>
      <c r="C28" s="670">
        <f t="shared" si="2"/>
        <v>0</v>
      </c>
      <c r="D28" s="675">
        <f>SUM(B28:C28)</f>
        <v>58263439.121572554</v>
      </c>
      <c r="F28" s="630"/>
      <c r="G28" s="630"/>
      <c r="I28" s="3"/>
    </row>
    <row r="29" spans="1:9" x14ac:dyDescent="0.25">
      <c r="A29" s="676" t="s">
        <v>18</v>
      </c>
      <c r="B29" s="670">
        <f>$I$21*(B21/$D$24)</f>
        <v>6542129.888155438</v>
      </c>
      <c r="C29" s="670">
        <f t="shared" si="2"/>
        <v>32325818.270885695</v>
      </c>
      <c r="D29" s="675">
        <f t="shared" ref="D29:D32" si="3">SUM(B29:C29)</f>
        <v>38867948.159041137</v>
      </c>
      <c r="F29" s="690"/>
      <c r="G29" s="536"/>
    </row>
    <row r="30" spans="1:9" x14ac:dyDescent="0.25">
      <c r="A30" s="676" t="s">
        <v>19</v>
      </c>
      <c r="B30" s="670">
        <f>$I$21*(B22/$D$24)</f>
        <v>4541007.8047196567</v>
      </c>
      <c r="C30" s="670">
        <f t="shared" si="2"/>
        <v>36943792.309583649</v>
      </c>
      <c r="D30" s="675">
        <f t="shared" si="3"/>
        <v>41484800.114303306</v>
      </c>
      <c r="F30" s="690"/>
      <c r="G30" s="536"/>
    </row>
    <row r="31" spans="1:9" x14ac:dyDescent="0.25">
      <c r="A31" s="676" t="s">
        <v>20</v>
      </c>
      <c r="B31" s="670">
        <f>$I$21*(B23/$D$24)</f>
        <v>15162348.093724957</v>
      </c>
      <c r="C31" s="670">
        <f t="shared" si="2"/>
        <v>0</v>
      </c>
      <c r="D31" s="675">
        <f t="shared" si="3"/>
        <v>15162348.093724957</v>
      </c>
      <c r="F31" s="690"/>
      <c r="G31" s="536"/>
    </row>
    <row r="32" spans="1:9" ht="15.75" thickBot="1" x14ac:dyDescent="0.3">
      <c r="A32" s="677" t="s">
        <v>9</v>
      </c>
      <c r="B32" s="678">
        <f t="shared" si="2"/>
        <v>84508924.908172607</v>
      </c>
      <c r="C32" s="678">
        <f t="shared" si="2"/>
        <v>69269610.58046934</v>
      </c>
      <c r="D32" s="679">
        <f t="shared" si="3"/>
        <v>153778535.48864195</v>
      </c>
      <c r="F32" s="690"/>
      <c r="G32" s="536"/>
    </row>
    <row r="33" spans="1:9" ht="15.75" thickBot="1" x14ac:dyDescent="0.3">
      <c r="F33" s="690"/>
      <c r="G33" s="536"/>
    </row>
    <row r="34" spans="1:9" ht="15.75" thickBot="1" x14ac:dyDescent="0.3">
      <c r="A34" s="714" t="s">
        <v>1260</v>
      </c>
      <c r="B34" s="707" t="s">
        <v>1342</v>
      </c>
      <c r="C34" s="708"/>
      <c r="D34" s="709"/>
      <c r="F34" s="710" t="s">
        <v>1260</v>
      </c>
      <c r="G34" s="711" t="s">
        <v>1342</v>
      </c>
      <c r="H34" s="694"/>
      <c r="I34" s="694"/>
    </row>
    <row r="35" spans="1:9" ht="15.75" thickBot="1" x14ac:dyDescent="0.3">
      <c r="A35" s="715"/>
      <c r="B35" s="671" t="s">
        <v>11</v>
      </c>
      <c r="C35" s="671" t="s">
        <v>10</v>
      </c>
      <c r="D35" s="673" t="s">
        <v>1341</v>
      </c>
      <c r="F35" s="710"/>
      <c r="G35" s="711"/>
      <c r="H35" s="667"/>
    </row>
    <row r="36" spans="1:9" x14ac:dyDescent="0.25">
      <c r="A36" s="676" t="s">
        <v>17</v>
      </c>
      <c r="B36" s="702">
        <v>0</v>
      </c>
      <c r="C36" s="702">
        <f>$I$21*(C28/$D$24)</f>
        <v>0</v>
      </c>
      <c r="D36" s="703">
        <f>SUM(B36:C36)</f>
        <v>0</v>
      </c>
      <c r="F36" s="473" t="s">
        <v>17</v>
      </c>
      <c r="G36" s="700">
        <f ca="1">SUM(G36:H36)</f>
        <v>0</v>
      </c>
      <c r="H36" s="691"/>
    </row>
    <row r="37" spans="1:9" x14ac:dyDescent="0.25">
      <c r="A37" s="676" t="s">
        <v>18</v>
      </c>
      <c r="B37" s="702">
        <v>0</v>
      </c>
      <c r="C37" s="702">
        <f>$I$21*(B5/$D$24)</f>
        <v>35958624.514661416</v>
      </c>
      <c r="D37" s="703">
        <f t="shared" ref="D37:D39" si="4">SUM(B37:C37)</f>
        <v>35958624.514661416</v>
      </c>
      <c r="F37" s="473" t="s">
        <v>18</v>
      </c>
      <c r="G37" s="700">
        <f>D37</f>
        <v>35958624.514661416</v>
      </c>
      <c r="H37" s="691"/>
    </row>
    <row r="38" spans="1:9" x14ac:dyDescent="0.25">
      <c r="A38" s="676" t="s">
        <v>19</v>
      </c>
      <c r="B38" s="702">
        <v>0</v>
      </c>
      <c r="C38" s="702">
        <f>$I$21*(B6/$D$24)</f>
        <v>5772467.5483724456</v>
      </c>
      <c r="D38" s="703">
        <f t="shared" si="4"/>
        <v>5772467.5483724456</v>
      </c>
      <c r="F38" s="473" t="s">
        <v>19</v>
      </c>
      <c r="G38" s="700">
        <f>D38</f>
        <v>5772467.5483724456</v>
      </c>
      <c r="H38" s="691"/>
    </row>
    <row r="39" spans="1:9" x14ac:dyDescent="0.25">
      <c r="A39" s="676" t="s">
        <v>20</v>
      </c>
      <c r="B39" s="702">
        <v>0</v>
      </c>
      <c r="C39" s="702">
        <f>$I$21*(C31/$D$24)</f>
        <v>0</v>
      </c>
      <c r="D39" s="703">
        <f t="shared" si="4"/>
        <v>0</v>
      </c>
      <c r="E39" s="14"/>
      <c r="F39" s="473" t="s">
        <v>20</v>
      </c>
      <c r="G39" s="700">
        <f ca="1">SUM(G39:H39)</f>
        <v>0</v>
      </c>
      <c r="H39" s="691"/>
    </row>
    <row r="40" spans="1:9" x14ac:dyDescent="0.25">
      <c r="A40" s="704" t="s">
        <v>1261</v>
      </c>
      <c r="B40" s="705">
        <f>B41</f>
        <v>84508924.908172607</v>
      </c>
      <c r="C40" s="705">
        <f>C32-C37-C38</f>
        <v>27538518.517435476</v>
      </c>
      <c r="D40" s="706">
        <f>SUM(B40:C40)</f>
        <v>112047443.42560808</v>
      </c>
      <c r="F40" s="473" t="s">
        <v>1261</v>
      </c>
      <c r="G40" s="701">
        <f>D40</f>
        <v>112047443.42560808</v>
      </c>
      <c r="H40" s="692"/>
    </row>
    <row r="41" spans="1:9" ht="15.75" thickBot="1" x14ac:dyDescent="0.3">
      <c r="A41" s="684" t="s">
        <v>9</v>
      </c>
      <c r="B41" s="685">
        <f>$I$21*(B24/$D$24)</f>
        <v>84508924.908172607</v>
      </c>
      <c r="C41" s="685">
        <f>SUM(C36:C40)</f>
        <v>69269610.58046934</v>
      </c>
      <c r="D41" s="686">
        <f>SUM(D36:D40)</f>
        <v>153778535.48864195</v>
      </c>
      <c r="F41" s="695" t="s">
        <v>9</v>
      </c>
      <c r="G41" s="696">
        <f>D41</f>
        <v>153778535.48864195</v>
      </c>
      <c r="H41" s="693"/>
    </row>
    <row r="42" spans="1:9" ht="15.75" thickBot="1" x14ac:dyDescent="0.3">
      <c r="F42" s="666"/>
    </row>
    <row r="43" spans="1:9" ht="15.75" thickBot="1" x14ac:dyDescent="0.3">
      <c r="A43" s="714" t="s">
        <v>1260</v>
      </c>
      <c r="B43" s="707" t="s">
        <v>1343</v>
      </c>
      <c r="C43" s="708"/>
      <c r="D43" s="709"/>
      <c r="F43" s="198"/>
    </row>
    <row r="44" spans="1:9" ht="15.75" thickBot="1" x14ac:dyDescent="0.3">
      <c r="A44" s="715"/>
      <c r="B44" s="671" t="s">
        <v>11</v>
      </c>
      <c r="C44" s="671" t="s">
        <v>10</v>
      </c>
      <c r="D44" s="673" t="s">
        <v>1341</v>
      </c>
    </row>
    <row r="45" spans="1:9" x14ac:dyDescent="0.25">
      <c r="A45" s="676" t="s">
        <v>17</v>
      </c>
      <c r="B45" s="702">
        <v>0</v>
      </c>
      <c r="C45" s="702">
        <v>0</v>
      </c>
      <c r="D45" s="703">
        <v>0</v>
      </c>
    </row>
    <row r="46" spans="1:9" x14ac:dyDescent="0.25">
      <c r="A46" s="676" t="s">
        <v>18</v>
      </c>
      <c r="B46" s="702">
        <v>0</v>
      </c>
      <c r="C46" s="702">
        <f>I22*(B5/B9)</f>
        <v>118063764.12076211</v>
      </c>
      <c r="D46" s="703">
        <f t="shared" ref="D46:D47" si="5">SUM(B46:C46)</f>
        <v>118063764.12076211</v>
      </c>
    </row>
    <row r="47" spans="1:9" x14ac:dyDescent="0.25">
      <c r="A47" s="676" t="s">
        <v>19</v>
      </c>
      <c r="B47" s="702">
        <v>0</v>
      </c>
      <c r="C47" s="702">
        <f>I22*(B6/B9)</f>
        <v>18952873.093016177</v>
      </c>
      <c r="D47" s="703">
        <f t="shared" si="5"/>
        <v>18952873.093016177</v>
      </c>
    </row>
    <row r="48" spans="1:9" x14ac:dyDescent="0.25">
      <c r="A48" s="676" t="s">
        <v>20</v>
      </c>
      <c r="B48" s="702">
        <v>0</v>
      </c>
      <c r="C48" s="702">
        <v>0</v>
      </c>
      <c r="D48" s="703">
        <v>0</v>
      </c>
    </row>
    <row r="49" spans="1:8" x14ac:dyDescent="0.25">
      <c r="A49" s="704" t="s">
        <v>1261</v>
      </c>
      <c r="B49" s="705">
        <f>B50</f>
        <v>0</v>
      </c>
      <c r="C49" s="705">
        <v>0</v>
      </c>
      <c r="D49" s="706">
        <f>SUM(B49:C49)</f>
        <v>0</v>
      </c>
    </row>
    <row r="50" spans="1:8" ht="15.75" thickBot="1" x14ac:dyDescent="0.3">
      <c r="A50" s="684" t="s">
        <v>9</v>
      </c>
      <c r="B50" s="685">
        <f>$I$21*(B33/$D$24)</f>
        <v>0</v>
      </c>
      <c r="C50" s="685">
        <f>SUM(C45:C49)</f>
        <v>137016637.21377829</v>
      </c>
      <c r="D50" s="686">
        <f>SUM(D45:D49)</f>
        <v>137016637.21377829</v>
      </c>
    </row>
    <row r="51" spans="1:8" ht="15.75" thickBot="1" x14ac:dyDescent="0.3"/>
    <row r="52" spans="1:8" ht="15.75" thickBot="1" x14ac:dyDescent="0.3">
      <c r="A52" s="698" t="s">
        <v>1260</v>
      </c>
      <c r="B52" s="707" t="s">
        <v>1345</v>
      </c>
      <c r="C52" s="708"/>
      <c r="D52" s="709"/>
      <c r="E52" s="707" t="s">
        <v>1346</v>
      </c>
      <c r="F52" s="708"/>
      <c r="G52" s="709"/>
      <c r="H52" s="337" t="s">
        <v>1347</v>
      </c>
    </row>
    <row r="53" spans="1:8" ht="15.75" thickBot="1" x14ac:dyDescent="0.3">
      <c r="A53" s="699"/>
      <c r="B53" s="671" t="s">
        <v>11</v>
      </c>
      <c r="C53" s="671" t="s">
        <v>10</v>
      </c>
      <c r="D53" s="673" t="s">
        <v>1341</v>
      </c>
      <c r="E53" s="671" t="s">
        <v>11</v>
      </c>
      <c r="F53" s="671" t="s">
        <v>10</v>
      </c>
      <c r="G53" s="673" t="s">
        <v>1341</v>
      </c>
      <c r="H53" s="673" t="s">
        <v>1341</v>
      </c>
    </row>
    <row r="54" spans="1:8" x14ac:dyDescent="0.25">
      <c r="A54" s="676" t="s">
        <v>17</v>
      </c>
      <c r="B54" s="670">
        <f t="shared" ref="B54:C58" si="6">B36</f>
        <v>0</v>
      </c>
      <c r="C54" s="670">
        <f t="shared" si="6"/>
        <v>0</v>
      </c>
      <c r="D54" s="687">
        <f>SUM(B54:C54)</f>
        <v>0</v>
      </c>
      <c r="E54" s="670">
        <f t="shared" ref="E54:F58" si="7">B45</f>
        <v>0</v>
      </c>
      <c r="F54" s="670">
        <f t="shared" si="7"/>
        <v>0</v>
      </c>
      <c r="G54" s="687">
        <f>SUM(E54:F54)</f>
        <v>0</v>
      </c>
      <c r="H54" s="687">
        <f t="shared" ref="H54:H59" si="8">D54+G54</f>
        <v>0</v>
      </c>
    </row>
    <row r="55" spans="1:8" x14ac:dyDescent="0.25">
      <c r="A55" s="680" t="s">
        <v>18</v>
      </c>
      <c r="B55" s="681">
        <f t="shared" si="6"/>
        <v>0</v>
      </c>
      <c r="C55" s="681">
        <f t="shared" si="6"/>
        <v>35958624.514661416</v>
      </c>
      <c r="D55" s="688">
        <f>SUM(B55:C55)</f>
        <v>35958624.514661416</v>
      </c>
      <c r="E55" s="681">
        <f t="shared" si="7"/>
        <v>0</v>
      </c>
      <c r="F55" s="681">
        <f t="shared" si="7"/>
        <v>118063764.12076211</v>
      </c>
      <c r="G55" s="688">
        <f t="shared" ref="G55:G57" si="9">SUM(E55:F55)</f>
        <v>118063764.12076211</v>
      </c>
      <c r="H55" s="688">
        <f t="shared" si="8"/>
        <v>154022388.63542354</v>
      </c>
    </row>
    <row r="56" spans="1:8" x14ac:dyDescent="0.25">
      <c r="A56" s="680" t="s">
        <v>19</v>
      </c>
      <c r="B56" s="681">
        <f t="shared" si="6"/>
        <v>0</v>
      </c>
      <c r="C56" s="681">
        <f t="shared" si="6"/>
        <v>5772467.5483724456</v>
      </c>
      <c r="D56" s="688">
        <f>SUM(B56:C56)</f>
        <v>5772467.5483724456</v>
      </c>
      <c r="E56" s="681">
        <f t="shared" si="7"/>
        <v>0</v>
      </c>
      <c r="F56" s="681">
        <f t="shared" si="7"/>
        <v>18952873.093016177</v>
      </c>
      <c r="G56" s="688">
        <f t="shared" si="9"/>
        <v>18952873.093016177</v>
      </c>
      <c r="H56" s="688">
        <f t="shared" si="8"/>
        <v>24725340.641388625</v>
      </c>
    </row>
    <row r="57" spans="1:8" x14ac:dyDescent="0.25">
      <c r="A57" s="676" t="s">
        <v>20</v>
      </c>
      <c r="B57" s="670">
        <f t="shared" si="6"/>
        <v>0</v>
      </c>
      <c r="C57" s="670">
        <f t="shared" si="6"/>
        <v>0</v>
      </c>
      <c r="D57" s="687">
        <f>SUM(B57:C57)</f>
        <v>0</v>
      </c>
      <c r="E57" s="670">
        <f t="shared" si="7"/>
        <v>0</v>
      </c>
      <c r="F57" s="670">
        <f t="shared" si="7"/>
        <v>0</v>
      </c>
      <c r="G57" s="687">
        <f t="shared" si="9"/>
        <v>0</v>
      </c>
      <c r="H57" s="687">
        <f t="shared" si="8"/>
        <v>0</v>
      </c>
    </row>
    <row r="58" spans="1:8" x14ac:dyDescent="0.25">
      <c r="A58" s="682" t="s">
        <v>1261</v>
      </c>
      <c r="B58" s="683">
        <f t="shared" si="6"/>
        <v>84508924.908172607</v>
      </c>
      <c r="C58" s="683">
        <f t="shared" si="6"/>
        <v>27538518.517435476</v>
      </c>
      <c r="D58" s="689">
        <f>SUM(B58:C58)</f>
        <v>112047443.42560808</v>
      </c>
      <c r="E58" s="683">
        <f t="shared" si="7"/>
        <v>0</v>
      </c>
      <c r="F58" s="683">
        <f t="shared" si="7"/>
        <v>0</v>
      </c>
      <c r="G58" s="689">
        <f>SUM(E58:F58)</f>
        <v>0</v>
      </c>
      <c r="H58" s="689">
        <f t="shared" si="8"/>
        <v>112047443.42560808</v>
      </c>
    </row>
    <row r="59" spans="1:8" ht="15.75" thickBot="1" x14ac:dyDescent="0.3">
      <c r="A59" s="684" t="s">
        <v>9</v>
      </c>
      <c r="B59" s="685">
        <f>SUM(B54:B58)</f>
        <v>84508924.908172607</v>
      </c>
      <c r="C59" s="685">
        <f>SUM(C54:C58)</f>
        <v>69269610.58046934</v>
      </c>
      <c r="D59" s="686">
        <f>SUM(D54:D58)</f>
        <v>153778535.48864195</v>
      </c>
      <c r="E59" s="685">
        <f>B50</f>
        <v>0</v>
      </c>
      <c r="F59" s="685">
        <f>SUM(F54:F58)</f>
        <v>137016637.21377829</v>
      </c>
      <c r="G59" s="686">
        <f>SUM(G54:G58)</f>
        <v>137016637.21377829</v>
      </c>
      <c r="H59" s="686">
        <f t="shared" si="8"/>
        <v>290795172.70242023</v>
      </c>
    </row>
    <row r="65" spans="7:7" x14ac:dyDescent="0.25">
      <c r="G65" s="3"/>
    </row>
    <row r="66" spans="7:7" x14ac:dyDescent="0.25">
      <c r="G66" s="3"/>
    </row>
    <row r="67" spans="7:7" x14ac:dyDescent="0.25">
      <c r="G67" s="3"/>
    </row>
    <row r="68" spans="7:7" x14ac:dyDescent="0.25">
      <c r="G68" s="3"/>
    </row>
    <row r="69" spans="7:7" x14ac:dyDescent="0.25">
      <c r="G69" s="3"/>
    </row>
    <row r="70" spans="7:7" x14ac:dyDescent="0.25">
      <c r="G70" s="3"/>
    </row>
    <row r="71" spans="7:7" x14ac:dyDescent="0.25">
      <c r="G71" s="3"/>
    </row>
  </sheetData>
  <mergeCells count="12">
    <mergeCell ref="C2:C3"/>
    <mergeCell ref="D2:D3"/>
    <mergeCell ref="B26:D26"/>
    <mergeCell ref="B52:D52"/>
    <mergeCell ref="E52:G52"/>
    <mergeCell ref="F34:F35"/>
    <mergeCell ref="G34:G35"/>
    <mergeCell ref="A26:A27"/>
    <mergeCell ref="B34:D34"/>
    <mergeCell ref="A34:A35"/>
    <mergeCell ref="A43:A44"/>
    <mergeCell ref="B43:D43"/>
  </mergeCells>
  <hyperlinks>
    <hyperlink ref="F3" location="'Anexo 2_CF_O&amp;M'!A1" display="Operação e Manutenção"/>
    <hyperlink ref="F5" location="'Anexo 4_CF_FRA_valores MI'!A1" display="Fundo de Reposição de Ativos"/>
    <hyperlink ref="F6" location="'Anexo 5_Resumo_Desp Adm'!A1" display="Despesas Administrativas"/>
    <hyperlink ref="F9" location="'Anexos 7 e 8_Tx Adm e Seguros'!A1" display="Taxa de Administração - Parcela Fixa"/>
    <hyperlink ref="F8" location="'Anexo 1_CF_CV Energia Elétrica'!A1" display="Energia Elétrica - Parcela Fixa"/>
    <hyperlink ref="F15" location="'Anexo 1_CF_CV Energia Elétrica'!A1" display="Energia Elétrica - Parcela Variável"/>
    <hyperlink ref="F16" location="'Anexos 7 e 8_Tx Adm e Seguros'!A1" display="Taxa de Administração - Parcela Variável"/>
    <hyperlink ref="F4" location="'Anexo 3_Custos Ambiental'!A1" display="Custos Ambientais"/>
  </hyperlinks>
  <pageMargins left="0.511811024" right="0.511811024" top="0.78740157499999996" bottom="0.78740157499999996" header="0.31496062000000002" footer="0.31496062000000002"/>
  <pageSetup orientation="portrait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7"/>
  <sheetViews>
    <sheetView showGridLines="0" workbookViewId="0">
      <selection activeCell="H58" sqref="H58"/>
    </sheetView>
  </sheetViews>
  <sheetFormatPr defaultColWidth="12.5703125" defaultRowHeight="15" x14ac:dyDescent="0.25"/>
  <cols>
    <col min="2" max="2" width="32.85546875" customWidth="1"/>
  </cols>
  <sheetData>
    <row r="2" spans="2:11" x14ac:dyDescent="0.25">
      <c r="C2" t="s">
        <v>422</v>
      </c>
    </row>
    <row r="4" spans="2:11" ht="15.75" customHeight="1" x14ac:dyDescent="0.25">
      <c r="B4" s="787"/>
      <c r="C4" s="787"/>
      <c r="D4" s="787"/>
      <c r="E4" s="787"/>
      <c r="F4" s="787"/>
      <c r="G4" s="787"/>
      <c r="H4" s="7"/>
      <c r="I4" s="7"/>
    </row>
    <row r="5" spans="2:11" ht="22.5" x14ac:dyDescent="0.25">
      <c r="B5" s="422" t="s">
        <v>421</v>
      </c>
      <c r="C5" s="423" t="s">
        <v>139</v>
      </c>
      <c r="D5" s="423" t="s">
        <v>216</v>
      </c>
      <c r="E5" s="423" t="s">
        <v>420</v>
      </c>
      <c r="F5" s="423" t="s">
        <v>419</v>
      </c>
      <c r="G5" s="423" t="s">
        <v>418</v>
      </c>
      <c r="H5" s="423" t="s">
        <v>12</v>
      </c>
      <c r="I5" s="423" t="s">
        <v>417</v>
      </c>
      <c r="K5" s="154" t="s">
        <v>416</v>
      </c>
    </row>
    <row r="6" spans="2:11" ht="22.5" x14ac:dyDescent="0.25">
      <c r="B6" s="424" t="s">
        <v>415</v>
      </c>
      <c r="C6" s="423">
        <v>100</v>
      </c>
      <c r="D6" s="423" t="s">
        <v>363</v>
      </c>
      <c r="E6" s="425">
        <v>2880</v>
      </c>
      <c r="F6" s="425"/>
      <c r="G6" s="426">
        <f t="shared" ref="G6:G34" si="0">C6*E6</f>
        <v>288000</v>
      </c>
      <c r="H6" s="292">
        <f t="shared" ref="H6:H37" si="1">G6/$G$57</f>
        <v>7.9579994473611498E-2</v>
      </c>
      <c r="I6" s="292">
        <f>H6</f>
        <v>7.9579994473611498E-2</v>
      </c>
      <c r="K6">
        <f>168.99*8</f>
        <v>1351.92</v>
      </c>
    </row>
    <row r="7" spans="2:11" ht="22.5" x14ac:dyDescent="0.25">
      <c r="B7" s="424" t="s">
        <v>414</v>
      </c>
      <c r="C7" s="423">
        <v>100</v>
      </c>
      <c r="D7" s="423" t="s">
        <v>363</v>
      </c>
      <c r="E7" s="425">
        <v>2880</v>
      </c>
      <c r="F7" s="425"/>
      <c r="G7" s="426">
        <f t="shared" si="0"/>
        <v>288000</v>
      </c>
      <c r="H7" s="292">
        <f t="shared" si="1"/>
        <v>7.9579994473611498E-2</v>
      </c>
      <c r="I7" s="292">
        <f t="shared" ref="I7:I38" si="2">H7+I6</f>
        <v>0.159159988947223</v>
      </c>
    </row>
    <row r="8" spans="2:11" x14ac:dyDescent="0.25">
      <c r="B8" s="424" t="s">
        <v>413</v>
      </c>
      <c r="C8" s="423">
        <v>300</v>
      </c>
      <c r="D8" s="423" t="s">
        <v>363</v>
      </c>
      <c r="E8" s="425">
        <v>750</v>
      </c>
      <c r="F8" s="425"/>
      <c r="G8" s="426">
        <f t="shared" si="0"/>
        <v>225000</v>
      </c>
      <c r="H8" s="292">
        <f t="shared" si="1"/>
        <v>6.2171870682508977E-2</v>
      </c>
      <c r="I8" s="292">
        <f t="shared" si="2"/>
        <v>0.22133185962973198</v>
      </c>
      <c r="K8">
        <f>43.19*8</f>
        <v>345.52</v>
      </c>
    </row>
    <row r="9" spans="2:11" x14ac:dyDescent="0.25">
      <c r="B9" s="424" t="s">
        <v>412</v>
      </c>
      <c r="C9" s="423">
        <v>100</v>
      </c>
      <c r="D9" s="423" t="s">
        <v>363</v>
      </c>
      <c r="E9" s="425">
        <v>2100</v>
      </c>
      <c r="F9" s="425"/>
      <c r="G9" s="426">
        <f t="shared" si="0"/>
        <v>210000</v>
      </c>
      <c r="H9" s="292">
        <f t="shared" si="1"/>
        <v>5.8027079303675046E-2</v>
      </c>
      <c r="I9" s="292">
        <f t="shared" si="2"/>
        <v>0.27935893893340702</v>
      </c>
      <c r="K9">
        <f>128.7*8</f>
        <v>1029.5999999999999</v>
      </c>
    </row>
    <row r="10" spans="2:11" ht="22.5" x14ac:dyDescent="0.25">
      <c r="B10" s="424" t="s">
        <v>411</v>
      </c>
      <c r="C10" s="423">
        <v>200</v>
      </c>
      <c r="D10" s="423" t="s">
        <v>363</v>
      </c>
      <c r="E10" s="425">
        <v>980</v>
      </c>
      <c r="F10" s="425"/>
      <c r="G10" s="426">
        <f t="shared" si="0"/>
        <v>196000</v>
      </c>
      <c r="H10" s="292">
        <f t="shared" si="1"/>
        <v>5.4158607350096713E-2</v>
      </c>
      <c r="I10" s="292">
        <f t="shared" si="2"/>
        <v>0.33351754628350372</v>
      </c>
    </row>
    <row r="11" spans="2:11" x14ac:dyDescent="0.25">
      <c r="B11" s="424" t="s">
        <v>410</v>
      </c>
      <c r="C11" s="423">
        <v>200</v>
      </c>
      <c r="D11" s="423" t="s">
        <v>363</v>
      </c>
      <c r="E11" s="425">
        <v>980</v>
      </c>
      <c r="F11" s="425"/>
      <c r="G11" s="426">
        <f t="shared" si="0"/>
        <v>196000</v>
      </c>
      <c r="H11" s="292">
        <f t="shared" si="1"/>
        <v>5.4158607350096713E-2</v>
      </c>
      <c r="I11" s="292">
        <f t="shared" si="2"/>
        <v>0.38767615363360042</v>
      </c>
    </row>
    <row r="12" spans="2:11" ht="22.5" x14ac:dyDescent="0.25">
      <c r="B12" s="424" t="s">
        <v>409</v>
      </c>
      <c r="C12" s="423">
        <v>150</v>
      </c>
      <c r="D12" s="423" t="s">
        <v>363</v>
      </c>
      <c r="E12" s="425">
        <v>1280</v>
      </c>
      <c r="F12" s="425"/>
      <c r="G12" s="426">
        <f t="shared" si="0"/>
        <v>192000</v>
      </c>
      <c r="H12" s="292">
        <f t="shared" si="1"/>
        <v>5.3053329649074332E-2</v>
      </c>
      <c r="I12" s="292">
        <f t="shared" si="2"/>
        <v>0.44072948328267475</v>
      </c>
    </row>
    <row r="13" spans="2:11" ht="22.5" x14ac:dyDescent="0.25">
      <c r="B13" s="424" t="s">
        <v>408</v>
      </c>
      <c r="C13" s="423">
        <v>150</v>
      </c>
      <c r="D13" s="423" t="s">
        <v>363</v>
      </c>
      <c r="E13" s="425">
        <v>1200</v>
      </c>
      <c r="F13" s="425"/>
      <c r="G13" s="426">
        <f t="shared" si="0"/>
        <v>180000</v>
      </c>
      <c r="H13" s="292">
        <f t="shared" si="1"/>
        <v>4.9737496546007183E-2</v>
      </c>
      <c r="I13" s="292">
        <f t="shared" si="2"/>
        <v>0.49046697982868193</v>
      </c>
    </row>
    <row r="14" spans="2:11" x14ac:dyDescent="0.25">
      <c r="B14" s="424" t="s">
        <v>407</v>
      </c>
      <c r="C14" s="423">
        <v>300</v>
      </c>
      <c r="D14" s="423" t="s">
        <v>363</v>
      </c>
      <c r="E14" s="425">
        <v>500</v>
      </c>
      <c r="F14" s="425"/>
      <c r="G14" s="426">
        <f t="shared" si="0"/>
        <v>150000</v>
      </c>
      <c r="H14" s="292">
        <f t="shared" si="1"/>
        <v>4.144791378833932E-2</v>
      </c>
      <c r="I14" s="292">
        <f t="shared" si="2"/>
        <v>0.53191489361702127</v>
      </c>
    </row>
    <row r="15" spans="2:11" x14ac:dyDescent="0.25">
      <c r="B15" s="424" t="s">
        <v>406</v>
      </c>
      <c r="C15" s="423">
        <v>100</v>
      </c>
      <c r="D15" s="423" t="s">
        <v>363</v>
      </c>
      <c r="E15" s="425">
        <v>1440</v>
      </c>
      <c r="F15" s="425"/>
      <c r="G15" s="426">
        <f t="shared" si="0"/>
        <v>144000</v>
      </c>
      <c r="H15" s="292">
        <f t="shared" si="1"/>
        <v>3.9789997236805749E-2</v>
      </c>
      <c r="I15" s="292">
        <f t="shared" si="2"/>
        <v>0.57170489085382703</v>
      </c>
      <c r="K15">
        <f>152.55*8</f>
        <v>1220.4000000000001</v>
      </c>
    </row>
    <row r="16" spans="2:11" ht="22.5" x14ac:dyDescent="0.25">
      <c r="B16" s="424" t="s">
        <v>405</v>
      </c>
      <c r="C16" s="423">
        <v>200</v>
      </c>
      <c r="D16" s="423" t="s">
        <v>363</v>
      </c>
      <c r="E16" s="425">
        <v>720</v>
      </c>
      <c r="F16" s="425"/>
      <c r="G16" s="426">
        <f t="shared" si="0"/>
        <v>144000</v>
      </c>
      <c r="H16" s="292">
        <f t="shared" si="1"/>
        <v>3.9789997236805749E-2</v>
      </c>
      <c r="I16" s="292">
        <f t="shared" si="2"/>
        <v>0.61149488809063279</v>
      </c>
    </row>
    <row r="17" spans="2:11" x14ac:dyDescent="0.25">
      <c r="B17" s="424" t="s">
        <v>404</v>
      </c>
      <c r="C17" s="423">
        <v>200</v>
      </c>
      <c r="D17" s="423" t="s">
        <v>363</v>
      </c>
      <c r="E17" s="425">
        <v>720</v>
      </c>
      <c r="F17" s="425"/>
      <c r="G17" s="426">
        <f t="shared" si="0"/>
        <v>144000</v>
      </c>
      <c r="H17" s="292">
        <f t="shared" si="1"/>
        <v>3.9789997236805749E-2</v>
      </c>
      <c r="I17" s="292">
        <f t="shared" si="2"/>
        <v>0.65128488532743856</v>
      </c>
      <c r="K17">
        <f>77.4*8</f>
        <v>619.20000000000005</v>
      </c>
    </row>
    <row r="18" spans="2:11" x14ac:dyDescent="0.25">
      <c r="B18" s="424" t="s">
        <v>403</v>
      </c>
      <c r="C18" s="423">
        <v>300</v>
      </c>
      <c r="D18" s="423" t="s">
        <v>363</v>
      </c>
      <c r="E18" s="425">
        <v>350</v>
      </c>
      <c r="F18" s="425"/>
      <c r="G18" s="426">
        <f t="shared" si="0"/>
        <v>105000</v>
      </c>
      <c r="H18" s="292">
        <f t="shared" si="1"/>
        <v>2.9013539651837523E-2</v>
      </c>
      <c r="I18" s="292">
        <f t="shared" si="2"/>
        <v>0.68029842497927606</v>
      </c>
    </row>
    <row r="19" spans="2:11" ht="22.5" x14ac:dyDescent="0.25">
      <c r="B19" s="424" t="s">
        <v>402</v>
      </c>
      <c r="C19" s="423">
        <v>50</v>
      </c>
      <c r="D19" s="423" t="s">
        <v>363</v>
      </c>
      <c r="E19" s="425">
        <v>1800</v>
      </c>
      <c r="F19" s="425"/>
      <c r="G19" s="426">
        <f t="shared" si="0"/>
        <v>90000</v>
      </c>
      <c r="H19" s="292">
        <f t="shared" si="1"/>
        <v>2.4868748273003592E-2</v>
      </c>
      <c r="I19" s="292">
        <f t="shared" si="2"/>
        <v>0.70516717325227962</v>
      </c>
    </row>
    <row r="20" spans="2:11" x14ac:dyDescent="0.25">
      <c r="B20" s="424" t="s">
        <v>401</v>
      </c>
      <c r="C20" s="423">
        <v>300</v>
      </c>
      <c r="D20" s="423" t="s">
        <v>363</v>
      </c>
      <c r="E20" s="425">
        <v>300</v>
      </c>
      <c r="F20" s="425"/>
      <c r="G20" s="426">
        <f t="shared" si="0"/>
        <v>90000</v>
      </c>
      <c r="H20" s="292">
        <f t="shared" si="1"/>
        <v>2.4868748273003592E-2</v>
      </c>
      <c r="I20" s="292">
        <f t="shared" si="2"/>
        <v>0.73003592152528318</v>
      </c>
    </row>
    <row r="21" spans="2:11" x14ac:dyDescent="0.25">
      <c r="B21" s="424" t="s">
        <v>400</v>
      </c>
      <c r="C21" s="423">
        <v>100</v>
      </c>
      <c r="D21" s="423" t="s">
        <v>363</v>
      </c>
      <c r="E21" s="425">
        <v>880</v>
      </c>
      <c r="F21" s="425"/>
      <c r="G21" s="426">
        <f t="shared" si="0"/>
        <v>88000</v>
      </c>
      <c r="H21" s="292">
        <f t="shared" si="1"/>
        <v>2.4316109422492401E-2</v>
      </c>
      <c r="I21" s="292">
        <f t="shared" si="2"/>
        <v>0.75435203094777559</v>
      </c>
    </row>
    <row r="22" spans="2:11" x14ac:dyDescent="0.25">
      <c r="B22" s="424" t="s">
        <v>399</v>
      </c>
      <c r="C22" s="423">
        <v>300</v>
      </c>
      <c r="D22" s="423" t="s">
        <v>363</v>
      </c>
      <c r="E22" s="425">
        <v>260</v>
      </c>
      <c r="F22" s="425"/>
      <c r="G22" s="426">
        <f t="shared" si="0"/>
        <v>78000</v>
      </c>
      <c r="H22" s="292">
        <f t="shared" si="1"/>
        <v>2.1552915169936446E-2</v>
      </c>
      <c r="I22" s="292">
        <f t="shared" si="2"/>
        <v>0.77590494611771199</v>
      </c>
    </row>
    <row r="23" spans="2:11" x14ac:dyDescent="0.25">
      <c r="B23" s="424" t="s">
        <v>398</v>
      </c>
      <c r="C23" s="423">
        <v>300</v>
      </c>
      <c r="D23" s="423" t="s">
        <v>363</v>
      </c>
      <c r="E23" s="425">
        <v>250</v>
      </c>
      <c r="F23" s="425"/>
      <c r="G23" s="426">
        <f t="shared" si="0"/>
        <v>75000</v>
      </c>
      <c r="H23" s="292">
        <f t="shared" si="1"/>
        <v>2.072395689416966E-2</v>
      </c>
      <c r="I23" s="292">
        <f t="shared" si="2"/>
        <v>0.79662890301188161</v>
      </c>
    </row>
    <row r="24" spans="2:11" x14ac:dyDescent="0.25">
      <c r="B24" s="424" t="s">
        <v>397</v>
      </c>
      <c r="C24" s="423">
        <v>300</v>
      </c>
      <c r="D24" s="423" t="s">
        <v>363</v>
      </c>
      <c r="E24" s="425">
        <v>200</v>
      </c>
      <c r="F24" s="425"/>
      <c r="G24" s="426">
        <f t="shared" si="0"/>
        <v>60000</v>
      </c>
      <c r="H24" s="292">
        <f t="shared" si="1"/>
        <v>1.6579165515335729E-2</v>
      </c>
      <c r="I24" s="292">
        <f t="shared" si="2"/>
        <v>0.81320806852721739</v>
      </c>
    </row>
    <row r="25" spans="2:11" x14ac:dyDescent="0.25">
      <c r="B25" s="424" t="s">
        <v>396</v>
      </c>
      <c r="C25" s="423">
        <v>300</v>
      </c>
      <c r="D25" s="423" t="s">
        <v>363</v>
      </c>
      <c r="E25" s="425">
        <v>200</v>
      </c>
      <c r="F25" s="425"/>
      <c r="G25" s="426">
        <f t="shared" si="0"/>
        <v>60000</v>
      </c>
      <c r="H25" s="292">
        <f t="shared" si="1"/>
        <v>1.6579165515335729E-2</v>
      </c>
      <c r="I25" s="292">
        <f t="shared" si="2"/>
        <v>0.82978723404255317</v>
      </c>
    </row>
    <row r="26" spans="2:11" x14ac:dyDescent="0.25">
      <c r="B26" s="424" t="s">
        <v>395</v>
      </c>
      <c r="C26" s="423">
        <v>300</v>
      </c>
      <c r="D26" s="423" t="s">
        <v>363</v>
      </c>
      <c r="E26" s="425">
        <v>200</v>
      </c>
      <c r="F26" s="425"/>
      <c r="G26" s="426">
        <f t="shared" si="0"/>
        <v>60000</v>
      </c>
      <c r="H26" s="292">
        <f t="shared" si="1"/>
        <v>1.6579165515335729E-2</v>
      </c>
      <c r="I26" s="292">
        <f t="shared" si="2"/>
        <v>0.84636639955788895</v>
      </c>
    </row>
    <row r="27" spans="2:11" ht="22.5" x14ac:dyDescent="0.25">
      <c r="B27" s="424" t="s">
        <v>394</v>
      </c>
      <c r="C27" s="423">
        <v>50</v>
      </c>
      <c r="D27" s="423" t="s">
        <v>363</v>
      </c>
      <c r="E27" s="425">
        <v>1080</v>
      </c>
      <c r="F27" s="425"/>
      <c r="G27" s="426">
        <f t="shared" si="0"/>
        <v>54000</v>
      </c>
      <c r="H27" s="292">
        <f t="shared" si="1"/>
        <v>1.4921248963802156E-2</v>
      </c>
      <c r="I27" s="292">
        <f t="shared" si="2"/>
        <v>0.86128764852169115</v>
      </c>
    </row>
    <row r="28" spans="2:11" x14ac:dyDescent="0.25">
      <c r="B28" s="424" t="s">
        <v>393</v>
      </c>
      <c r="C28" s="423">
        <v>50</v>
      </c>
      <c r="D28" s="423" t="s">
        <v>363</v>
      </c>
      <c r="E28" s="425">
        <v>960</v>
      </c>
      <c r="F28" s="425"/>
      <c r="G28" s="426">
        <f t="shared" si="0"/>
        <v>48000</v>
      </c>
      <c r="H28" s="292">
        <f t="shared" si="1"/>
        <v>1.3263332412268583E-2</v>
      </c>
      <c r="I28" s="292">
        <f t="shared" si="2"/>
        <v>0.87455098093395978</v>
      </c>
    </row>
    <row r="29" spans="2:11" x14ac:dyDescent="0.25">
      <c r="B29" s="424" t="s">
        <v>392</v>
      </c>
      <c r="C29" s="423">
        <v>300</v>
      </c>
      <c r="D29" s="423" t="s">
        <v>363</v>
      </c>
      <c r="E29" s="425">
        <v>150</v>
      </c>
      <c r="F29" s="425"/>
      <c r="G29" s="426">
        <f t="shared" si="0"/>
        <v>45000</v>
      </c>
      <c r="H29" s="292">
        <f t="shared" si="1"/>
        <v>1.2434374136501796E-2</v>
      </c>
      <c r="I29" s="292">
        <f t="shared" si="2"/>
        <v>0.88698535507046161</v>
      </c>
    </row>
    <row r="30" spans="2:11" x14ac:dyDescent="0.25">
      <c r="B30" s="424" t="s">
        <v>391</v>
      </c>
      <c r="C30" s="423">
        <v>300</v>
      </c>
      <c r="D30" s="423" t="s">
        <v>363</v>
      </c>
      <c r="E30" s="425">
        <v>150</v>
      </c>
      <c r="F30" s="425"/>
      <c r="G30" s="426">
        <f t="shared" si="0"/>
        <v>45000</v>
      </c>
      <c r="H30" s="292">
        <f t="shared" si="1"/>
        <v>1.2434374136501796E-2</v>
      </c>
      <c r="I30" s="292">
        <f t="shared" si="2"/>
        <v>0.89941972920696345</v>
      </c>
    </row>
    <row r="31" spans="2:11" x14ac:dyDescent="0.25">
      <c r="B31" s="424" t="s">
        <v>390</v>
      </c>
      <c r="C31" s="423">
        <v>300</v>
      </c>
      <c r="D31" s="423" t="s">
        <v>363</v>
      </c>
      <c r="E31" s="425">
        <v>150</v>
      </c>
      <c r="F31" s="425"/>
      <c r="G31" s="426">
        <f t="shared" si="0"/>
        <v>45000</v>
      </c>
      <c r="H31" s="292">
        <f t="shared" si="1"/>
        <v>1.2434374136501796E-2</v>
      </c>
      <c r="I31" s="292">
        <f t="shared" si="2"/>
        <v>0.91185410334346528</v>
      </c>
    </row>
    <row r="32" spans="2:11" x14ac:dyDescent="0.25">
      <c r="B32" s="424" t="s">
        <v>389</v>
      </c>
      <c r="C32" s="423">
        <v>300</v>
      </c>
      <c r="D32" s="423" t="s">
        <v>363</v>
      </c>
      <c r="E32" s="425">
        <v>100</v>
      </c>
      <c r="F32" s="425"/>
      <c r="G32" s="426">
        <f t="shared" si="0"/>
        <v>30000</v>
      </c>
      <c r="H32" s="292">
        <f t="shared" si="1"/>
        <v>8.2895827576678644E-3</v>
      </c>
      <c r="I32" s="292">
        <f t="shared" si="2"/>
        <v>0.92014368610113317</v>
      </c>
    </row>
    <row r="33" spans="2:9" ht="22.5" x14ac:dyDescent="0.25">
      <c r="B33" s="424" t="s">
        <v>388</v>
      </c>
      <c r="C33" s="423">
        <v>100</v>
      </c>
      <c r="D33" s="423" t="s">
        <v>363</v>
      </c>
      <c r="E33" s="425">
        <v>250</v>
      </c>
      <c r="F33" s="425"/>
      <c r="G33" s="426">
        <f t="shared" si="0"/>
        <v>25000</v>
      </c>
      <c r="H33" s="292">
        <f t="shared" si="1"/>
        <v>6.9079856313898867E-3</v>
      </c>
      <c r="I33" s="292">
        <f t="shared" si="2"/>
        <v>0.92705167173252301</v>
      </c>
    </row>
    <row r="34" spans="2:9" x14ac:dyDescent="0.25">
      <c r="B34" s="424" t="s">
        <v>387</v>
      </c>
      <c r="C34" s="423">
        <v>100</v>
      </c>
      <c r="D34" s="423" t="s">
        <v>363</v>
      </c>
      <c r="E34" s="425">
        <v>250</v>
      </c>
      <c r="F34" s="425"/>
      <c r="G34" s="426">
        <f t="shared" si="0"/>
        <v>25000</v>
      </c>
      <c r="H34" s="292">
        <f t="shared" si="1"/>
        <v>6.9079856313898867E-3</v>
      </c>
      <c r="I34" s="292">
        <f t="shared" si="2"/>
        <v>0.93395965736391284</v>
      </c>
    </row>
    <row r="35" spans="2:9" ht="22.5" x14ac:dyDescent="0.25">
      <c r="B35" s="424" t="s">
        <v>386</v>
      </c>
      <c r="C35" s="423">
        <v>5000</v>
      </c>
      <c r="D35" s="423" t="s">
        <v>55</v>
      </c>
      <c r="E35" s="425"/>
      <c r="F35" s="425">
        <v>4.5</v>
      </c>
      <c r="G35" s="426">
        <f>C35*F35</f>
        <v>22500</v>
      </c>
      <c r="H35" s="292">
        <f t="shared" si="1"/>
        <v>6.2171870682508979E-3</v>
      </c>
      <c r="I35" s="292">
        <f t="shared" si="2"/>
        <v>0.94017684443216376</v>
      </c>
    </row>
    <row r="36" spans="2:9" ht="22.5" x14ac:dyDescent="0.25">
      <c r="B36" s="424" t="s">
        <v>385</v>
      </c>
      <c r="C36" s="423">
        <v>5000</v>
      </c>
      <c r="D36" s="423" t="s">
        <v>384</v>
      </c>
      <c r="E36" s="425"/>
      <c r="F36" s="425">
        <v>4.5</v>
      </c>
      <c r="G36" s="426">
        <f>C36*F36</f>
        <v>22500</v>
      </c>
      <c r="H36" s="292">
        <f t="shared" si="1"/>
        <v>6.2171870682508979E-3</v>
      </c>
      <c r="I36" s="292">
        <f t="shared" si="2"/>
        <v>0.94639403150041468</v>
      </c>
    </row>
    <row r="37" spans="2:9" x14ac:dyDescent="0.25">
      <c r="B37" s="424" t="s">
        <v>383</v>
      </c>
      <c r="C37" s="423">
        <v>100</v>
      </c>
      <c r="D37" s="423" t="s">
        <v>363</v>
      </c>
      <c r="E37" s="425">
        <v>220</v>
      </c>
      <c r="F37" s="425"/>
      <c r="G37" s="426">
        <f t="shared" ref="G37:G56" si="3">C37*E37</f>
        <v>22000</v>
      </c>
      <c r="H37" s="292">
        <f t="shared" si="1"/>
        <v>6.0790273556231003E-3</v>
      </c>
      <c r="I37" s="292">
        <f t="shared" si="2"/>
        <v>0.95247305885603772</v>
      </c>
    </row>
    <row r="38" spans="2:9" ht="22.5" x14ac:dyDescent="0.25">
      <c r="B38" s="424" t="s">
        <v>382</v>
      </c>
      <c r="C38" s="423">
        <v>100</v>
      </c>
      <c r="D38" s="423" t="s">
        <v>363</v>
      </c>
      <c r="E38" s="425">
        <v>185</v>
      </c>
      <c r="F38" s="425"/>
      <c r="G38" s="426">
        <f t="shared" si="3"/>
        <v>18500</v>
      </c>
      <c r="H38" s="292">
        <f t="shared" ref="H38:H56" si="4">G38/$G$57</f>
        <v>5.1119093672285162E-3</v>
      </c>
      <c r="I38" s="292">
        <f t="shared" si="2"/>
        <v>0.95758496822326622</v>
      </c>
    </row>
    <row r="39" spans="2:9" x14ac:dyDescent="0.25">
      <c r="B39" s="424" t="s">
        <v>381</v>
      </c>
      <c r="C39" s="423">
        <v>100</v>
      </c>
      <c r="D39" s="423" t="s">
        <v>363</v>
      </c>
      <c r="E39" s="425">
        <v>150</v>
      </c>
      <c r="F39" s="425"/>
      <c r="G39" s="426">
        <f t="shared" si="3"/>
        <v>15000</v>
      </c>
      <c r="H39" s="292">
        <f t="shared" si="4"/>
        <v>4.1447913788339322E-3</v>
      </c>
      <c r="I39" s="292">
        <f t="shared" ref="I39:I56" si="5">H39+I38</f>
        <v>0.96172975960210016</v>
      </c>
    </row>
    <row r="40" spans="2:9" x14ac:dyDescent="0.25">
      <c r="B40" s="424" t="s">
        <v>380</v>
      </c>
      <c r="C40" s="423">
        <v>100</v>
      </c>
      <c r="D40" s="423" t="s">
        <v>363</v>
      </c>
      <c r="E40" s="425">
        <v>145</v>
      </c>
      <c r="F40" s="425"/>
      <c r="G40" s="426">
        <f t="shared" si="3"/>
        <v>14500</v>
      </c>
      <c r="H40" s="292">
        <f t="shared" si="4"/>
        <v>4.0066316662061346E-3</v>
      </c>
      <c r="I40" s="292">
        <f t="shared" si="5"/>
        <v>0.96573639126830635</v>
      </c>
    </row>
    <row r="41" spans="2:9" ht="22.5" x14ac:dyDescent="0.25">
      <c r="B41" s="424" t="s">
        <v>379</v>
      </c>
      <c r="C41" s="423">
        <v>50</v>
      </c>
      <c r="D41" s="423" t="s">
        <v>363</v>
      </c>
      <c r="E41" s="425">
        <v>250</v>
      </c>
      <c r="F41" s="425"/>
      <c r="G41" s="426">
        <f t="shared" si="3"/>
        <v>12500</v>
      </c>
      <c r="H41" s="292">
        <f t="shared" si="4"/>
        <v>3.4539928156949434E-3</v>
      </c>
      <c r="I41" s="292">
        <f t="shared" si="5"/>
        <v>0.96919038408400127</v>
      </c>
    </row>
    <row r="42" spans="2:9" x14ac:dyDescent="0.25">
      <c r="B42" s="424" t="s">
        <v>378</v>
      </c>
      <c r="C42" s="423">
        <v>100</v>
      </c>
      <c r="D42" s="423" t="s">
        <v>363</v>
      </c>
      <c r="E42" s="425">
        <v>120</v>
      </c>
      <c r="F42" s="425"/>
      <c r="G42" s="426">
        <f t="shared" si="3"/>
        <v>12000</v>
      </c>
      <c r="H42" s="292">
        <f t="shared" si="4"/>
        <v>3.3158331030671458E-3</v>
      </c>
      <c r="I42" s="292">
        <f t="shared" si="5"/>
        <v>0.97250621718706842</v>
      </c>
    </row>
    <row r="43" spans="2:9" x14ac:dyDescent="0.25">
      <c r="B43" s="424" t="s">
        <v>377</v>
      </c>
      <c r="C43" s="423">
        <v>100</v>
      </c>
      <c r="D43" s="423" t="s">
        <v>363</v>
      </c>
      <c r="E43" s="425">
        <v>120</v>
      </c>
      <c r="F43" s="425"/>
      <c r="G43" s="426">
        <f t="shared" si="3"/>
        <v>12000</v>
      </c>
      <c r="H43" s="292">
        <f t="shared" si="4"/>
        <v>3.3158331030671458E-3</v>
      </c>
      <c r="I43" s="292">
        <f t="shared" si="5"/>
        <v>0.97582205029013558</v>
      </c>
    </row>
    <row r="44" spans="2:9" x14ac:dyDescent="0.25">
      <c r="B44" s="424" t="s">
        <v>376</v>
      </c>
      <c r="C44" s="423">
        <v>100</v>
      </c>
      <c r="D44" s="423" t="s">
        <v>363</v>
      </c>
      <c r="E44" s="425">
        <v>105</v>
      </c>
      <c r="F44" s="425"/>
      <c r="G44" s="426">
        <f t="shared" si="3"/>
        <v>10500</v>
      </c>
      <c r="H44" s="292">
        <f t="shared" si="4"/>
        <v>2.9013539651837525E-3</v>
      </c>
      <c r="I44" s="292">
        <f t="shared" si="5"/>
        <v>0.97872340425531934</v>
      </c>
    </row>
    <row r="45" spans="2:9" x14ac:dyDescent="0.25">
      <c r="B45" s="424" t="s">
        <v>375</v>
      </c>
      <c r="C45" s="423">
        <v>100</v>
      </c>
      <c r="D45" s="423" t="s">
        <v>363</v>
      </c>
      <c r="E45" s="425">
        <v>100</v>
      </c>
      <c r="F45" s="425"/>
      <c r="G45" s="426">
        <f t="shared" si="3"/>
        <v>10000</v>
      </c>
      <c r="H45" s="292">
        <f t="shared" si="4"/>
        <v>2.7631942525559545E-3</v>
      </c>
      <c r="I45" s="292">
        <f t="shared" si="5"/>
        <v>0.98148659850787534</v>
      </c>
    </row>
    <row r="46" spans="2:9" x14ac:dyDescent="0.25">
      <c r="B46" s="424" t="s">
        <v>374</v>
      </c>
      <c r="C46" s="423">
        <v>50</v>
      </c>
      <c r="D46" s="423" t="s">
        <v>363</v>
      </c>
      <c r="E46" s="425">
        <v>180</v>
      </c>
      <c r="F46" s="425"/>
      <c r="G46" s="426">
        <f t="shared" si="3"/>
        <v>9000</v>
      </c>
      <c r="H46" s="292">
        <f t="shared" si="4"/>
        <v>2.4868748273003593E-3</v>
      </c>
      <c r="I46" s="292">
        <f t="shared" si="5"/>
        <v>0.98397347333517571</v>
      </c>
    </row>
    <row r="47" spans="2:9" x14ac:dyDescent="0.25">
      <c r="B47" s="424" t="s">
        <v>373</v>
      </c>
      <c r="C47" s="423">
        <v>50</v>
      </c>
      <c r="D47" s="423" t="s">
        <v>363</v>
      </c>
      <c r="E47" s="425">
        <v>180</v>
      </c>
      <c r="F47" s="425"/>
      <c r="G47" s="426">
        <f t="shared" si="3"/>
        <v>9000</v>
      </c>
      <c r="H47" s="292">
        <f t="shared" si="4"/>
        <v>2.4868748273003593E-3</v>
      </c>
      <c r="I47" s="292">
        <f t="shared" si="5"/>
        <v>0.98646034816247608</v>
      </c>
    </row>
    <row r="48" spans="2:9" x14ac:dyDescent="0.25">
      <c r="B48" s="424" t="s">
        <v>372</v>
      </c>
      <c r="C48" s="423">
        <v>50</v>
      </c>
      <c r="D48" s="423" t="s">
        <v>363</v>
      </c>
      <c r="E48" s="425">
        <v>180</v>
      </c>
      <c r="F48" s="425"/>
      <c r="G48" s="426">
        <f t="shared" si="3"/>
        <v>9000</v>
      </c>
      <c r="H48" s="292">
        <f t="shared" si="4"/>
        <v>2.4868748273003593E-3</v>
      </c>
      <c r="I48" s="292">
        <f t="shared" si="5"/>
        <v>0.98894722298977644</v>
      </c>
    </row>
    <row r="49" spans="2:9" ht="22.5" x14ac:dyDescent="0.25">
      <c r="B49" s="424" t="s">
        <v>371</v>
      </c>
      <c r="C49" s="423">
        <v>50</v>
      </c>
      <c r="D49" s="423" t="s">
        <v>363</v>
      </c>
      <c r="E49" s="425">
        <v>160</v>
      </c>
      <c r="F49" s="425"/>
      <c r="G49" s="426">
        <f t="shared" si="3"/>
        <v>8000</v>
      </c>
      <c r="H49" s="292">
        <f t="shared" si="4"/>
        <v>2.2105554020447637E-3</v>
      </c>
      <c r="I49" s="292">
        <f t="shared" si="5"/>
        <v>0.99115777839182118</v>
      </c>
    </row>
    <row r="50" spans="2:9" x14ac:dyDescent="0.25">
      <c r="B50" s="424" t="s">
        <v>370</v>
      </c>
      <c r="C50" s="423">
        <v>50</v>
      </c>
      <c r="D50" s="423" t="s">
        <v>363</v>
      </c>
      <c r="E50" s="425">
        <v>130</v>
      </c>
      <c r="F50" s="425"/>
      <c r="G50" s="426">
        <f t="shared" si="3"/>
        <v>6500</v>
      </c>
      <c r="H50" s="292">
        <f t="shared" si="4"/>
        <v>1.7960762641613705E-3</v>
      </c>
      <c r="I50" s="292">
        <f t="shared" si="5"/>
        <v>0.99295385465598252</v>
      </c>
    </row>
    <row r="51" spans="2:9" ht="22.5" x14ac:dyDescent="0.25">
      <c r="B51" s="424" t="s">
        <v>369</v>
      </c>
      <c r="C51" s="423">
        <v>50</v>
      </c>
      <c r="D51" s="423" t="s">
        <v>363</v>
      </c>
      <c r="E51" s="425">
        <v>130</v>
      </c>
      <c r="F51" s="425"/>
      <c r="G51" s="426">
        <f t="shared" si="3"/>
        <v>6500</v>
      </c>
      <c r="H51" s="292">
        <f t="shared" si="4"/>
        <v>1.7960762641613705E-3</v>
      </c>
      <c r="I51" s="292">
        <f t="shared" si="5"/>
        <v>0.99474993092014385</v>
      </c>
    </row>
    <row r="52" spans="2:9" ht="22.5" x14ac:dyDescent="0.25">
      <c r="B52" s="424" t="s">
        <v>368</v>
      </c>
      <c r="C52" s="423">
        <v>50</v>
      </c>
      <c r="D52" s="423" t="s">
        <v>363</v>
      </c>
      <c r="E52" s="425">
        <v>120</v>
      </c>
      <c r="F52" s="425"/>
      <c r="G52" s="426">
        <f t="shared" si="3"/>
        <v>6000</v>
      </c>
      <c r="H52" s="292">
        <f t="shared" si="4"/>
        <v>1.6579165515335729E-3</v>
      </c>
      <c r="I52" s="292">
        <f t="shared" si="5"/>
        <v>0.99640784747167743</v>
      </c>
    </row>
    <row r="53" spans="2:9" ht="22.5" x14ac:dyDescent="0.25">
      <c r="B53" s="424" t="s">
        <v>367</v>
      </c>
      <c r="C53" s="423">
        <v>50</v>
      </c>
      <c r="D53" s="423" t="s">
        <v>363</v>
      </c>
      <c r="E53" s="425">
        <v>100</v>
      </c>
      <c r="F53" s="425"/>
      <c r="G53" s="426">
        <f t="shared" si="3"/>
        <v>5000</v>
      </c>
      <c r="H53" s="292">
        <f t="shared" si="4"/>
        <v>1.3815971262779773E-3</v>
      </c>
      <c r="I53" s="292">
        <f t="shared" si="5"/>
        <v>0.99778944459795538</v>
      </c>
    </row>
    <row r="54" spans="2:9" x14ac:dyDescent="0.25">
      <c r="B54" s="424" t="s">
        <v>366</v>
      </c>
      <c r="C54" s="423">
        <v>50</v>
      </c>
      <c r="D54" s="423" t="s">
        <v>363</v>
      </c>
      <c r="E54" s="425">
        <v>80</v>
      </c>
      <c r="F54" s="425"/>
      <c r="G54" s="426">
        <f t="shared" si="3"/>
        <v>4000</v>
      </c>
      <c r="H54" s="292">
        <f t="shared" si="4"/>
        <v>1.1052777010223818E-3</v>
      </c>
      <c r="I54" s="292">
        <f t="shared" si="5"/>
        <v>0.9988947222989778</v>
      </c>
    </row>
    <row r="55" spans="2:9" x14ac:dyDescent="0.25">
      <c r="B55" s="424" t="s">
        <v>365</v>
      </c>
      <c r="C55" s="423">
        <v>100</v>
      </c>
      <c r="D55" s="423" t="s">
        <v>363</v>
      </c>
      <c r="E55" s="425">
        <v>20</v>
      </c>
      <c r="F55" s="425"/>
      <c r="G55" s="426">
        <f t="shared" si="3"/>
        <v>2000</v>
      </c>
      <c r="H55" s="292">
        <f t="shared" si="4"/>
        <v>5.5263885051119092E-4</v>
      </c>
      <c r="I55" s="292">
        <f t="shared" si="5"/>
        <v>0.99944736114948896</v>
      </c>
    </row>
    <row r="56" spans="2:9" x14ac:dyDescent="0.25">
      <c r="B56" s="424" t="s">
        <v>364</v>
      </c>
      <c r="C56" s="423">
        <v>100</v>
      </c>
      <c r="D56" s="423" t="s">
        <v>363</v>
      </c>
      <c r="E56" s="425">
        <v>20</v>
      </c>
      <c r="F56" s="425"/>
      <c r="G56" s="426">
        <f t="shared" si="3"/>
        <v>2000</v>
      </c>
      <c r="H56" s="292">
        <f t="shared" si="4"/>
        <v>5.5263885051119092E-4</v>
      </c>
      <c r="I56" s="292">
        <f t="shared" si="5"/>
        <v>1.0000000000000002</v>
      </c>
    </row>
    <row r="57" spans="2:9" ht="15.75" customHeight="1" x14ac:dyDescent="0.25">
      <c r="B57" s="720" t="s">
        <v>146</v>
      </c>
      <c r="C57" s="788"/>
      <c r="D57" s="788"/>
      <c r="E57" s="788"/>
      <c r="F57" s="721"/>
      <c r="G57" s="146">
        <f>SUM(G6:G56)</f>
        <v>3619000</v>
      </c>
      <c r="H57" s="292">
        <f>SUM(H6:H56)</f>
        <v>1.0000000000000002</v>
      </c>
      <c r="I57" s="7"/>
    </row>
  </sheetData>
  <mergeCells count="2">
    <mergeCell ref="B4:G4"/>
    <mergeCell ref="B57:F57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63"/>
  <sheetViews>
    <sheetView showGridLines="0" workbookViewId="0">
      <selection activeCell="D8" sqref="D8:E8"/>
    </sheetView>
  </sheetViews>
  <sheetFormatPr defaultColWidth="12.5703125" defaultRowHeight="15" x14ac:dyDescent="0.25"/>
  <cols>
    <col min="1" max="1" width="12.5703125" style="22"/>
    <col min="2" max="2" width="6.140625" style="22" customWidth="1"/>
    <col min="3" max="3" width="40.28515625" style="58" customWidth="1"/>
    <col min="4" max="4" width="15.140625" style="22" customWidth="1"/>
    <col min="5" max="5" width="13.85546875" style="22" customWidth="1"/>
    <col min="6" max="6" width="11.85546875" style="22" customWidth="1"/>
    <col min="7" max="7" width="13.5703125" style="22" customWidth="1"/>
    <col min="8" max="8" width="17.140625" style="22" customWidth="1"/>
    <col min="9" max="9" width="12.7109375" style="22" customWidth="1"/>
    <col min="10" max="16384" width="12.5703125" style="22"/>
  </cols>
  <sheetData>
    <row r="1" spans="2:7" x14ac:dyDescent="0.25">
      <c r="B1" s="77" t="s">
        <v>224</v>
      </c>
      <c r="D1" s="106" t="s">
        <v>2</v>
      </c>
    </row>
    <row r="2" spans="2:7" x14ac:dyDescent="0.25">
      <c r="C2" s="105" t="s">
        <v>223</v>
      </c>
      <c r="D2" s="104">
        <f>G58+G109</f>
        <v>688890</v>
      </c>
    </row>
    <row r="3" spans="2:7" x14ac:dyDescent="0.25">
      <c r="C3" s="105" t="s">
        <v>222</v>
      </c>
      <c r="D3" s="104">
        <f>F116+F142</f>
        <v>4360</v>
      </c>
      <c r="G3" s="103"/>
    </row>
    <row r="4" spans="2:7" x14ac:dyDescent="0.25">
      <c r="C4" s="102" t="s">
        <v>221</v>
      </c>
      <c r="D4" s="101">
        <f>D2+D3</f>
        <v>693250</v>
      </c>
    </row>
    <row r="5" spans="2:7" x14ac:dyDescent="0.25">
      <c r="E5" s="92"/>
    </row>
    <row r="6" spans="2:7" x14ac:dyDescent="0.25">
      <c r="E6" s="92"/>
    </row>
    <row r="7" spans="2:7" x14ac:dyDescent="0.25">
      <c r="C7" s="100" t="s">
        <v>220</v>
      </c>
      <c r="D7" s="99">
        <f>F133+F160</f>
        <v>156908</v>
      </c>
      <c r="E7" s="92"/>
    </row>
    <row r="8" spans="2:7" x14ac:dyDescent="0.25">
      <c r="C8" s="98" t="s">
        <v>219</v>
      </c>
      <c r="D8" s="97">
        <f>I133+I160</f>
        <v>24551.599999999999</v>
      </c>
    </row>
    <row r="9" spans="2:7" ht="15.75" thickBot="1" x14ac:dyDescent="0.3"/>
    <row r="10" spans="2:7" ht="13.5" customHeight="1" thickBot="1" x14ac:dyDescent="0.3">
      <c r="B10" s="814" t="s">
        <v>218</v>
      </c>
      <c r="C10" s="815"/>
      <c r="D10" s="815"/>
      <c r="E10" s="815"/>
      <c r="F10" s="815"/>
      <c r="G10" s="816"/>
    </row>
    <row r="11" spans="2:7" x14ac:dyDescent="0.25">
      <c r="B11" s="810" t="s">
        <v>141</v>
      </c>
      <c r="C11" s="817" t="s">
        <v>140</v>
      </c>
      <c r="D11" s="812" t="s">
        <v>216</v>
      </c>
      <c r="E11" s="812" t="s">
        <v>139</v>
      </c>
      <c r="F11" s="89" t="s">
        <v>39</v>
      </c>
      <c r="G11" s="89" t="s">
        <v>39</v>
      </c>
    </row>
    <row r="12" spans="2:7" ht="15.75" thickBot="1" x14ac:dyDescent="0.3">
      <c r="B12" s="811"/>
      <c r="C12" s="818"/>
      <c r="D12" s="813"/>
      <c r="E12" s="813"/>
      <c r="F12" s="80" t="s">
        <v>38</v>
      </c>
      <c r="G12" s="80" t="s">
        <v>138</v>
      </c>
    </row>
    <row r="13" spans="2:7" ht="15.75" thickBot="1" x14ac:dyDescent="0.3">
      <c r="B13" s="82">
        <v>1</v>
      </c>
      <c r="C13" s="81" t="s">
        <v>215</v>
      </c>
      <c r="D13" s="80" t="s">
        <v>214</v>
      </c>
      <c r="E13" s="80">
        <v>300</v>
      </c>
      <c r="F13" s="93">
        <v>2.8</v>
      </c>
      <c r="G13" s="68">
        <f t="shared" ref="G13:G57" si="0">E13*F13</f>
        <v>840</v>
      </c>
    </row>
    <row r="14" spans="2:7" ht="15.75" thickBot="1" x14ac:dyDescent="0.3">
      <c r="B14" s="82">
        <v>2</v>
      </c>
      <c r="C14" s="81" t="s">
        <v>213</v>
      </c>
      <c r="D14" s="80" t="s">
        <v>212</v>
      </c>
      <c r="E14" s="80">
        <v>90</v>
      </c>
      <c r="F14" s="93">
        <v>10</v>
      </c>
      <c r="G14" s="68">
        <f t="shared" si="0"/>
        <v>900</v>
      </c>
    </row>
    <row r="15" spans="2:7" ht="15.75" thickBot="1" x14ac:dyDescent="0.3">
      <c r="B15" s="82">
        <v>3</v>
      </c>
      <c r="C15" s="81" t="s">
        <v>211</v>
      </c>
      <c r="D15" s="80" t="s">
        <v>210</v>
      </c>
      <c r="E15" s="80">
        <v>200</v>
      </c>
      <c r="F15" s="93">
        <v>4.25</v>
      </c>
      <c r="G15" s="68">
        <f t="shared" si="0"/>
        <v>850</v>
      </c>
    </row>
    <row r="16" spans="2:7" ht="15.75" thickBot="1" x14ac:dyDescent="0.3">
      <c r="B16" s="82">
        <v>4</v>
      </c>
      <c r="C16" s="81" t="s">
        <v>209</v>
      </c>
      <c r="D16" s="80" t="s">
        <v>155</v>
      </c>
      <c r="E16" s="80">
        <v>200</v>
      </c>
      <c r="F16" s="93">
        <v>1.8</v>
      </c>
      <c r="G16" s="68">
        <f t="shared" si="0"/>
        <v>360</v>
      </c>
    </row>
    <row r="17" spans="2:8" ht="15.75" thickBot="1" x14ac:dyDescent="0.3">
      <c r="B17" s="82">
        <v>5</v>
      </c>
      <c r="C17" s="81" t="s">
        <v>208</v>
      </c>
      <c r="D17" s="80" t="s">
        <v>155</v>
      </c>
      <c r="E17" s="80">
        <v>110</v>
      </c>
      <c r="F17" s="93">
        <v>98</v>
      </c>
      <c r="G17" s="68">
        <f t="shared" si="0"/>
        <v>10780</v>
      </c>
    </row>
    <row r="18" spans="2:8" ht="15.75" thickBot="1" x14ac:dyDescent="0.3">
      <c r="B18" s="82">
        <v>6</v>
      </c>
      <c r="C18" s="81" t="s">
        <v>207</v>
      </c>
      <c r="D18" s="80" t="s">
        <v>155</v>
      </c>
      <c r="E18" s="80">
        <v>110</v>
      </c>
      <c r="F18" s="93">
        <v>120</v>
      </c>
      <c r="G18" s="68">
        <f t="shared" si="0"/>
        <v>13200</v>
      </c>
    </row>
    <row r="19" spans="2:8" ht="15.75" thickBot="1" x14ac:dyDescent="0.3">
      <c r="B19" s="82">
        <v>7</v>
      </c>
      <c r="C19" s="81" t="s">
        <v>206</v>
      </c>
      <c r="D19" s="80" t="s">
        <v>155</v>
      </c>
      <c r="E19" s="80">
        <v>200</v>
      </c>
      <c r="F19" s="93">
        <v>1.9</v>
      </c>
      <c r="G19" s="68">
        <f t="shared" si="0"/>
        <v>380</v>
      </c>
    </row>
    <row r="20" spans="2:8" ht="15.75" thickBot="1" x14ac:dyDescent="0.3">
      <c r="B20" s="82">
        <v>8</v>
      </c>
      <c r="C20" s="81" t="s">
        <v>205</v>
      </c>
      <c r="D20" s="80" t="s">
        <v>178</v>
      </c>
      <c r="E20" s="80">
        <v>50</v>
      </c>
      <c r="F20" s="93">
        <v>4</v>
      </c>
      <c r="G20" s="68">
        <f t="shared" si="0"/>
        <v>200</v>
      </c>
    </row>
    <row r="21" spans="2:8" ht="15.75" thickBot="1" x14ac:dyDescent="0.3">
      <c r="B21" s="82">
        <v>9</v>
      </c>
      <c r="C21" s="81" t="s">
        <v>204</v>
      </c>
      <c r="D21" s="80" t="s">
        <v>178</v>
      </c>
      <c r="E21" s="80">
        <v>50</v>
      </c>
      <c r="F21" s="93">
        <v>9</v>
      </c>
      <c r="G21" s="68">
        <f t="shared" si="0"/>
        <v>450</v>
      </c>
    </row>
    <row r="22" spans="2:8" ht="15.75" thickBot="1" x14ac:dyDescent="0.3">
      <c r="B22" s="82">
        <v>10</v>
      </c>
      <c r="C22" s="81" t="s">
        <v>203</v>
      </c>
      <c r="D22" s="80" t="s">
        <v>155</v>
      </c>
      <c r="E22" s="80">
        <v>50</v>
      </c>
      <c r="F22" s="93">
        <v>1.9</v>
      </c>
      <c r="G22" s="68">
        <f t="shared" si="0"/>
        <v>95</v>
      </c>
    </row>
    <row r="23" spans="2:8" ht="15.75" thickBot="1" x14ac:dyDescent="0.3">
      <c r="B23" s="82">
        <v>11</v>
      </c>
      <c r="C23" s="81" t="s">
        <v>202</v>
      </c>
      <c r="D23" s="80" t="s">
        <v>200</v>
      </c>
      <c r="E23" s="80">
        <v>540</v>
      </c>
      <c r="F23" s="93">
        <v>12</v>
      </c>
      <c r="G23" s="68">
        <f t="shared" si="0"/>
        <v>6480</v>
      </c>
    </row>
    <row r="24" spans="2:8" ht="15.75" thickBot="1" x14ac:dyDescent="0.3">
      <c r="B24" s="82">
        <v>12</v>
      </c>
      <c r="C24" s="81" t="s">
        <v>201</v>
      </c>
      <c r="D24" s="80" t="s">
        <v>200</v>
      </c>
      <c r="E24" s="80">
        <v>540</v>
      </c>
      <c r="F24" s="93">
        <v>8</v>
      </c>
      <c r="G24" s="68">
        <f t="shared" si="0"/>
        <v>4320</v>
      </c>
    </row>
    <row r="25" spans="2:8" ht="15.75" thickBot="1" x14ac:dyDescent="0.3">
      <c r="B25" s="82">
        <v>13</v>
      </c>
      <c r="C25" s="81" t="s">
        <v>199</v>
      </c>
      <c r="D25" s="80" t="s">
        <v>198</v>
      </c>
      <c r="E25" s="80">
        <v>50</v>
      </c>
      <c r="F25" s="93">
        <v>7</v>
      </c>
      <c r="G25" s="68">
        <f t="shared" si="0"/>
        <v>350</v>
      </c>
    </row>
    <row r="26" spans="2:8" ht="15.75" thickBot="1" x14ac:dyDescent="0.3">
      <c r="B26" s="82">
        <v>14</v>
      </c>
      <c r="C26" s="81" t="s">
        <v>197</v>
      </c>
      <c r="D26" s="80" t="s">
        <v>195</v>
      </c>
      <c r="E26" s="80">
        <v>400</v>
      </c>
      <c r="F26" s="93">
        <v>5</v>
      </c>
      <c r="G26" s="68">
        <f t="shared" si="0"/>
        <v>2000</v>
      </c>
    </row>
    <row r="27" spans="2:8" ht="15.75" thickBot="1" x14ac:dyDescent="0.3">
      <c r="B27" s="82">
        <v>15</v>
      </c>
      <c r="C27" s="81" t="s">
        <v>196</v>
      </c>
      <c r="D27" s="80" t="s">
        <v>195</v>
      </c>
      <c r="E27" s="80">
        <v>200</v>
      </c>
      <c r="F27" s="93">
        <v>7</v>
      </c>
      <c r="G27" s="68">
        <f t="shared" si="0"/>
        <v>1400</v>
      </c>
    </row>
    <row r="28" spans="2:8" ht="15.75" thickBot="1" x14ac:dyDescent="0.3">
      <c r="B28" s="82">
        <v>16</v>
      </c>
      <c r="C28" s="81" t="s">
        <v>194</v>
      </c>
      <c r="D28" s="80" t="s">
        <v>155</v>
      </c>
      <c r="E28" s="80">
        <v>400</v>
      </c>
      <c r="F28" s="93">
        <v>2.5</v>
      </c>
      <c r="G28" s="68">
        <f t="shared" si="0"/>
        <v>1000</v>
      </c>
    </row>
    <row r="29" spans="2:8" ht="15.75" thickBot="1" x14ac:dyDescent="0.3">
      <c r="B29" s="82">
        <v>17</v>
      </c>
      <c r="C29" s="81" t="s">
        <v>193</v>
      </c>
      <c r="D29" s="80" t="s">
        <v>190</v>
      </c>
      <c r="E29" s="80">
        <v>500</v>
      </c>
      <c r="F29" s="93">
        <v>60</v>
      </c>
      <c r="G29" s="68">
        <f t="shared" si="0"/>
        <v>30000</v>
      </c>
    </row>
    <row r="30" spans="2:8" ht="15.75" thickBot="1" x14ac:dyDescent="0.3">
      <c r="B30" s="82">
        <v>18</v>
      </c>
      <c r="C30" s="81" t="s">
        <v>192</v>
      </c>
      <c r="D30" s="80" t="s">
        <v>190</v>
      </c>
      <c r="E30" s="80">
        <v>500</v>
      </c>
      <c r="F30" s="93">
        <v>40</v>
      </c>
      <c r="G30" s="68">
        <f t="shared" si="0"/>
        <v>20000</v>
      </c>
    </row>
    <row r="31" spans="2:8" ht="15.75" thickBot="1" x14ac:dyDescent="0.3">
      <c r="B31" s="82">
        <v>19</v>
      </c>
      <c r="C31" s="81" t="s">
        <v>191</v>
      </c>
      <c r="D31" s="80" t="s">
        <v>190</v>
      </c>
      <c r="E31" s="80">
        <v>500</v>
      </c>
      <c r="F31" s="93">
        <v>30</v>
      </c>
      <c r="G31" s="68">
        <f t="shared" si="0"/>
        <v>15000</v>
      </c>
    </row>
    <row r="32" spans="2:8" ht="15.75" thickBot="1" x14ac:dyDescent="0.3">
      <c r="B32" s="82">
        <v>20</v>
      </c>
      <c r="C32" s="81" t="s">
        <v>189</v>
      </c>
      <c r="D32" s="80" t="s">
        <v>155</v>
      </c>
      <c r="E32" s="80">
        <v>40</v>
      </c>
      <c r="F32" s="93">
        <v>40</v>
      </c>
      <c r="G32" s="68">
        <f t="shared" si="0"/>
        <v>1600</v>
      </c>
      <c r="H32" s="92"/>
    </row>
    <row r="33" spans="2:8" ht="15.75" thickBot="1" x14ac:dyDescent="0.3">
      <c r="B33" s="82">
        <v>21</v>
      </c>
      <c r="C33" s="81" t="s">
        <v>188</v>
      </c>
      <c r="D33" s="80" t="s">
        <v>155</v>
      </c>
      <c r="E33" s="80">
        <v>40</v>
      </c>
      <c r="F33" s="93">
        <v>25</v>
      </c>
      <c r="G33" s="68">
        <f t="shared" si="0"/>
        <v>1000</v>
      </c>
      <c r="H33" s="92"/>
    </row>
    <row r="34" spans="2:8" ht="15.75" thickBot="1" x14ac:dyDescent="0.3">
      <c r="B34" s="82">
        <v>22</v>
      </c>
      <c r="C34" s="81" t="s">
        <v>187</v>
      </c>
      <c r="D34" s="80" t="s">
        <v>155</v>
      </c>
      <c r="E34" s="80">
        <v>180</v>
      </c>
      <c r="F34" s="93">
        <v>2.5</v>
      </c>
      <c r="G34" s="68">
        <f t="shared" si="0"/>
        <v>450</v>
      </c>
    </row>
    <row r="35" spans="2:8" ht="15.75" thickBot="1" x14ac:dyDescent="0.3">
      <c r="B35" s="82">
        <v>23</v>
      </c>
      <c r="C35" s="81" t="s">
        <v>186</v>
      </c>
      <c r="D35" s="80" t="s">
        <v>155</v>
      </c>
      <c r="E35" s="80">
        <v>50</v>
      </c>
      <c r="F35" s="93">
        <v>1.8</v>
      </c>
      <c r="G35" s="68">
        <f t="shared" si="0"/>
        <v>90</v>
      </c>
      <c r="H35" s="92"/>
    </row>
    <row r="36" spans="2:8" ht="15.75" thickBot="1" x14ac:dyDescent="0.3">
      <c r="B36" s="82">
        <v>24</v>
      </c>
      <c r="C36" s="81" t="s">
        <v>185</v>
      </c>
      <c r="D36" s="80" t="s">
        <v>155</v>
      </c>
      <c r="E36" s="80">
        <v>50</v>
      </c>
      <c r="F36" s="93">
        <v>6.5</v>
      </c>
      <c r="G36" s="68">
        <f t="shared" si="0"/>
        <v>325</v>
      </c>
    </row>
    <row r="37" spans="2:8" ht="15.75" thickBot="1" x14ac:dyDescent="0.3">
      <c r="B37" s="82">
        <v>25</v>
      </c>
      <c r="C37" s="81" t="s">
        <v>184</v>
      </c>
      <c r="D37" s="80" t="s">
        <v>172</v>
      </c>
      <c r="E37" s="80">
        <v>50</v>
      </c>
      <c r="F37" s="93">
        <v>22</v>
      </c>
      <c r="G37" s="68">
        <f t="shared" si="0"/>
        <v>1100</v>
      </c>
    </row>
    <row r="38" spans="2:8" ht="15.75" thickBot="1" x14ac:dyDescent="0.3">
      <c r="B38" s="82">
        <v>26</v>
      </c>
      <c r="C38" s="81" t="s">
        <v>183</v>
      </c>
      <c r="D38" s="80" t="s">
        <v>155</v>
      </c>
      <c r="E38" s="80">
        <v>50</v>
      </c>
      <c r="F38" s="93">
        <v>12</v>
      </c>
      <c r="G38" s="68">
        <f t="shared" si="0"/>
        <v>600</v>
      </c>
    </row>
    <row r="39" spans="2:8" ht="15.75" thickBot="1" x14ac:dyDescent="0.3">
      <c r="B39" s="82">
        <v>27</v>
      </c>
      <c r="C39" s="81" t="s">
        <v>182</v>
      </c>
      <c r="D39" s="80" t="s">
        <v>155</v>
      </c>
      <c r="E39" s="80">
        <v>50</v>
      </c>
      <c r="F39" s="93">
        <v>3</v>
      </c>
      <c r="G39" s="68">
        <f t="shared" si="0"/>
        <v>150</v>
      </c>
    </row>
    <row r="40" spans="2:8" ht="15.75" thickBot="1" x14ac:dyDescent="0.3">
      <c r="B40" s="82">
        <v>28</v>
      </c>
      <c r="C40" s="81" t="s">
        <v>181</v>
      </c>
      <c r="D40" s="80" t="s">
        <v>180</v>
      </c>
      <c r="E40" s="80">
        <v>50</v>
      </c>
      <c r="F40" s="93">
        <v>8</v>
      </c>
      <c r="G40" s="68">
        <f t="shared" si="0"/>
        <v>400</v>
      </c>
    </row>
    <row r="41" spans="2:8" ht="15.75" thickBot="1" x14ac:dyDescent="0.3">
      <c r="B41" s="82">
        <v>29</v>
      </c>
      <c r="C41" s="81" t="s">
        <v>179</v>
      </c>
      <c r="D41" s="80" t="s">
        <v>178</v>
      </c>
      <c r="E41" s="80">
        <v>100</v>
      </c>
      <c r="F41" s="93">
        <v>60</v>
      </c>
      <c r="G41" s="68">
        <f t="shared" si="0"/>
        <v>6000</v>
      </c>
    </row>
    <row r="42" spans="2:8" ht="15.75" thickBot="1" x14ac:dyDescent="0.3">
      <c r="B42" s="82">
        <v>30</v>
      </c>
      <c r="C42" s="81" t="s">
        <v>177</v>
      </c>
      <c r="D42" s="80" t="s">
        <v>155</v>
      </c>
      <c r="E42" s="80">
        <v>10</v>
      </c>
      <c r="F42" s="93">
        <v>13</v>
      </c>
      <c r="G42" s="68">
        <f t="shared" si="0"/>
        <v>130</v>
      </c>
    </row>
    <row r="43" spans="2:8" ht="15.75" thickBot="1" x14ac:dyDescent="0.3">
      <c r="B43" s="82">
        <v>31</v>
      </c>
      <c r="C43" s="81" t="s">
        <v>176</v>
      </c>
      <c r="D43" s="80" t="s">
        <v>175</v>
      </c>
      <c r="E43" s="80">
        <v>100</v>
      </c>
      <c r="F43" s="93">
        <v>14</v>
      </c>
      <c r="G43" s="68">
        <f t="shared" si="0"/>
        <v>1400</v>
      </c>
    </row>
    <row r="44" spans="2:8" ht="15.75" thickBot="1" x14ac:dyDescent="0.3">
      <c r="B44" s="82">
        <v>32</v>
      </c>
      <c r="C44" s="81" t="s">
        <v>174</v>
      </c>
      <c r="D44" s="80" t="s">
        <v>155</v>
      </c>
      <c r="E44" s="80">
        <v>100</v>
      </c>
      <c r="F44" s="93">
        <v>4</v>
      </c>
      <c r="G44" s="68">
        <f t="shared" si="0"/>
        <v>400</v>
      </c>
    </row>
    <row r="45" spans="2:8" ht="15.75" thickBot="1" x14ac:dyDescent="0.3">
      <c r="B45" s="82">
        <v>33</v>
      </c>
      <c r="C45" s="81" t="s">
        <v>173</v>
      </c>
      <c r="D45" s="80" t="s">
        <v>172</v>
      </c>
      <c r="E45" s="80">
        <v>100</v>
      </c>
      <c r="F45" s="93">
        <v>5</v>
      </c>
      <c r="G45" s="68">
        <f t="shared" si="0"/>
        <v>500</v>
      </c>
    </row>
    <row r="46" spans="2:8" ht="15.75" thickBot="1" x14ac:dyDescent="0.3">
      <c r="B46" s="82">
        <v>34</v>
      </c>
      <c r="C46" s="81" t="s">
        <v>171</v>
      </c>
      <c r="D46" s="80" t="s">
        <v>155</v>
      </c>
      <c r="E46" s="80">
        <v>50</v>
      </c>
      <c r="F46" s="93">
        <v>6</v>
      </c>
      <c r="G46" s="68">
        <f t="shared" si="0"/>
        <v>300</v>
      </c>
    </row>
    <row r="47" spans="2:8" ht="15.75" thickBot="1" x14ac:dyDescent="0.3">
      <c r="B47" s="82">
        <v>35</v>
      </c>
      <c r="C47" s="81" t="s">
        <v>170</v>
      </c>
      <c r="D47" s="80" t="s">
        <v>155</v>
      </c>
      <c r="E47" s="80">
        <v>200</v>
      </c>
      <c r="F47" s="93">
        <v>8</v>
      </c>
      <c r="G47" s="68">
        <f t="shared" si="0"/>
        <v>1600</v>
      </c>
    </row>
    <row r="48" spans="2:8" ht="15.75" thickBot="1" x14ac:dyDescent="0.3">
      <c r="B48" s="82">
        <v>36</v>
      </c>
      <c r="C48" s="81" t="s">
        <v>169</v>
      </c>
      <c r="D48" s="80" t="s">
        <v>155</v>
      </c>
      <c r="E48" s="80">
        <v>200</v>
      </c>
      <c r="F48" s="93">
        <v>3</v>
      </c>
      <c r="G48" s="68">
        <f t="shared" si="0"/>
        <v>600</v>
      </c>
    </row>
    <row r="49" spans="2:10" ht="15.75" thickBot="1" x14ac:dyDescent="0.3">
      <c r="B49" s="82">
        <v>37</v>
      </c>
      <c r="C49" s="81" t="s">
        <v>168</v>
      </c>
      <c r="D49" s="80" t="s">
        <v>155</v>
      </c>
      <c r="E49" s="80">
        <v>100</v>
      </c>
      <c r="F49" s="93">
        <v>2.8</v>
      </c>
      <c r="G49" s="68">
        <f t="shared" si="0"/>
        <v>280</v>
      </c>
      <c r="H49" s="92"/>
    </row>
    <row r="50" spans="2:10" ht="15.75" thickBot="1" x14ac:dyDescent="0.3">
      <c r="B50" s="82">
        <v>38</v>
      </c>
      <c r="C50" s="81" t="s">
        <v>167</v>
      </c>
      <c r="D50" s="80" t="s">
        <v>166</v>
      </c>
      <c r="E50" s="80">
        <v>100</v>
      </c>
      <c r="F50" s="93">
        <v>16</v>
      </c>
      <c r="G50" s="68">
        <f t="shared" si="0"/>
        <v>1600</v>
      </c>
    </row>
    <row r="51" spans="2:10" ht="15.75" thickBot="1" x14ac:dyDescent="0.3">
      <c r="B51" s="82">
        <v>39</v>
      </c>
      <c r="C51" s="81" t="s">
        <v>165</v>
      </c>
      <c r="D51" s="80" t="s">
        <v>164</v>
      </c>
      <c r="E51" s="80">
        <v>500</v>
      </c>
      <c r="F51" s="93">
        <v>1.4</v>
      </c>
      <c r="G51" s="68">
        <f t="shared" si="0"/>
        <v>700</v>
      </c>
    </row>
    <row r="52" spans="2:10" ht="15.75" thickBot="1" x14ac:dyDescent="0.3">
      <c r="B52" s="82">
        <v>40</v>
      </c>
      <c r="C52" s="81" t="s">
        <v>163</v>
      </c>
      <c r="D52" s="80" t="s">
        <v>162</v>
      </c>
      <c r="E52" s="80">
        <v>400</v>
      </c>
      <c r="F52" s="93">
        <v>6.7</v>
      </c>
      <c r="G52" s="68">
        <f t="shared" si="0"/>
        <v>2680</v>
      </c>
    </row>
    <row r="53" spans="2:10" ht="15.75" thickBot="1" x14ac:dyDescent="0.3">
      <c r="B53" s="82">
        <v>41</v>
      </c>
      <c r="C53" s="81" t="s">
        <v>161</v>
      </c>
      <c r="D53" s="80" t="s">
        <v>155</v>
      </c>
      <c r="E53" s="80">
        <v>40</v>
      </c>
      <c r="F53" s="93">
        <v>20</v>
      </c>
      <c r="G53" s="68">
        <f t="shared" si="0"/>
        <v>800</v>
      </c>
      <c r="H53" s="92"/>
    </row>
    <row r="54" spans="2:10" ht="15.75" thickBot="1" x14ac:dyDescent="0.3">
      <c r="B54" s="82">
        <v>42</v>
      </c>
      <c r="C54" s="81" t="s">
        <v>160</v>
      </c>
      <c r="D54" s="80" t="s">
        <v>155</v>
      </c>
      <c r="E54" s="80">
        <v>80</v>
      </c>
      <c r="F54" s="93">
        <v>14</v>
      </c>
      <c r="G54" s="68">
        <f t="shared" si="0"/>
        <v>1120</v>
      </c>
    </row>
    <row r="55" spans="2:10" ht="15.75" thickBot="1" x14ac:dyDescent="0.3">
      <c r="B55" s="82">
        <v>43</v>
      </c>
      <c r="C55" s="81" t="s">
        <v>159</v>
      </c>
      <c r="D55" s="80" t="s">
        <v>155</v>
      </c>
      <c r="E55" s="80">
        <v>100</v>
      </c>
      <c r="F55" s="93">
        <v>2</v>
      </c>
      <c r="G55" s="68">
        <f t="shared" si="0"/>
        <v>200</v>
      </c>
    </row>
    <row r="56" spans="2:10" ht="15.75" thickBot="1" x14ac:dyDescent="0.3">
      <c r="B56" s="82">
        <v>44</v>
      </c>
      <c r="C56" s="81" t="s">
        <v>158</v>
      </c>
      <c r="D56" s="80" t="s">
        <v>157</v>
      </c>
      <c r="E56" s="80">
        <v>400</v>
      </c>
      <c r="F56" s="93">
        <v>350</v>
      </c>
      <c r="G56" s="68">
        <f t="shared" si="0"/>
        <v>140000</v>
      </c>
      <c r="H56" s="92"/>
      <c r="I56" s="96"/>
      <c r="J56" s="95"/>
    </row>
    <row r="57" spans="2:10" ht="15.75" thickBot="1" x14ac:dyDescent="0.3">
      <c r="B57" s="82">
        <v>45</v>
      </c>
      <c r="C57" s="81" t="s">
        <v>156</v>
      </c>
      <c r="D57" s="80" t="s">
        <v>155</v>
      </c>
      <c r="E57" s="80">
        <v>265</v>
      </c>
      <c r="F57" s="93">
        <v>271</v>
      </c>
      <c r="G57" s="68">
        <f t="shared" si="0"/>
        <v>71815</v>
      </c>
      <c r="H57" s="92"/>
    </row>
    <row r="58" spans="2:10" ht="15.75" thickBot="1" x14ac:dyDescent="0.3">
      <c r="B58" s="804" t="s">
        <v>154</v>
      </c>
      <c r="C58" s="805"/>
      <c r="D58" s="805"/>
      <c r="E58" s="806"/>
      <c r="F58" s="91">
        <v>1342.85</v>
      </c>
      <c r="G58" s="90">
        <f>SUM(G13:G57)</f>
        <v>344445</v>
      </c>
    </row>
    <row r="60" spans="2:10" ht="15.75" thickBot="1" x14ac:dyDescent="0.3"/>
    <row r="61" spans="2:10" ht="15.75" thickBot="1" x14ac:dyDescent="0.3">
      <c r="B61" s="814" t="s">
        <v>217</v>
      </c>
      <c r="C61" s="815"/>
      <c r="D61" s="815"/>
      <c r="E61" s="815"/>
      <c r="F61" s="816"/>
      <c r="G61" s="94"/>
    </row>
    <row r="62" spans="2:10" x14ac:dyDescent="0.25">
      <c r="B62" s="810" t="s">
        <v>141</v>
      </c>
      <c r="C62" s="817" t="s">
        <v>140</v>
      </c>
      <c r="D62" s="812" t="s">
        <v>216</v>
      </c>
      <c r="E62" s="812" t="s">
        <v>139</v>
      </c>
      <c r="F62" s="89" t="s">
        <v>39</v>
      </c>
      <c r="G62" s="89" t="s">
        <v>39</v>
      </c>
    </row>
    <row r="63" spans="2:10" ht="15.75" thickBot="1" x14ac:dyDescent="0.3">
      <c r="B63" s="811"/>
      <c r="C63" s="818"/>
      <c r="D63" s="813"/>
      <c r="E63" s="813"/>
      <c r="F63" s="80" t="s">
        <v>38</v>
      </c>
      <c r="G63" s="80" t="s">
        <v>138</v>
      </c>
    </row>
    <row r="64" spans="2:10" ht="15.75" thickBot="1" x14ac:dyDescent="0.3">
      <c r="B64" s="82">
        <v>1</v>
      </c>
      <c r="C64" s="81" t="s">
        <v>215</v>
      </c>
      <c r="D64" s="80" t="s">
        <v>214</v>
      </c>
      <c r="E64" s="80">
        <v>300</v>
      </c>
      <c r="F64" s="93">
        <v>2.8</v>
      </c>
      <c r="G64" s="68">
        <f t="shared" ref="G64:G108" si="1">E64*F64</f>
        <v>840</v>
      </c>
    </row>
    <row r="65" spans="2:7" ht="15.75" thickBot="1" x14ac:dyDescent="0.3">
      <c r="B65" s="82">
        <v>2</v>
      </c>
      <c r="C65" s="81" t="s">
        <v>213</v>
      </c>
      <c r="D65" s="80" t="s">
        <v>212</v>
      </c>
      <c r="E65" s="80">
        <v>90</v>
      </c>
      <c r="F65" s="93">
        <v>10</v>
      </c>
      <c r="G65" s="68">
        <f t="shared" si="1"/>
        <v>900</v>
      </c>
    </row>
    <row r="66" spans="2:7" ht="15.75" thickBot="1" x14ac:dyDescent="0.3">
      <c r="B66" s="82">
        <v>3</v>
      </c>
      <c r="C66" s="81" t="s">
        <v>211</v>
      </c>
      <c r="D66" s="80" t="s">
        <v>210</v>
      </c>
      <c r="E66" s="80">
        <v>200</v>
      </c>
      <c r="F66" s="93">
        <v>4.25</v>
      </c>
      <c r="G66" s="68">
        <f t="shared" si="1"/>
        <v>850</v>
      </c>
    </row>
    <row r="67" spans="2:7" ht="15.75" thickBot="1" x14ac:dyDescent="0.3">
      <c r="B67" s="82">
        <v>4</v>
      </c>
      <c r="C67" s="81" t="s">
        <v>209</v>
      </c>
      <c r="D67" s="80" t="s">
        <v>155</v>
      </c>
      <c r="E67" s="80">
        <v>200</v>
      </c>
      <c r="F67" s="93">
        <v>1.8</v>
      </c>
      <c r="G67" s="68">
        <f t="shared" si="1"/>
        <v>360</v>
      </c>
    </row>
    <row r="68" spans="2:7" ht="15.75" thickBot="1" x14ac:dyDescent="0.3">
      <c r="B68" s="82">
        <v>5</v>
      </c>
      <c r="C68" s="81" t="s">
        <v>208</v>
      </c>
      <c r="D68" s="80" t="s">
        <v>155</v>
      </c>
      <c r="E68" s="80">
        <v>110</v>
      </c>
      <c r="F68" s="93">
        <v>98</v>
      </c>
      <c r="G68" s="68">
        <f t="shared" si="1"/>
        <v>10780</v>
      </c>
    </row>
    <row r="69" spans="2:7" ht="15.75" thickBot="1" x14ac:dyDescent="0.3">
      <c r="B69" s="82">
        <v>6</v>
      </c>
      <c r="C69" s="81" t="s">
        <v>207</v>
      </c>
      <c r="D69" s="80" t="s">
        <v>155</v>
      </c>
      <c r="E69" s="80">
        <v>110</v>
      </c>
      <c r="F69" s="93">
        <v>120</v>
      </c>
      <c r="G69" s="68">
        <f t="shared" si="1"/>
        <v>13200</v>
      </c>
    </row>
    <row r="70" spans="2:7" ht="15.75" thickBot="1" x14ac:dyDescent="0.3">
      <c r="B70" s="82">
        <v>7</v>
      </c>
      <c r="C70" s="81" t="s">
        <v>206</v>
      </c>
      <c r="D70" s="80" t="s">
        <v>155</v>
      </c>
      <c r="E70" s="80">
        <v>200</v>
      </c>
      <c r="F70" s="93">
        <v>1.9</v>
      </c>
      <c r="G70" s="68">
        <f t="shared" si="1"/>
        <v>380</v>
      </c>
    </row>
    <row r="71" spans="2:7" ht="15.75" thickBot="1" x14ac:dyDescent="0.3">
      <c r="B71" s="82">
        <v>8</v>
      </c>
      <c r="C71" s="81" t="s">
        <v>205</v>
      </c>
      <c r="D71" s="80" t="s">
        <v>178</v>
      </c>
      <c r="E71" s="80">
        <v>50</v>
      </c>
      <c r="F71" s="93">
        <v>4</v>
      </c>
      <c r="G71" s="68">
        <f t="shared" si="1"/>
        <v>200</v>
      </c>
    </row>
    <row r="72" spans="2:7" ht="15.75" thickBot="1" x14ac:dyDescent="0.3">
      <c r="B72" s="82">
        <v>9</v>
      </c>
      <c r="C72" s="81" t="s">
        <v>204</v>
      </c>
      <c r="D72" s="80" t="s">
        <v>178</v>
      </c>
      <c r="E72" s="80">
        <v>50</v>
      </c>
      <c r="F72" s="93">
        <v>9</v>
      </c>
      <c r="G72" s="68">
        <f t="shared" si="1"/>
        <v>450</v>
      </c>
    </row>
    <row r="73" spans="2:7" ht="15.75" thickBot="1" x14ac:dyDescent="0.3">
      <c r="B73" s="82">
        <v>10</v>
      </c>
      <c r="C73" s="81" t="s">
        <v>203</v>
      </c>
      <c r="D73" s="80" t="s">
        <v>155</v>
      </c>
      <c r="E73" s="80">
        <v>50</v>
      </c>
      <c r="F73" s="93">
        <v>1.9</v>
      </c>
      <c r="G73" s="68">
        <f t="shared" si="1"/>
        <v>95</v>
      </c>
    </row>
    <row r="74" spans="2:7" ht="15.75" thickBot="1" x14ac:dyDescent="0.3">
      <c r="B74" s="82">
        <v>11</v>
      </c>
      <c r="C74" s="81" t="s">
        <v>202</v>
      </c>
      <c r="D74" s="80" t="s">
        <v>200</v>
      </c>
      <c r="E74" s="80">
        <v>540</v>
      </c>
      <c r="F74" s="93">
        <v>12</v>
      </c>
      <c r="G74" s="68">
        <f t="shared" si="1"/>
        <v>6480</v>
      </c>
    </row>
    <row r="75" spans="2:7" ht="15.75" thickBot="1" x14ac:dyDescent="0.3">
      <c r="B75" s="82">
        <v>12</v>
      </c>
      <c r="C75" s="81" t="s">
        <v>201</v>
      </c>
      <c r="D75" s="80" t="s">
        <v>200</v>
      </c>
      <c r="E75" s="80">
        <v>540</v>
      </c>
      <c r="F75" s="93">
        <v>8</v>
      </c>
      <c r="G75" s="68">
        <f t="shared" si="1"/>
        <v>4320</v>
      </c>
    </row>
    <row r="76" spans="2:7" ht="15.75" thickBot="1" x14ac:dyDescent="0.3">
      <c r="B76" s="82">
        <v>13</v>
      </c>
      <c r="C76" s="81" t="s">
        <v>199</v>
      </c>
      <c r="D76" s="80" t="s">
        <v>198</v>
      </c>
      <c r="E76" s="80">
        <v>50</v>
      </c>
      <c r="F76" s="93">
        <v>7</v>
      </c>
      <c r="G76" s="68">
        <f t="shared" si="1"/>
        <v>350</v>
      </c>
    </row>
    <row r="77" spans="2:7" ht="15.75" thickBot="1" x14ac:dyDescent="0.3">
      <c r="B77" s="82">
        <v>14</v>
      </c>
      <c r="C77" s="81" t="s">
        <v>197</v>
      </c>
      <c r="D77" s="80" t="s">
        <v>195</v>
      </c>
      <c r="E77" s="80">
        <v>400</v>
      </c>
      <c r="F77" s="93">
        <v>5</v>
      </c>
      <c r="G77" s="68">
        <f t="shared" si="1"/>
        <v>2000</v>
      </c>
    </row>
    <row r="78" spans="2:7" ht="15.75" thickBot="1" x14ac:dyDescent="0.3">
      <c r="B78" s="82">
        <v>15</v>
      </c>
      <c r="C78" s="81" t="s">
        <v>196</v>
      </c>
      <c r="D78" s="80" t="s">
        <v>195</v>
      </c>
      <c r="E78" s="80">
        <v>200</v>
      </c>
      <c r="F78" s="93">
        <v>7</v>
      </c>
      <c r="G78" s="68">
        <f t="shared" si="1"/>
        <v>1400</v>
      </c>
    </row>
    <row r="79" spans="2:7" ht="15.75" thickBot="1" x14ac:dyDescent="0.3">
      <c r="B79" s="82">
        <v>16</v>
      </c>
      <c r="C79" s="81" t="s">
        <v>194</v>
      </c>
      <c r="D79" s="80" t="s">
        <v>155</v>
      </c>
      <c r="E79" s="80">
        <v>400</v>
      </c>
      <c r="F79" s="93">
        <v>2.5</v>
      </c>
      <c r="G79" s="68">
        <f t="shared" si="1"/>
        <v>1000</v>
      </c>
    </row>
    <row r="80" spans="2:7" ht="15.75" thickBot="1" x14ac:dyDescent="0.3">
      <c r="B80" s="82">
        <v>17</v>
      </c>
      <c r="C80" s="81" t="s">
        <v>193</v>
      </c>
      <c r="D80" s="80" t="s">
        <v>190</v>
      </c>
      <c r="E80" s="80">
        <v>500</v>
      </c>
      <c r="F80" s="93">
        <v>60</v>
      </c>
      <c r="G80" s="68">
        <f t="shared" si="1"/>
        <v>30000</v>
      </c>
    </row>
    <row r="81" spans="2:8" ht="15.75" thickBot="1" x14ac:dyDescent="0.3">
      <c r="B81" s="82">
        <v>18</v>
      </c>
      <c r="C81" s="81" t="s">
        <v>192</v>
      </c>
      <c r="D81" s="80" t="s">
        <v>190</v>
      </c>
      <c r="E81" s="80">
        <v>500</v>
      </c>
      <c r="F81" s="93">
        <v>40</v>
      </c>
      <c r="G81" s="68">
        <f t="shared" si="1"/>
        <v>20000</v>
      </c>
    </row>
    <row r="82" spans="2:8" ht="15.75" thickBot="1" x14ac:dyDescent="0.3">
      <c r="B82" s="82">
        <v>19</v>
      </c>
      <c r="C82" s="81" t="s">
        <v>191</v>
      </c>
      <c r="D82" s="80" t="s">
        <v>190</v>
      </c>
      <c r="E82" s="80">
        <v>500</v>
      </c>
      <c r="F82" s="93">
        <v>30</v>
      </c>
      <c r="G82" s="68">
        <f t="shared" si="1"/>
        <v>15000</v>
      </c>
    </row>
    <row r="83" spans="2:8" ht="15.75" thickBot="1" x14ac:dyDescent="0.3">
      <c r="B83" s="82">
        <v>20</v>
      </c>
      <c r="C83" s="81" t="s">
        <v>189</v>
      </c>
      <c r="D83" s="80" t="s">
        <v>155</v>
      </c>
      <c r="E83" s="80">
        <v>40</v>
      </c>
      <c r="F83" s="93">
        <v>40</v>
      </c>
      <c r="G83" s="68">
        <f t="shared" si="1"/>
        <v>1600</v>
      </c>
      <c r="H83" s="92"/>
    </row>
    <row r="84" spans="2:8" ht="15.75" thickBot="1" x14ac:dyDescent="0.3">
      <c r="B84" s="82">
        <v>21</v>
      </c>
      <c r="C84" s="81" t="s">
        <v>188</v>
      </c>
      <c r="D84" s="80" t="s">
        <v>155</v>
      </c>
      <c r="E84" s="80">
        <v>40</v>
      </c>
      <c r="F84" s="93">
        <v>25</v>
      </c>
      <c r="G84" s="68">
        <f t="shared" si="1"/>
        <v>1000</v>
      </c>
      <c r="H84" s="92"/>
    </row>
    <row r="85" spans="2:8" ht="15.75" thickBot="1" x14ac:dyDescent="0.3">
      <c r="B85" s="82">
        <v>22</v>
      </c>
      <c r="C85" s="81" t="s">
        <v>187</v>
      </c>
      <c r="D85" s="80" t="s">
        <v>155</v>
      </c>
      <c r="E85" s="80">
        <v>180</v>
      </c>
      <c r="F85" s="93">
        <v>2.5</v>
      </c>
      <c r="G85" s="68">
        <f t="shared" si="1"/>
        <v>450</v>
      </c>
    </row>
    <row r="86" spans="2:8" ht="15.75" thickBot="1" x14ac:dyDescent="0.3">
      <c r="B86" s="82">
        <v>23</v>
      </c>
      <c r="C86" s="81" t="s">
        <v>186</v>
      </c>
      <c r="D86" s="80" t="s">
        <v>155</v>
      </c>
      <c r="E86" s="80">
        <v>50</v>
      </c>
      <c r="F86" s="93">
        <v>1.8</v>
      </c>
      <c r="G86" s="68">
        <f t="shared" si="1"/>
        <v>90</v>
      </c>
      <c r="H86" s="92"/>
    </row>
    <row r="87" spans="2:8" ht="15.75" thickBot="1" x14ac:dyDescent="0.3">
      <c r="B87" s="82">
        <v>24</v>
      </c>
      <c r="C87" s="81" t="s">
        <v>185</v>
      </c>
      <c r="D87" s="80" t="s">
        <v>155</v>
      </c>
      <c r="E87" s="80">
        <v>50</v>
      </c>
      <c r="F87" s="93">
        <v>6.5</v>
      </c>
      <c r="G87" s="68">
        <f t="shared" si="1"/>
        <v>325</v>
      </c>
    </row>
    <row r="88" spans="2:8" ht="15.75" thickBot="1" x14ac:dyDescent="0.3">
      <c r="B88" s="82">
        <v>25</v>
      </c>
      <c r="C88" s="81" t="s">
        <v>184</v>
      </c>
      <c r="D88" s="80" t="s">
        <v>172</v>
      </c>
      <c r="E88" s="80">
        <v>50</v>
      </c>
      <c r="F88" s="93">
        <v>22</v>
      </c>
      <c r="G88" s="68">
        <f t="shared" si="1"/>
        <v>1100</v>
      </c>
    </row>
    <row r="89" spans="2:8" ht="15.75" thickBot="1" x14ac:dyDescent="0.3">
      <c r="B89" s="82">
        <v>26</v>
      </c>
      <c r="C89" s="81" t="s">
        <v>183</v>
      </c>
      <c r="D89" s="80" t="s">
        <v>155</v>
      </c>
      <c r="E89" s="80">
        <v>50</v>
      </c>
      <c r="F89" s="93">
        <v>12</v>
      </c>
      <c r="G89" s="68">
        <f t="shared" si="1"/>
        <v>600</v>
      </c>
    </row>
    <row r="90" spans="2:8" ht="15.75" thickBot="1" x14ac:dyDescent="0.3">
      <c r="B90" s="82">
        <v>27</v>
      </c>
      <c r="C90" s="81" t="s">
        <v>182</v>
      </c>
      <c r="D90" s="80" t="s">
        <v>155</v>
      </c>
      <c r="E90" s="80">
        <v>50</v>
      </c>
      <c r="F90" s="93">
        <v>3</v>
      </c>
      <c r="G90" s="68">
        <f t="shared" si="1"/>
        <v>150</v>
      </c>
    </row>
    <row r="91" spans="2:8" ht="15.75" thickBot="1" x14ac:dyDescent="0.3">
      <c r="B91" s="82">
        <v>28</v>
      </c>
      <c r="C91" s="81" t="s">
        <v>181</v>
      </c>
      <c r="D91" s="80" t="s">
        <v>180</v>
      </c>
      <c r="E91" s="80">
        <v>50</v>
      </c>
      <c r="F91" s="93">
        <v>8</v>
      </c>
      <c r="G91" s="68">
        <f t="shared" si="1"/>
        <v>400</v>
      </c>
    </row>
    <row r="92" spans="2:8" ht="15.75" thickBot="1" x14ac:dyDescent="0.3">
      <c r="B92" s="82">
        <v>29</v>
      </c>
      <c r="C92" s="81" t="s">
        <v>179</v>
      </c>
      <c r="D92" s="80" t="s">
        <v>178</v>
      </c>
      <c r="E92" s="80">
        <v>100</v>
      </c>
      <c r="F92" s="93">
        <v>60</v>
      </c>
      <c r="G92" s="68">
        <f t="shared" si="1"/>
        <v>6000</v>
      </c>
    </row>
    <row r="93" spans="2:8" ht="15.75" thickBot="1" x14ac:dyDescent="0.3">
      <c r="B93" s="82">
        <v>30</v>
      </c>
      <c r="C93" s="81" t="s">
        <v>177</v>
      </c>
      <c r="D93" s="80" t="s">
        <v>155</v>
      </c>
      <c r="E93" s="80">
        <v>10</v>
      </c>
      <c r="F93" s="93">
        <v>13</v>
      </c>
      <c r="G93" s="68">
        <f t="shared" si="1"/>
        <v>130</v>
      </c>
    </row>
    <row r="94" spans="2:8" ht="15.75" thickBot="1" x14ac:dyDescent="0.3">
      <c r="B94" s="82">
        <v>31</v>
      </c>
      <c r="C94" s="81" t="s">
        <v>176</v>
      </c>
      <c r="D94" s="80" t="s">
        <v>175</v>
      </c>
      <c r="E94" s="80">
        <v>100</v>
      </c>
      <c r="F94" s="93">
        <v>14</v>
      </c>
      <c r="G94" s="68">
        <f t="shared" si="1"/>
        <v>1400</v>
      </c>
    </row>
    <row r="95" spans="2:8" ht="15.75" thickBot="1" x14ac:dyDescent="0.3">
      <c r="B95" s="82">
        <v>32</v>
      </c>
      <c r="C95" s="81" t="s">
        <v>174</v>
      </c>
      <c r="D95" s="80" t="s">
        <v>155</v>
      </c>
      <c r="E95" s="80">
        <v>100</v>
      </c>
      <c r="F95" s="93">
        <v>4</v>
      </c>
      <c r="G95" s="68">
        <f t="shared" si="1"/>
        <v>400</v>
      </c>
    </row>
    <row r="96" spans="2:8" ht="15.75" thickBot="1" x14ac:dyDescent="0.3">
      <c r="B96" s="82">
        <v>33</v>
      </c>
      <c r="C96" s="81" t="s">
        <v>173</v>
      </c>
      <c r="D96" s="80" t="s">
        <v>172</v>
      </c>
      <c r="E96" s="80">
        <v>100</v>
      </c>
      <c r="F96" s="93">
        <v>5</v>
      </c>
      <c r="G96" s="68">
        <f t="shared" si="1"/>
        <v>500</v>
      </c>
    </row>
    <row r="97" spans="2:9" ht="15.75" thickBot="1" x14ac:dyDescent="0.3">
      <c r="B97" s="82">
        <v>34</v>
      </c>
      <c r="C97" s="81" t="s">
        <v>171</v>
      </c>
      <c r="D97" s="80" t="s">
        <v>155</v>
      </c>
      <c r="E97" s="80">
        <v>50</v>
      </c>
      <c r="F97" s="93">
        <v>6</v>
      </c>
      <c r="G97" s="68">
        <f t="shared" si="1"/>
        <v>300</v>
      </c>
    </row>
    <row r="98" spans="2:9" ht="15.75" thickBot="1" x14ac:dyDescent="0.3">
      <c r="B98" s="82">
        <v>35</v>
      </c>
      <c r="C98" s="81" t="s">
        <v>170</v>
      </c>
      <c r="D98" s="80" t="s">
        <v>155</v>
      </c>
      <c r="E98" s="80">
        <v>200</v>
      </c>
      <c r="F98" s="93">
        <v>8</v>
      </c>
      <c r="G98" s="68">
        <f t="shared" si="1"/>
        <v>1600</v>
      </c>
    </row>
    <row r="99" spans="2:9" ht="15.75" thickBot="1" x14ac:dyDescent="0.3">
      <c r="B99" s="82">
        <v>36</v>
      </c>
      <c r="C99" s="81" t="s">
        <v>169</v>
      </c>
      <c r="D99" s="80" t="s">
        <v>155</v>
      </c>
      <c r="E99" s="80">
        <v>200</v>
      </c>
      <c r="F99" s="93">
        <v>3</v>
      </c>
      <c r="G99" s="68">
        <f t="shared" si="1"/>
        <v>600</v>
      </c>
    </row>
    <row r="100" spans="2:9" ht="15.75" thickBot="1" x14ac:dyDescent="0.3">
      <c r="B100" s="82">
        <v>37</v>
      </c>
      <c r="C100" s="81" t="s">
        <v>168</v>
      </c>
      <c r="D100" s="80" t="s">
        <v>155</v>
      </c>
      <c r="E100" s="80">
        <v>100</v>
      </c>
      <c r="F100" s="93">
        <v>2.8</v>
      </c>
      <c r="G100" s="68">
        <f t="shared" si="1"/>
        <v>280</v>
      </c>
      <c r="H100" s="92"/>
    </row>
    <row r="101" spans="2:9" ht="15.75" thickBot="1" x14ac:dyDescent="0.3">
      <c r="B101" s="82">
        <v>38</v>
      </c>
      <c r="C101" s="81" t="s">
        <v>167</v>
      </c>
      <c r="D101" s="80" t="s">
        <v>166</v>
      </c>
      <c r="E101" s="80">
        <v>100</v>
      </c>
      <c r="F101" s="93">
        <v>16</v>
      </c>
      <c r="G101" s="68">
        <f t="shared" si="1"/>
        <v>1600</v>
      </c>
    </row>
    <row r="102" spans="2:9" ht="15.75" thickBot="1" x14ac:dyDescent="0.3">
      <c r="B102" s="82">
        <v>39</v>
      </c>
      <c r="C102" s="81" t="s">
        <v>165</v>
      </c>
      <c r="D102" s="80" t="s">
        <v>164</v>
      </c>
      <c r="E102" s="80">
        <v>500</v>
      </c>
      <c r="F102" s="93">
        <v>1.4</v>
      </c>
      <c r="G102" s="68">
        <f t="shared" si="1"/>
        <v>700</v>
      </c>
    </row>
    <row r="103" spans="2:9" ht="15.75" thickBot="1" x14ac:dyDescent="0.3">
      <c r="B103" s="82">
        <v>40</v>
      </c>
      <c r="C103" s="81" t="s">
        <v>163</v>
      </c>
      <c r="D103" s="80" t="s">
        <v>162</v>
      </c>
      <c r="E103" s="80">
        <v>400</v>
      </c>
      <c r="F103" s="93">
        <v>6.7</v>
      </c>
      <c r="G103" s="68">
        <f t="shared" si="1"/>
        <v>2680</v>
      </c>
    </row>
    <row r="104" spans="2:9" ht="15.75" thickBot="1" x14ac:dyDescent="0.3">
      <c r="B104" s="82">
        <v>41</v>
      </c>
      <c r="C104" s="81" t="s">
        <v>161</v>
      </c>
      <c r="D104" s="80" t="s">
        <v>155</v>
      </c>
      <c r="E104" s="80">
        <v>40</v>
      </c>
      <c r="F104" s="93">
        <v>20</v>
      </c>
      <c r="G104" s="68">
        <f t="shared" si="1"/>
        <v>800</v>
      </c>
      <c r="H104" s="92"/>
    </row>
    <row r="105" spans="2:9" ht="15.75" thickBot="1" x14ac:dyDescent="0.3">
      <c r="B105" s="82">
        <v>42</v>
      </c>
      <c r="C105" s="81" t="s">
        <v>160</v>
      </c>
      <c r="D105" s="80" t="s">
        <v>155</v>
      </c>
      <c r="E105" s="80">
        <v>80</v>
      </c>
      <c r="F105" s="93">
        <v>14</v>
      </c>
      <c r="G105" s="68">
        <f t="shared" si="1"/>
        <v>1120</v>
      </c>
    </row>
    <row r="106" spans="2:9" ht="15.75" thickBot="1" x14ac:dyDescent="0.3">
      <c r="B106" s="82">
        <v>43</v>
      </c>
      <c r="C106" s="81" t="s">
        <v>159</v>
      </c>
      <c r="D106" s="80" t="s">
        <v>155</v>
      </c>
      <c r="E106" s="80">
        <v>100</v>
      </c>
      <c r="F106" s="93">
        <v>2</v>
      </c>
      <c r="G106" s="68">
        <f t="shared" si="1"/>
        <v>200</v>
      </c>
    </row>
    <row r="107" spans="2:9" ht="15.75" thickBot="1" x14ac:dyDescent="0.3">
      <c r="B107" s="82">
        <v>44</v>
      </c>
      <c r="C107" s="81" t="s">
        <v>158</v>
      </c>
      <c r="D107" s="80" t="s">
        <v>157</v>
      </c>
      <c r="E107" s="80">
        <v>400</v>
      </c>
      <c r="F107" s="93">
        <v>350</v>
      </c>
      <c r="G107" s="68">
        <f t="shared" si="1"/>
        <v>140000</v>
      </c>
      <c r="H107" s="92"/>
    </row>
    <row r="108" spans="2:9" ht="15.75" thickBot="1" x14ac:dyDescent="0.3">
      <c r="B108" s="82">
        <v>45</v>
      </c>
      <c r="C108" s="81" t="s">
        <v>156</v>
      </c>
      <c r="D108" s="80" t="s">
        <v>155</v>
      </c>
      <c r="E108" s="80">
        <v>265</v>
      </c>
      <c r="F108" s="93">
        <v>271</v>
      </c>
      <c r="G108" s="68">
        <f t="shared" si="1"/>
        <v>71815</v>
      </c>
      <c r="H108" s="92"/>
    </row>
    <row r="109" spans="2:9" ht="13.5" customHeight="1" thickBot="1" x14ac:dyDescent="0.3">
      <c r="B109" s="804" t="s">
        <v>154</v>
      </c>
      <c r="C109" s="805"/>
      <c r="D109" s="805"/>
      <c r="E109" s="806"/>
      <c r="F109" s="91"/>
      <c r="G109" s="90">
        <f>SUM(G64:G108)</f>
        <v>344445</v>
      </c>
    </row>
    <row r="111" spans="2:9" ht="15.75" thickBot="1" x14ac:dyDescent="0.3"/>
    <row r="112" spans="2:9" ht="29.25" customHeight="1" thickBot="1" x14ac:dyDescent="0.3">
      <c r="B112" s="819" t="s">
        <v>153</v>
      </c>
      <c r="C112" s="820"/>
      <c r="D112" s="820"/>
      <c r="E112" s="820"/>
      <c r="F112" s="820"/>
      <c r="G112" s="797" t="s">
        <v>152</v>
      </c>
      <c r="H112" s="797" t="s">
        <v>143</v>
      </c>
      <c r="I112" s="797" t="s">
        <v>142</v>
      </c>
    </row>
    <row r="113" spans="2:9" x14ac:dyDescent="0.25">
      <c r="B113" s="810" t="s">
        <v>141</v>
      </c>
      <c r="C113" s="812" t="s">
        <v>140</v>
      </c>
      <c r="D113" s="812" t="s">
        <v>139</v>
      </c>
      <c r="E113" s="89" t="s">
        <v>39</v>
      </c>
      <c r="F113" s="88" t="s">
        <v>39</v>
      </c>
      <c r="G113" s="798"/>
      <c r="H113" s="798"/>
      <c r="I113" s="798"/>
    </row>
    <row r="114" spans="2:9" ht="15.75" thickBot="1" x14ac:dyDescent="0.3">
      <c r="B114" s="811"/>
      <c r="C114" s="813"/>
      <c r="D114" s="813"/>
      <c r="E114" s="80" t="s">
        <v>38</v>
      </c>
      <c r="F114" s="87" t="s">
        <v>151</v>
      </c>
      <c r="G114" s="799"/>
      <c r="H114" s="799"/>
      <c r="I114" s="799"/>
    </row>
    <row r="115" spans="2:9" ht="15.75" thickBot="1" x14ac:dyDescent="0.3">
      <c r="B115" s="82">
        <v>1</v>
      </c>
      <c r="C115" s="81" t="s">
        <v>150</v>
      </c>
      <c r="D115" s="80">
        <v>1</v>
      </c>
      <c r="E115" s="68">
        <v>2180</v>
      </c>
      <c r="F115" s="79">
        <f>D115*E115</f>
        <v>2180</v>
      </c>
      <c r="G115" s="72"/>
      <c r="H115" s="66"/>
      <c r="I115" s="65"/>
    </row>
    <row r="116" spans="2:9" s="77" customFormat="1" ht="13.5" thickBot="1" x14ac:dyDescent="0.25">
      <c r="B116" s="804" t="s">
        <v>136</v>
      </c>
      <c r="C116" s="805"/>
      <c r="D116" s="805"/>
      <c r="E116" s="806"/>
      <c r="F116" s="86">
        <f>F115</f>
        <v>2180</v>
      </c>
      <c r="G116" s="85"/>
      <c r="H116" s="84"/>
      <c r="I116" s="84"/>
    </row>
    <row r="117" spans="2:9" ht="15.75" thickBot="1" x14ac:dyDescent="0.3">
      <c r="B117" s="82">
        <v>1</v>
      </c>
      <c r="C117" s="81" t="s">
        <v>135</v>
      </c>
      <c r="D117" s="80">
        <v>4</v>
      </c>
      <c r="E117" s="68">
        <v>3000</v>
      </c>
      <c r="F117" s="79">
        <f t="shared" ref="F117:F132" si="2">D117*E117</f>
        <v>12000</v>
      </c>
      <c r="G117" s="72" t="s">
        <v>133</v>
      </c>
      <c r="H117" s="66">
        <v>5</v>
      </c>
      <c r="I117" s="65">
        <f t="shared" ref="I117:I132" si="3">F117/H117</f>
        <v>2400</v>
      </c>
    </row>
    <row r="118" spans="2:9" ht="29.25" customHeight="1" thickBot="1" x14ac:dyDescent="0.3">
      <c r="B118" s="82">
        <v>2</v>
      </c>
      <c r="C118" s="81" t="s">
        <v>134</v>
      </c>
      <c r="D118" s="80">
        <v>10</v>
      </c>
      <c r="E118" s="68">
        <v>2700</v>
      </c>
      <c r="F118" s="79">
        <f t="shared" si="2"/>
        <v>27000</v>
      </c>
      <c r="G118" s="72" t="s">
        <v>133</v>
      </c>
      <c r="H118" s="66">
        <v>5</v>
      </c>
      <c r="I118" s="65">
        <f t="shared" si="3"/>
        <v>5400</v>
      </c>
    </row>
    <row r="119" spans="2:9" ht="15.75" thickBot="1" x14ac:dyDescent="0.3">
      <c r="B119" s="82">
        <v>3</v>
      </c>
      <c r="C119" s="81" t="s">
        <v>132</v>
      </c>
      <c r="D119" s="80">
        <v>1</v>
      </c>
      <c r="E119" s="68">
        <v>900</v>
      </c>
      <c r="F119" s="79">
        <f t="shared" si="2"/>
        <v>900</v>
      </c>
      <c r="G119" s="72">
        <v>8443</v>
      </c>
      <c r="H119" s="66">
        <v>10</v>
      </c>
      <c r="I119" s="65">
        <f t="shared" si="3"/>
        <v>90</v>
      </c>
    </row>
    <row r="120" spans="2:9" ht="15.75" thickBot="1" x14ac:dyDescent="0.3">
      <c r="B120" s="82">
        <v>4</v>
      </c>
      <c r="C120" s="81" t="s">
        <v>131</v>
      </c>
      <c r="D120" s="80">
        <v>2</v>
      </c>
      <c r="E120" s="68">
        <v>850</v>
      </c>
      <c r="F120" s="79">
        <f t="shared" si="2"/>
        <v>1700</v>
      </c>
      <c r="G120" s="72">
        <v>9007</v>
      </c>
      <c r="H120" s="66">
        <v>10</v>
      </c>
      <c r="I120" s="65">
        <f t="shared" si="3"/>
        <v>170</v>
      </c>
    </row>
    <row r="121" spans="2:9" ht="15.75" thickBot="1" x14ac:dyDescent="0.3">
      <c r="B121" s="82">
        <v>5</v>
      </c>
      <c r="C121" s="81" t="s">
        <v>149</v>
      </c>
      <c r="D121" s="80">
        <v>54</v>
      </c>
      <c r="E121" s="68">
        <v>287</v>
      </c>
      <c r="F121" s="83">
        <f t="shared" si="2"/>
        <v>15498</v>
      </c>
      <c r="G121" s="72">
        <v>8517</v>
      </c>
      <c r="H121" s="66">
        <v>5</v>
      </c>
      <c r="I121" s="65">
        <f t="shared" si="3"/>
        <v>3099.6</v>
      </c>
    </row>
    <row r="122" spans="2:9" ht="15.75" thickBot="1" x14ac:dyDescent="0.3">
      <c r="B122" s="82">
        <v>6</v>
      </c>
      <c r="C122" s="81" t="s">
        <v>129</v>
      </c>
      <c r="D122" s="80">
        <v>2</v>
      </c>
      <c r="E122" s="68">
        <v>1500</v>
      </c>
      <c r="F122" s="79">
        <f t="shared" si="2"/>
        <v>3000</v>
      </c>
      <c r="G122" s="72">
        <v>9014</v>
      </c>
      <c r="H122" s="66">
        <v>10</v>
      </c>
      <c r="I122" s="65">
        <f t="shared" si="3"/>
        <v>300</v>
      </c>
    </row>
    <row r="123" spans="2:9" ht="15.75" thickBot="1" x14ac:dyDescent="0.3">
      <c r="B123" s="82">
        <v>7</v>
      </c>
      <c r="C123" s="81" t="s">
        <v>128</v>
      </c>
      <c r="D123" s="80">
        <v>1</v>
      </c>
      <c r="E123" s="68">
        <v>1900</v>
      </c>
      <c r="F123" s="79">
        <f t="shared" si="2"/>
        <v>1900</v>
      </c>
      <c r="G123" s="72">
        <v>8418</v>
      </c>
      <c r="H123" s="66">
        <v>10</v>
      </c>
      <c r="I123" s="65">
        <f t="shared" si="3"/>
        <v>190</v>
      </c>
    </row>
    <row r="124" spans="2:9" ht="15.75" thickBot="1" x14ac:dyDescent="0.3">
      <c r="B124" s="82">
        <v>8</v>
      </c>
      <c r="C124" s="81" t="s">
        <v>127</v>
      </c>
      <c r="D124" s="80">
        <v>1</v>
      </c>
      <c r="E124" s="68">
        <v>1000</v>
      </c>
      <c r="F124" s="79">
        <f t="shared" si="2"/>
        <v>1000</v>
      </c>
      <c r="G124" s="72">
        <v>7321</v>
      </c>
      <c r="H124" s="66">
        <v>10</v>
      </c>
      <c r="I124" s="65">
        <f t="shared" si="3"/>
        <v>100</v>
      </c>
    </row>
    <row r="125" spans="2:9" ht="15.75" thickBot="1" x14ac:dyDescent="0.3">
      <c r="B125" s="82">
        <v>9</v>
      </c>
      <c r="C125" s="81" t="s">
        <v>126</v>
      </c>
      <c r="D125" s="80">
        <v>1</v>
      </c>
      <c r="E125" s="68">
        <v>500</v>
      </c>
      <c r="F125" s="79">
        <f t="shared" si="2"/>
        <v>500</v>
      </c>
      <c r="G125" s="72">
        <v>8514</v>
      </c>
      <c r="H125" s="66">
        <v>10</v>
      </c>
      <c r="I125" s="65">
        <f t="shared" si="3"/>
        <v>50</v>
      </c>
    </row>
    <row r="126" spans="2:9" ht="15.75" thickBot="1" x14ac:dyDescent="0.3">
      <c r="B126" s="82">
        <v>10</v>
      </c>
      <c r="C126" s="81" t="s">
        <v>148</v>
      </c>
      <c r="D126" s="80">
        <v>1</v>
      </c>
      <c r="E126" s="68">
        <v>1300</v>
      </c>
      <c r="F126" s="79">
        <f t="shared" si="2"/>
        <v>1300</v>
      </c>
      <c r="G126" s="72">
        <v>9403</v>
      </c>
      <c r="H126" s="66">
        <v>10</v>
      </c>
      <c r="I126" s="65">
        <f t="shared" si="3"/>
        <v>130</v>
      </c>
    </row>
    <row r="127" spans="2:9" ht="15.75" thickBot="1" x14ac:dyDescent="0.3">
      <c r="B127" s="82">
        <v>11</v>
      </c>
      <c r="C127" s="81" t="s">
        <v>123</v>
      </c>
      <c r="D127" s="80">
        <v>1</v>
      </c>
      <c r="E127" s="68">
        <v>650</v>
      </c>
      <c r="F127" s="79">
        <f t="shared" si="2"/>
        <v>650</v>
      </c>
      <c r="G127" s="72">
        <v>9403</v>
      </c>
      <c r="H127" s="66">
        <v>10</v>
      </c>
      <c r="I127" s="65">
        <f t="shared" si="3"/>
        <v>65</v>
      </c>
    </row>
    <row r="128" spans="2:9" ht="15.75" thickBot="1" x14ac:dyDescent="0.3">
      <c r="B128" s="82">
        <v>12</v>
      </c>
      <c r="C128" s="81" t="s">
        <v>122</v>
      </c>
      <c r="D128" s="80">
        <v>10</v>
      </c>
      <c r="E128" s="68">
        <v>250</v>
      </c>
      <c r="F128" s="79">
        <f t="shared" si="2"/>
        <v>2500</v>
      </c>
      <c r="G128" s="72">
        <v>9403</v>
      </c>
      <c r="H128" s="66">
        <v>10</v>
      </c>
      <c r="I128" s="65">
        <f t="shared" si="3"/>
        <v>250</v>
      </c>
    </row>
    <row r="129" spans="2:9" ht="15.75" thickBot="1" x14ac:dyDescent="0.3">
      <c r="B129" s="82">
        <v>13</v>
      </c>
      <c r="C129" s="81" t="s">
        <v>121</v>
      </c>
      <c r="D129" s="80">
        <v>2</v>
      </c>
      <c r="E129" s="68">
        <v>400</v>
      </c>
      <c r="F129" s="79">
        <f t="shared" si="2"/>
        <v>800</v>
      </c>
      <c r="G129" s="72">
        <v>9403</v>
      </c>
      <c r="H129" s="66">
        <v>10</v>
      </c>
      <c r="I129" s="65">
        <f t="shared" si="3"/>
        <v>80</v>
      </c>
    </row>
    <row r="130" spans="2:9" ht="15.75" thickBot="1" x14ac:dyDescent="0.3">
      <c r="B130" s="82">
        <v>14</v>
      </c>
      <c r="C130" s="81" t="s">
        <v>120</v>
      </c>
      <c r="D130" s="80">
        <v>4</v>
      </c>
      <c r="E130" s="68">
        <v>670</v>
      </c>
      <c r="F130" s="79">
        <f t="shared" si="2"/>
        <v>2680</v>
      </c>
      <c r="G130" s="72">
        <v>9403</v>
      </c>
      <c r="H130" s="66">
        <v>10</v>
      </c>
      <c r="I130" s="65">
        <f t="shared" si="3"/>
        <v>268</v>
      </c>
    </row>
    <row r="131" spans="2:9" ht="15.75" thickBot="1" x14ac:dyDescent="0.3">
      <c r="B131" s="82">
        <v>15</v>
      </c>
      <c r="C131" s="81" t="s">
        <v>147</v>
      </c>
      <c r="D131" s="80">
        <v>4</v>
      </c>
      <c r="E131" s="68">
        <v>750</v>
      </c>
      <c r="F131" s="79">
        <f t="shared" si="2"/>
        <v>3000</v>
      </c>
      <c r="G131" s="72">
        <v>9403</v>
      </c>
      <c r="H131" s="66">
        <v>10</v>
      </c>
      <c r="I131" s="65">
        <f t="shared" si="3"/>
        <v>300</v>
      </c>
    </row>
    <row r="132" spans="2:9" ht="15.75" thickBot="1" x14ac:dyDescent="0.3">
      <c r="B132" s="82">
        <v>16</v>
      </c>
      <c r="C132" s="81" t="s">
        <v>118</v>
      </c>
      <c r="D132" s="80">
        <v>1</v>
      </c>
      <c r="E132" s="68">
        <v>3000</v>
      </c>
      <c r="F132" s="79">
        <f t="shared" si="2"/>
        <v>3000</v>
      </c>
      <c r="G132" s="72"/>
      <c r="H132" s="66">
        <v>10</v>
      </c>
      <c r="I132" s="65">
        <f t="shared" si="3"/>
        <v>300</v>
      </c>
    </row>
    <row r="133" spans="2:9" s="77" customFormat="1" ht="13.5" thickBot="1" x14ac:dyDescent="0.25">
      <c r="B133" s="789" t="s">
        <v>117</v>
      </c>
      <c r="C133" s="790"/>
      <c r="D133" s="790"/>
      <c r="E133" s="791"/>
      <c r="F133" s="78">
        <f>SUM(F117:F132)</f>
        <v>77428</v>
      </c>
      <c r="G133" s="792" t="s">
        <v>116</v>
      </c>
      <c r="H133" s="793"/>
      <c r="I133" s="63">
        <f>SUM(I115:I132)</f>
        <v>13192.6</v>
      </c>
    </row>
    <row r="134" spans="2:9" ht="15.75" thickBot="1" x14ac:dyDescent="0.3">
      <c r="B134" s="804" t="s">
        <v>146</v>
      </c>
      <c r="C134" s="805"/>
      <c r="D134" s="805"/>
      <c r="E134" s="806"/>
      <c r="F134" s="76">
        <f>F133+F116</f>
        <v>79608</v>
      </c>
      <c r="G134" s="72"/>
      <c r="H134" s="66"/>
      <c r="I134" s="66"/>
    </row>
    <row r="135" spans="2:9" x14ac:dyDescent="0.25">
      <c r="B135" s="60" t="s">
        <v>114</v>
      </c>
      <c r="C135" s="59" t="s">
        <v>113</v>
      </c>
      <c r="D135" s="60"/>
      <c r="E135" s="60"/>
      <c r="F135" s="60"/>
    </row>
    <row r="137" spans="2:9" ht="15.75" thickBot="1" x14ac:dyDescent="0.3"/>
    <row r="138" spans="2:9" ht="31.5" customHeight="1" thickBot="1" x14ac:dyDescent="0.3">
      <c r="B138" s="807" t="s">
        <v>145</v>
      </c>
      <c r="C138" s="808"/>
      <c r="D138" s="808"/>
      <c r="E138" s="808"/>
      <c r="F138" s="809"/>
      <c r="G138" s="797" t="s">
        <v>144</v>
      </c>
      <c r="H138" s="797" t="s">
        <v>143</v>
      </c>
      <c r="I138" s="797" t="s">
        <v>142</v>
      </c>
    </row>
    <row r="139" spans="2:9" x14ac:dyDescent="0.25">
      <c r="B139" s="800" t="s">
        <v>141</v>
      </c>
      <c r="C139" s="802" t="s">
        <v>140</v>
      </c>
      <c r="D139" s="802" t="s">
        <v>139</v>
      </c>
      <c r="E139" s="75" t="s">
        <v>39</v>
      </c>
      <c r="F139" s="75" t="s">
        <v>39</v>
      </c>
      <c r="G139" s="798"/>
      <c r="H139" s="798"/>
      <c r="I139" s="798"/>
    </row>
    <row r="140" spans="2:9" ht="15.75" thickBot="1" x14ac:dyDescent="0.3">
      <c r="B140" s="801"/>
      <c r="C140" s="803"/>
      <c r="D140" s="803"/>
      <c r="E140" s="69" t="s">
        <v>38</v>
      </c>
      <c r="F140" s="69" t="s">
        <v>138</v>
      </c>
      <c r="G140" s="799"/>
      <c r="H140" s="799"/>
      <c r="I140" s="799"/>
    </row>
    <row r="141" spans="2:9" ht="15.75" thickBot="1" x14ac:dyDescent="0.3">
      <c r="B141" s="71">
        <v>1</v>
      </c>
      <c r="C141" s="70" t="s">
        <v>137</v>
      </c>
      <c r="D141" s="69">
        <v>1</v>
      </c>
      <c r="E141" s="68">
        <v>2180</v>
      </c>
      <c r="F141" s="67">
        <f>D141*E141</f>
        <v>2180</v>
      </c>
      <c r="G141" s="61"/>
      <c r="H141" s="66"/>
      <c r="I141" s="65"/>
    </row>
    <row r="142" spans="2:9" ht="15.75" thickBot="1" x14ac:dyDescent="0.3">
      <c r="B142" s="804" t="s">
        <v>136</v>
      </c>
      <c r="C142" s="805"/>
      <c r="D142" s="805"/>
      <c r="E142" s="806"/>
      <c r="F142" s="74">
        <f>F141</f>
        <v>2180</v>
      </c>
      <c r="G142" s="73"/>
      <c r="H142" s="73"/>
      <c r="I142" s="73"/>
    </row>
    <row r="143" spans="2:9" ht="15.75" thickBot="1" x14ac:dyDescent="0.3">
      <c r="B143" s="71">
        <v>1</v>
      </c>
      <c r="C143" s="70" t="s">
        <v>135</v>
      </c>
      <c r="D143" s="69">
        <v>4</v>
      </c>
      <c r="E143" s="68">
        <v>3000</v>
      </c>
      <c r="F143" s="67">
        <f t="shared" ref="F143:F159" si="4">D143*E143</f>
        <v>12000</v>
      </c>
      <c r="G143" s="72" t="s">
        <v>133</v>
      </c>
      <c r="H143" s="66">
        <v>5</v>
      </c>
      <c r="I143" s="65">
        <f t="shared" ref="I143:I159" si="5">F143/H143</f>
        <v>2400</v>
      </c>
    </row>
    <row r="144" spans="2:9" ht="25.5" customHeight="1" thickBot="1" x14ac:dyDescent="0.3">
      <c r="B144" s="71">
        <v>2</v>
      </c>
      <c r="C144" s="70" t="s">
        <v>134</v>
      </c>
      <c r="D144" s="69">
        <v>5</v>
      </c>
      <c r="E144" s="68">
        <v>2700</v>
      </c>
      <c r="F144" s="67">
        <f t="shared" si="4"/>
        <v>13500</v>
      </c>
      <c r="G144" s="72" t="s">
        <v>133</v>
      </c>
      <c r="H144" s="66">
        <v>5</v>
      </c>
      <c r="I144" s="65">
        <f t="shared" si="5"/>
        <v>2700</v>
      </c>
    </row>
    <row r="145" spans="2:9" ht="15.75" thickBot="1" x14ac:dyDescent="0.3">
      <c r="B145" s="71">
        <v>3</v>
      </c>
      <c r="C145" s="70" t="s">
        <v>132</v>
      </c>
      <c r="D145" s="69">
        <v>1</v>
      </c>
      <c r="E145" s="68">
        <v>900</v>
      </c>
      <c r="F145" s="67">
        <f t="shared" si="4"/>
        <v>900</v>
      </c>
      <c r="G145" s="72">
        <v>8443</v>
      </c>
      <c r="H145" s="66">
        <v>10</v>
      </c>
      <c r="I145" s="65">
        <f t="shared" si="5"/>
        <v>90</v>
      </c>
    </row>
    <row r="146" spans="2:9" ht="15.75" thickBot="1" x14ac:dyDescent="0.3">
      <c r="B146" s="71">
        <v>4</v>
      </c>
      <c r="C146" s="70" t="s">
        <v>131</v>
      </c>
      <c r="D146" s="69">
        <v>2</v>
      </c>
      <c r="E146" s="68">
        <v>850</v>
      </c>
      <c r="F146" s="67">
        <f t="shared" si="4"/>
        <v>1700</v>
      </c>
      <c r="G146" s="72">
        <v>9007</v>
      </c>
      <c r="H146" s="66">
        <v>10</v>
      </c>
      <c r="I146" s="65">
        <f t="shared" si="5"/>
        <v>170</v>
      </c>
    </row>
    <row r="147" spans="2:9" ht="15.75" thickBot="1" x14ac:dyDescent="0.3">
      <c r="B147" s="71">
        <v>5</v>
      </c>
      <c r="C147" s="70" t="s">
        <v>130</v>
      </c>
      <c r="D147" s="69">
        <v>30</v>
      </c>
      <c r="E147" s="68">
        <v>287</v>
      </c>
      <c r="F147" s="67">
        <f t="shared" si="4"/>
        <v>8610</v>
      </c>
      <c r="G147" s="72">
        <v>8517</v>
      </c>
      <c r="H147" s="66">
        <v>5</v>
      </c>
      <c r="I147" s="65">
        <f t="shared" si="5"/>
        <v>1722</v>
      </c>
    </row>
    <row r="148" spans="2:9" ht="15.75" thickBot="1" x14ac:dyDescent="0.3">
      <c r="B148" s="71">
        <v>6</v>
      </c>
      <c r="C148" s="70" t="s">
        <v>129</v>
      </c>
      <c r="D148" s="69">
        <v>2</v>
      </c>
      <c r="E148" s="68">
        <v>1500</v>
      </c>
      <c r="F148" s="67">
        <f t="shared" si="4"/>
        <v>3000</v>
      </c>
      <c r="G148" s="72">
        <v>9014</v>
      </c>
      <c r="H148" s="66">
        <v>10</v>
      </c>
      <c r="I148" s="65">
        <f t="shared" si="5"/>
        <v>300</v>
      </c>
    </row>
    <row r="149" spans="2:9" ht="15.75" thickBot="1" x14ac:dyDescent="0.3">
      <c r="B149" s="71">
        <v>7</v>
      </c>
      <c r="C149" s="70" t="s">
        <v>128</v>
      </c>
      <c r="D149" s="69">
        <v>1</v>
      </c>
      <c r="E149" s="68">
        <v>1900</v>
      </c>
      <c r="F149" s="67">
        <f t="shared" si="4"/>
        <v>1900</v>
      </c>
      <c r="G149" s="72">
        <v>8418</v>
      </c>
      <c r="H149" s="66">
        <v>10</v>
      </c>
      <c r="I149" s="65">
        <f t="shared" si="5"/>
        <v>190</v>
      </c>
    </row>
    <row r="150" spans="2:9" ht="15.75" thickBot="1" x14ac:dyDescent="0.3">
      <c r="B150" s="71">
        <v>8</v>
      </c>
      <c r="C150" s="70" t="s">
        <v>127</v>
      </c>
      <c r="D150" s="69">
        <v>1</v>
      </c>
      <c r="E150" s="68">
        <v>1000</v>
      </c>
      <c r="F150" s="67">
        <f t="shared" si="4"/>
        <v>1000</v>
      </c>
      <c r="G150" s="72">
        <v>7321</v>
      </c>
      <c r="H150" s="66">
        <v>10</v>
      </c>
      <c r="I150" s="65">
        <f t="shared" si="5"/>
        <v>100</v>
      </c>
    </row>
    <row r="151" spans="2:9" ht="15.75" thickBot="1" x14ac:dyDescent="0.3">
      <c r="B151" s="71">
        <v>9</v>
      </c>
      <c r="C151" s="70" t="s">
        <v>126</v>
      </c>
      <c r="D151" s="69">
        <v>1</v>
      </c>
      <c r="E151" s="68">
        <v>500</v>
      </c>
      <c r="F151" s="67">
        <f t="shared" si="4"/>
        <v>500</v>
      </c>
      <c r="G151" s="72">
        <v>8514</v>
      </c>
      <c r="H151" s="66">
        <v>10</v>
      </c>
      <c r="I151" s="65">
        <f t="shared" si="5"/>
        <v>50</v>
      </c>
    </row>
    <row r="152" spans="2:9" ht="15.75" thickBot="1" x14ac:dyDescent="0.3">
      <c r="B152" s="71">
        <v>10</v>
      </c>
      <c r="C152" s="70" t="s">
        <v>125</v>
      </c>
      <c r="D152" s="69">
        <v>4</v>
      </c>
      <c r="E152" s="68">
        <v>1300</v>
      </c>
      <c r="F152" s="67">
        <f t="shared" si="4"/>
        <v>5200</v>
      </c>
      <c r="G152" s="72">
        <v>9403</v>
      </c>
      <c r="H152" s="66">
        <v>10</v>
      </c>
      <c r="I152" s="65">
        <f t="shared" si="5"/>
        <v>520</v>
      </c>
    </row>
    <row r="153" spans="2:9" ht="15.75" thickBot="1" x14ac:dyDescent="0.3">
      <c r="B153" s="71">
        <v>11</v>
      </c>
      <c r="C153" s="70" t="s">
        <v>124</v>
      </c>
      <c r="D153" s="69">
        <v>6</v>
      </c>
      <c r="E153" s="68">
        <v>2100</v>
      </c>
      <c r="F153" s="67">
        <f t="shared" si="4"/>
        <v>12600</v>
      </c>
      <c r="G153" s="72">
        <v>8415</v>
      </c>
      <c r="H153" s="66">
        <v>10</v>
      </c>
      <c r="I153" s="65">
        <f t="shared" si="5"/>
        <v>1260</v>
      </c>
    </row>
    <row r="154" spans="2:9" ht="15.75" thickBot="1" x14ac:dyDescent="0.3">
      <c r="B154" s="71">
        <v>12</v>
      </c>
      <c r="C154" s="70" t="s">
        <v>123</v>
      </c>
      <c r="D154" s="69">
        <v>1</v>
      </c>
      <c r="E154" s="68">
        <v>650</v>
      </c>
      <c r="F154" s="67">
        <f t="shared" si="4"/>
        <v>650</v>
      </c>
      <c r="G154" s="72">
        <v>9403</v>
      </c>
      <c r="H154" s="66">
        <v>10</v>
      </c>
      <c r="I154" s="65">
        <f t="shared" si="5"/>
        <v>65</v>
      </c>
    </row>
    <row r="155" spans="2:9" ht="15.75" thickBot="1" x14ac:dyDescent="0.3">
      <c r="B155" s="71">
        <v>13</v>
      </c>
      <c r="C155" s="70" t="s">
        <v>122</v>
      </c>
      <c r="D155" s="69">
        <v>10</v>
      </c>
      <c r="E155" s="68">
        <v>250</v>
      </c>
      <c r="F155" s="67">
        <f t="shared" si="4"/>
        <v>2500</v>
      </c>
      <c r="G155" s="72">
        <v>9403</v>
      </c>
      <c r="H155" s="66">
        <v>10</v>
      </c>
      <c r="I155" s="65">
        <f t="shared" si="5"/>
        <v>250</v>
      </c>
    </row>
    <row r="156" spans="2:9" ht="15.75" thickBot="1" x14ac:dyDescent="0.3">
      <c r="B156" s="71">
        <v>14</v>
      </c>
      <c r="C156" s="70" t="s">
        <v>121</v>
      </c>
      <c r="D156" s="69">
        <v>6</v>
      </c>
      <c r="E156" s="68">
        <v>400</v>
      </c>
      <c r="F156" s="67">
        <f t="shared" si="4"/>
        <v>2400</v>
      </c>
      <c r="G156" s="72">
        <v>9403</v>
      </c>
      <c r="H156" s="66">
        <v>10</v>
      </c>
      <c r="I156" s="65">
        <f t="shared" si="5"/>
        <v>240</v>
      </c>
    </row>
    <row r="157" spans="2:9" ht="15.75" thickBot="1" x14ac:dyDescent="0.3">
      <c r="B157" s="71">
        <v>15</v>
      </c>
      <c r="C157" s="70" t="s">
        <v>120</v>
      </c>
      <c r="D157" s="69">
        <v>6</v>
      </c>
      <c r="E157" s="68">
        <v>670</v>
      </c>
      <c r="F157" s="67">
        <f t="shared" si="4"/>
        <v>4020</v>
      </c>
      <c r="G157" s="72">
        <v>9403</v>
      </c>
      <c r="H157" s="66">
        <v>10</v>
      </c>
      <c r="I157" s="65">
        <f t="shared" si="5"/>
        <v>402</v>
      </c>
    </row>
    <row r="158" spans="2:9" ht="15.75" thickBot="1" x14ac:dyDescent="0.3">
      <c r="B158" s="71">
        <v>16</v>
      </c>
      <c r="C158" s="70" t="s">
        <v>119</v>
      </c>
      <c r="D158" s="69">
        <v>4</v>
      </c>
      <c r="E158" s="68">
        <v>750</v>
      </c>
      <c r="F158" s="67">
        <f t="shared" si="4"/>
        <v>3000</v>
      </c>
      <c r="G158" s="72">
        <v>9403</v>
      </c>
      <c r="H158" s="66">
        <v>10</v>
      </c>
      <c r="I158" s="65">
        <f t="shared" si="5"/>
        <v>300</v>
      </c>
    </row>
    <row r="159" spans="2:9" ht="15.75" thickBot="1" x14ac:dyDescent="0.3">
      <c r="B159" s="71">
        <v>17</v>
      </c>
      <c r="C159" s="70" t="s">
        <v>118</v>
      </c>
      <c r="D159" s="69">
        <v>2</v>
      </c>
      <c r="E159" s="68">
        <v>3000</v>
      </c>
      <c r="F159" s="67">
        <f t="shared" si="4"/>
        <v>6000</v>
      </c>
      <c r="G159" s="61"/>
      <c r="H159" s="66">
        <v>10</v>
      </c>
      <c r="I159" s="65">
        <f t="shared" si="5"/>
        <v>600</v>
      </c>
    </row>
    <row r="160" spans="2:9" ht="15.75" thickBot="1" x14ac:dyDescent="0.3">
      <c r="B160" s="789" t="s">
        <v>117</v>
      </c>
      <c r="C160" s="790"/>
      <c r="D160" s="790"/>
      <c r="E160" s="791"/>
      <c r="F160" s="64">
        <f>SUM(F143:F159)</f>
        <v>79480</v>
      </c>
      <c r="G160" s="792" t="s">
        <v>116</v>
      </c>
      <c r="H160" s="793"/>
      <c r="I160" s="63">
        <f>SUM(I141:I159)</f>
        <v>11359</v>
      </c>
    </row>
    <row r="161" spans="2:9" ht="15.75" thickBot="1" x14ac:dyDescent="0.3">
      <c r="B161" s="794" t="s">
        <v>115</v>
      </c>
      <c r="C161" s="795"/>
      <c r="D161" s="795"/>
      <c r="E161" s="796"/>
      <c r="F161" s="62">
        <f>F142+F160</f>
        <v>81660</v>
      </c>
      <c r="G161" s="61"/>
      <c r="H161" s="61"/>
      <c r="I161" s="61"/>
    </row>
    <row r="162" spans="2:9" x14ac:dyDescent="0.25">
      <c r="B162" s="60" t="s">
        <v>114</v>
      </c>
      <c r="C162" s="59" t="s">
        <v>113</v>
      </c>
    </row>
    <row r="163" spans="2:9" x14ac:dyDescent="0.25">
      <c r="B163" s="60"/>
      <c r="C163" s="59"/>
    </row>
  </sheetData>
  <mergeCells count="34">
    <mergeCell ref="B116:E116"/>
    <mergeCell ref="D62:D63"/>
    <mergeCell ref="E62:E63"/>
    <mergeCell ref="B109:E109"/>
    <mergeCell ref="B112:F112"/>
    <mergeCell ref="B10:G10"/>
    <mergeCell ref="B11:B12"/>
    <mergeCell ref="C11:C12"/>
    <mergeCell ref="D11:D12"/>
    <mergeCell ref="E11:E12"/>
    <mergeCell ref="B58:E58"/>
    <mergeCell ref="G112:G114"/>
    <mergeCell ref="H112:H114"/>
    <mergeCell ref="I112:I114"/>
    <mergeCell ref="B113:B114"/>
    <mergeCell ref="C113:C114"/>
    <mergeCell ref="D113:D114"/>
    <mergeCell ref="B61:F61"/>
    <mergeCell ref="B62:B63"/>
    <mergeCell ref="C62:C63"/>
    <mergeCell ref="G133:H133"/>
    <mergeCell ref="B134:E134"/>
    <mergeCell ref="B138:F138"/>
    <mergeCell ref="G138:G140"/>
    <mergeCell ref="H138:H140"/>
    <mergeCell ref="B133:E133"/>
    <mergeCell ref="B160:E160"/>
    <mergeCell ref="G160:H160"/>
    <mergeCell ref="B161:E161"/>
    <mergeCell ref="I138:I140"/>
    <mergeCell ref="B139:B140"/>
    <mergeCell ref="C139:C140"/>
    <mergeCell ref="D139:D140"/>
    <mergeCell ref="B142:E142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16"/>
  <sheetViews>
    <sheetView workbookViewId="0">
      <selection activeCell="L25" sqref="L25"/>
    </sheetView>
  </sheetViews>
  <sheetFormatPr defaultColWidth="12.5703125" defaultRowHeight="15" x14ac:dyDescent="0.25"/>
  <cols>
    <col min="1" max="1" width="12.5703125" style="14"/>
    <col min="2" max="2" width="5.7109375" style="14" customWidth="1"/>
    <col min="3" max="3" width="43.28515625" style="111" customWidth="1"/>
    <col min="4" max="4" width="8.85546875" style="14" customWidth="1"/>
    <col min="5" max="5" width="11.5703125" style="110" customWidth="1"/>
    <col min="6" max="6" width="12.5703125" style="109"/>
    <col min="7" max="7" width="11.5703125" style="14" customWidth="1"/>
    <col min="8" max="8" width="8.7109375" style="108" customWidth="1"/>
    <col min="9" max="9" width="11.28515625" style="107" customWidth="1"/>
    <col min="10" max="16384" width="12.5703125" style="14"/>
  </cols>
  <sheetData>
    <row r="1" spans="2:16" x14ac:dyDescent="0.25">
      <c r="B1" s="141"/>
    </row>
    <row r="2" spans="2:16" x14ac:dyDescent="0.25">
      <c r="C2" s="429" t="s">
        <v>298</v>
      </c>
      <c r="D2" s="849">
        <f>F23</f>
        <v>3750.4600000000005</v>
      </c>
      <c r="E2" s="849"/>
    </row>
    <row r="3" spans="2:16" x14ac:dyDescent="0.25">
      <c r="C3" s="429" t="s">
        <v>297</v>
      </c>
      <c r="D3" s="849">
        <f>F78</f>
        <v>44513.950000000004</v>
      </c>
      <c r="E3" s="849"/>
    </row>
    <row r="4" spans="2:16" x14ac:dyDescent="0.25">
      <c r="C4" s="429" t="s">
        <v>296</v>
      </c>
      <c r="D4" s="849">
        <f>I50</f>
        <v>9618.9810000000016</v>
      </c>
      <c r="E4" s="849"/>
    </row>
    <row r="5" spans="2:16" x14ac:dyDescent="0.25">
      <c r="C5" s="429" t="s">
        <v>295</v>
      </c>
      <c r="D5" s="849">
        <f>I114</f>
        <v>82156.172500000015</v>
      </c>
      <c r="E5" s="849"/>
      <c r="F5" s="427"/>
      <c r="G5" s="198"/>
    </row>
    <row r="6" spans="2:16" x14ac:dyDescent="0.25">
      <c r="C6" s="430" t="s">
        <v>294</v>
      </c>
      <c r="D6" s="850">
        <f>D2+D3</f>
        <v>48264.41</v>
      </c>
      <c r="E6" s="850"/>
      <c r="F6" s="428"/>
      <c r="G6" s="194"/>
    </row>
    <row r="7" spans="2:16" x14ac:dyDescent="0.25">
      <c r="C7" s="431" t="s">
        <v>293</v>
      </c>
      <c r="D7" s="851">
        <f>F50+F114</f>
        <v>755255.85999999975</v>
      </c>
      <c r="E7" s="851"/>
      <c r="F7" s="428"/>
      <c r="G7" s="194"/>
      <c r="H7" s="140"/>
    </row>
    <row r="8" spans="2:16" x14ac:dyDescent="0.25">
      <c r="C8" s="98" t="s">
        <v>292</v>
      </c>
      <c r="D8" s="852">
        <f>D4+D5</f>
        <v>91775.153500000015</v>
      </c>
      <c r="E8" s="853"/>
      <c r="F8" s="427"/>
      <c r="G8" s="198"/>
    </row>
    <row r="9" spans="2:16" ht="15.75" thickBot="1" x14ac:dyDescent="0.3"/>
    <row r="10" spans="2:16" ht="15.75" thickBot="1" x14ac:dyDescent="0.3">
      <c r="B10" s="807" t="s">
        <v>291</v>
      </c>
      <c r="C10" s="808"/>
      <c r="D10" s="808"/>
      <c r="E10" s="808"/>
      <c r="F10" s="808"/>
      <c r="G10" s="846" t="s">
        <v>290</v>
      </c>
      <c r="H10" s="846"/>
      <c r="I10" s="846"/>
      <c r="P10" s="504">
        <f>24551.6</f>
        <v>24551.599999999999</v>
      </c>
    </row>
    <row r="11" spans="2:16" ht="15.75" thickBot="1" x14ac:dyDescent="0.3">
      <c r="B11" s="839" t="s">
        <v>141</v>
      </c>
      <c r="C11" s="847" t="s">
        <v>140</v>
      </c>
      <c r="D11" s="841" t="s">
        <v>139</v>
      </c>
      <c r="E11" s="132" t="s">
        <v>39</v>
      </c>
      <c r="F11" s="139" t="s">
        <v>39</v>
      </c>
      <c r="G11" s="846"/>
      <c r="H11" s="846"/>
      <c r="I11" s="846"/>
      <c r="P11" s="504">
        <v>92900.15</v>
      </c>
    </row>
    <row r="12" spans="2:16" ht="16.5" customHeight="1" thickBot="1" x14ac:dyDescent="0.3">
      <c r="B12" s="840"/>
      <c r="C12" s="848"/>
      <c r="D12" s="842"/>
      <c r="E12" s="130" t="s">
        <v>38</v>
      </c>
      <c r="F12" s="138" t="s">
        <v>138</v>
      </c>
      <c r="G12" s="846"/>
      <c r="H12" s="846"/>
      <c r="I12" s="846"/>
    </row>
    <row r="13" spans="2:16" ht="15.75" thickBot="1" x14ac:dyDescent="0.3">
      <c r="B13" s="124">
        <v>1</v>
      </c>
      <c r="C13" s="123" t="s">
        <v>280</v>
      </c>
      <c r="D13" s="122">
        <v>1</v>
      </c>
      <c r="E13" s="121">
        <v>35.880000000000003</v>
      </c>
      <c r="F13" s="137">
        <v>35.880000000000003</v>
      </c>
      <c r="G13" s="846"/>
      <c r="H13" s="846"/>
      <c r="I13" s="846"/>
    </row>
    <row r="14" spans="2:16" ht="15.75" thickBot="1" x14ac:dyDescent="0.3">
      <c r="B14" s="124">
        <v>2</v>
      </c>
      <c r="C14" s="123" t="s">
        <v>279</v>
      </c>
      <c r="D14" s="122">
        <v>1</v>
      </c>
      <c r="E14" s="121">
        <v>35.880000000000003</v>
      </c>
      <c r="F14" s="137">
        <v>35.880000000000003</v>
      </c>
      <c r="G14" s="846"/>
      <c r="H14" s="846"/>
      <c r="I14" s="846"/>
    </row>
    <row r="15" spans="2:16" ht="15.75" thickBot="1" x14ac:dyDescent="0.3">
      <c r="B15" s="124">
        <v>3</v>
      </c>
      <c r="C15" s="123" t="s">
        <v>254</v>
      </c>
      <c r="D15" s="122">
        <v>1</v>
      </c>
      <c r="E15" s="121">
        <v>332.25</v>
      </c>
      <c r="F15" s="137">
        <v>332.25</v>
      </c>
      <c r="G15" s="846"/>
      <c r="H15" s="846"/>
      <c r="I15" s="846"/>
    </row>
    <row r="16" spans="2:16" ht="15.75" thickBot="1" x14ac:dyDescent="0.3">
      <c r="B16" s="124">
        <v>4</v>
      </c>
      <c r="C16" s="123" t="s">
        <v>278</v>
      </c>
      <c r="D16" s="122">
        <v>1</v>
      </c>
      <c r="E16" s="121">
        <v>35.880000000000003</v>
      </c>
      <c r="F16" s="137">
        <v>35.880000000000003</v>
      </c>
      <c r="G16" s="846"/>
      <c r="H16" s="846"/>
      <c r="I16" s="846"/>
    </row>
    <row r="17" spans="2:9" ht="15.75" thickBot="1" x14ac:dyDescent="0.3">
      <c r="B17" s="124">
        <v>5</v>
      </c>
      <c r="C17" s="123" t="s">
        <v>267</v>
      </c>
      <c r="D17" s="122">
        <v>1</v>
      </c>
      <c r="E17" s="121">
        <v>517.35</v>
      </c>
      <c r="F17" s="137">
        <v>517.35</v>
      </c>
      <c r="G17" s="846"/>
      <c r="H17" s="846"/>
      <c r="I17" s="846"/>
    </row>
    <row r="18" spans="2:9" ht="15.75" thickBot="1" x14ac:dyDescent="0.3">
      <c r="B18" s="124">
        <v>6</v>
      </c>
      <c r="C18" s="123" t="s">
        <v>264</v>
      </c>
      <c r="D18" s="122">
        <v>1</v>
      </c>
      <c r="E18" s="121">
        <v>998.98</v>
      </c>
      <c r="F18" s="137">
        <v>998.98</v>
      </c>
      <c r="G18" s="846"/>
      <c r="H18" s="846"/>
      <c r="I18" s="846"/>
    </row>
    <row r="19" spans="2:9" ht="15.75" thickBot="1" x14ac:dyDescent="0.3">
      <c r="B19" s="124">
        <v>7</v>
      </c>
      <c r="C19" s="123" t="s">
        <v>265</v>
      </c>
      <c r="D19" s="122">
        <v>1</v>
      </c>
      <c r="E19" s="121">
        <v>600</v>
      </c>
      <c r="F19" s="137">
        <v>600</v>
      </c>
      <c r="G19" s="846"/>
      <c r="H19" s="846"/>
      <c r="I19" s="846"/>
    </row>
    <row r="20" spans="2:9" ht="13.5" customHeight="1" thickBot="1" x14ac:dyDescent="0.3">
      <c r="B20" s="124">
        <v>8</v>
      </c>
      <c r="C20" s="123" t="s">
        <v>266</v>
      </c>
      <c r="D20" s="122">
        <v>1</v>
      </c>
      <c r="E20" s="121">
        <v>573.75</v>
      </c>
      <c r="F20" s="137">
        <v>573.75</v>
      </c>
      <c r="G20" s="846"/>
      <c r="H20" s="846"/>
      <c r="I20" s="846"/>
    </row>
    <row r="21" spans="2:9" ht="23.25" thickBot="1" x14ac:dyDescent="0.3">
      <c r="B21" s="124">
        <v>9</v>
      </c>
      <c r="C21" s="123" t="s">
        <v>268</v>
      </c>
      <c r="D21" s="122">
        <v>1</v>
      </c>
      <c r="E21" s="121">
        <v>382.9</v>
      </c>
      <c r="F21" s="121">
        <v>382.9</v>
      </c>
      <c r="G21" s="797" t="s">
        <v>152</v>
      </c>
      <c r="H21" s="797" t="s">
        <v>143</v>
      </c>
      <c r="I21" s="797" t="s">
        <v>142</v>
      </c>
    </row>
    <row r="22" spans="2:9" ht="15.75" thickBot="1" x14ac:dyDescent="0.3">
      <c r="B22" s="124">
        <v>10</v>
      </c>
      <c r="C22" s="123" t="s">
        <v>289</v>
      </c>
      <c r="D22" s="122">
        <v>1</v>
      </c>
      <c r="E22" s="121">
        <v>237.59</v>
      </c>
      <c r="F22" s="121">
        <v>237.59</v>
      </c>
      <c r="G22" s="798"/>
      <c r="H22" s="798"/>
      <c r="I22" s="798"/>
    </row>
    <row r="23" spans="2:9" ht="13.5" customHeight="1" thickBot="1" x14ac:dyDescent="0.3">
      <c r="B23" s="824" t="s">
        <v>263</v>
      </c>
      <c r="C23" s="825"/>
      <c r="D23" s="825"/>
      <c r="E23" s="826"/>
      <c r="F23" s="128">
        <f>SUM(F13:F22)</f>
        <v>3750.4600000000005</v>
      </c>
      <c r="G23" s="799"/>
      <c r="H23" s="799"/>
      <c r="I23" s="799"/>
    </row>
    <row r="24" spans="2:9" ht="15.75" thickBot="1" x14ac:dyDescent="0.3">
      <c r="B24" s="124">
        <v>1</v>
      </c>
      <c r="C24" s="123" t="s">
        <v>261</v>
      </c>
      <c r="D24" s="122">
        <v>1</v>
      </c>
      <c r="E24" s="121">
        <v>575</v>
      </c>
      <c r="F24" s="121">
        <v>575</v>
      </c>
      <c r="G24" s="115">
        <v>82</v>
      </c>
      <c r="H24" s="136">
        <v>5</v>
      </c>
      <c r="I24" s="119">
        <f t="shared" ref="I24:I49" si="0">F24/H24</f>
        <v>115</v>
      </c>
    </row>
    <row r="25" spans="2:9" ht="15.75" thickBot="1" x14ac:dyDescent="0.3">
      <c r="B25" s="124">
        <v>2</v>
      </c>
      <c r="C25" s="123" t="s">
        <v>262</v>
      </c>
      <c r="D25" s="122">
        <v>1</v>
      </c>
      <c r="E25" s="121">
        <v>600</v>
      </c>
      <c r="F25" s="121">
        <v>600</v>
      </c>
      <c r="G25" s="115">
        <v>82</v>
      </c>
      <c r="H25" s="136">
        <v>5</v>
      </c>
      <c r="I25" s="119">
        <f t="shared" si="0"/>
        <v>120</v>
      </c>
    </row>
    <row r="26" spans="2:9" ht="15.75" thickBot="1" x14ac:dyDescent="0.3">
      <c r="B26" s="124">
        <v>3</v>
      </c>
      <c r="C26" s="123" t="s">
        <v>260</v>
      </c>
      <c r="D26" s="122">
        <v>1</v>
      </c>
      <c r="E26" s="121">
        <v>332.25</v>
      </c>
      <c r="F26" s="121">
        <v>332.25</v>
      </c>
      <c r="G26" s="115">
        <v>84</v>
      </c>
      <c r="H26" s="136">
        <v>10</v>
      </c>
      <c r="I26" s="119">
        <f t="shared" si="0"/>
        <v>33.225000000000001</v>
      </c>
    </row>
    <row r="27" spans="2:9" ht="15.75" thickBot="1" x14ac:dyDescent="0.3">
      <c r="B27" s="124">
        <v>4</v>
      </c>
      <c r="C27" s="123" t="s">
        <v>259</v>
      </c>
      <c r="D27" s="122">
        <v>1</v>
      </c>
      <c r="E27" s="121">
        <v>3927</v>
      </c>
      <c r="F27" s="121">
        <v>3927</v>
      </c>
      <c r="G27" s="115"/>
      <c r="H27" s="136">
        <v>5</v>
      </c>
      <c r="I27" s="119">
        <f t="shared" si="0"/>
        <v>785.4</v>
      </c>
    </row>
    <row r="28" spans="2:9" ht="15.75" thickBot="1" x14ac:dyDescent="0.3">
      <c r="B28" s="124">
        <v>5</v>
      </c>
      <c r="C28" s="123" t="s">
        <v>256</v>
      </c>
      <c r="D28" s="122">
        <v>1</v>
      </c>
      <c r="E28" s="121">
        <v>332.25</v>
      </c>
      <c r="F28" s="121">
        <v>332.25</v>
      </c>
      <c r="G28" s="115"/>
      <c r="H28" s="136">
        <v>5</v>
      </c>
      <c r="I28" s="119">
        <f t="shared" si="0"/>
        <v>66.45</v>
      </c>
    </row>
    <row r="29" spans="2:9" ht="15.75" thickBot="1" x14ac:dyDescent="0.3">
      <c r="B29" s="124">
        <v>6</v>
      </c>
      <c r="C29" s="123" t="s">
        <v>288</v>
      </c>
      <c r="D29" s="122">
        <v>1</v>
      </c>
      <c r="E29" s="121">
        <v>3927</v>
      </c>
      <c r="F29" s="121">
        <v>3927</v>
      </c>
      <c r="G29" s="115">
        <v>84</v>
      </c>
      <c r="H29" s="136">
        <v>10</v>
      </c>
      <c r="I29" s="119">
        <f t="shared" si="0"/>
        <v>392.7</v>
      </c>
    </row>
    <row r="30" spans="2:9" ht="15.75" thickBot="1" x14ac:dyDescent="0.3">
      <c r="B30" s="124">
        <v>7</v>
      </c>
      <c r="C30" s="123" t="s">
        <v>253</v>
      </c>
      <c r="D30" s="122">
        <v>1</v>
      </c>
      <c r="E30" s="121">
        <v>1315</v>
      </c>
      <c r="F30" s="121">
        <v>1315</v>
      </c>
      <c r="G30" s="115">
        <v>84</v>
      </c>
      <c r="H30" s="136">
        <v>10</v>
      </c>
      <c r="I30" s="119">
        <f t="shared" si="0"/>
        <v>131.5</v>
      </c>
    </row>
    <row r="31" spans="2:9" ht="15.75" thickBot="1" x14ac:dyDescent="0.3">
      <c r="B31" s="124">
        <v>8</v>
      </c>
      <c r="C31" s="123" t="s">
        <v>252</v>
      </c>
      <c r="D31" s="122">
        <v>1</v>
      </c>
      <c r="E31" s="121">
        <v>307.99</v>
      </c>
      <c r="F31" s="121">
        <v>307.99</v>
      </c>
      <c r="G31" s="115"/>
      <c r="H31" s="136">
        <v>10</v>
      </c>
      <c r="I31" s="119">
        <f t="shared" si="0"/>
        <v>30.798999999999999</v>
      </c>
    </row>
    <row r="32" spans="2:9" ht="15.75" thickBot="1" x14ac:dyDescent="0.3">
      <c r="B32" s="124">
        <v>9</v>
      </c>
      <c r="C32" s="123" t="s">
        <v>251</v>
      </c>
      <c r="D32" s="122">
        <v>1</v>
      </c>
      <c r="E32" s="121">
        <v>288.8</v>
      </c>
      <c r="F32" s="121">
        <v>288.8</v>
      </c>
      <c r="G32" s="115"/>
      <c r="H32" s="136">
        <v>10</v>
      </c>
      <c r="I32" s="119">
        <f t="shared" si="0"/>
        <v>28.880000000000003</v>
      </c>
    </row>
    <row r="33" spans="2:10" ht="15.75" thickBot="1" x14ac:dyDescent="0.3">
      <c r="B33" s="124">
        <v>10</v>
      </c>
      <c r="C33" s="123" t="s">
        <v>249</v>
      </c>
      <c r="D33" s="122">
        <v>1</v>
      </c>
      <c r="E33" s="121">
        <v>387.19</v>
      </c>
      <c r="F33" s="121">
        <v>387.19</v>
      </c>
      <c r="G33" s="115">
        <v>84</v>
      </c>
      <c r="H33" s="136">
        <v>10</v>
      </c>
      <c r="I33" s="119">
        <f t="shared" si="0"/>
        <v>38.719000000000001</v>
      </c>
    </row>
    <row r="34" spans="2:10" ht="15.75" thickBot="1" x14ac:dyDescent="0.3">
      <c r="B34" s="124">
        <v>11</v>
      </c>
      <c r="C34" s="123" t="s">
        <v>247</v>
      </c>
      <c r="D34" s="122">
        <v>1</v>
      </c>
      <c r="E34" s="121">
        <v>3499</v>
      </c>
      <c r="F34" s="121">
        <v>3499</v>
      </c>
      <c r="G34" s="115"/>
      <c r="H34" s="136">
        <v>5</v>
      </c>
      <c r="I34" s="119">
        <f t="shared" si="0"/>
        <v>699.8</v>
      </c>
    </row>
    <row r="35" spans="2:10" ht="15.75" thickBot="1" x14ac:dyDescent="0.3">
      <c r="B35" s="124">
        <v>12</v>
      </c>
      <c r="C35" s="123" t="s">
        <v>246</v>
      </c>
      <c r="D35" s="122">
        <v>1</v>
      </c>
      <c r="E35" s="121">
        <v>241.2</v>
      </c>
      <c r="F35" s="121">
        <v>241.2</v>
      </c>
      <c r="G35" s="115"/>
      <c r="H35" s="136">
        <v>5</v>
      </c>
      <c r="I35" s="119">
        <f t="shared" si="0"/>
        <v>48.239999999999995</v>
      </c>
    </row>
    <row r="36" spans="2:10" ht="15.75" thickBot="1" x14ac:dyDescent="0.3">
      <c r="B36" s="124">
        <v>13</v>
      </c>
      <c r="C36" s="123" t="s">
        <v>245</v>
      </c>
      <c r="D36" s="122">
        <v>1</v>
      </c>
      <c r="E36" s="121">
        <v>566.32000000000005</v>
      </c>
      <c r="F36" s="121">
        <v>566.32000000000005</v>
      </c>
      <c r="G36" s="115"/>
      <c r="H36" s="136">
        <v>5</v>
      </c>
      <c r="I36" s="119">
        <f t="shared" si="0"/>
        <v>113.26400000000001</v>
      </c>
    </row>
    <row r="37" spans="2:10" ht="15.75" thickBot="1" x14ac:dyDescent="0.3">
      <c r="B37" s="124">
        <v>14</v>
      </c>
      <c r="C37" s="123" t="s">
        <v>244</v>
      </c>
      <c r="D37" s="122">
        <v>1</v>
      </c>
      <c r="E37" s="121">
        <v>79</v>
      </c>
      <c r="F37" s="121">
        <v>79</v>
      </c>
      <c r="G37" s="115">
        <v>84</v>
      </c>
      <c r="H37" s="136">
        <v>10</v>
      </c>
      <c r="I37" s="119">
        <f t="shared" si="0"/>
        <v>7.9</v>
      </c>
    </row>
    <row r="38" spans="2:10" ht="15.75" thickBot="1" x14ac:dyDescent="0.3">
      <c r="B38" s="124">
        <v>15</v>
      </c>
      <c r="C38" s="123" t="s">
        <v>242</v>
      </c>
      <c r="D38" s="122">
        <v>1</v>
      </c>
      <c r="E38" s="121">
        <v>8325</v>
      </c>
      <c r="F38" s="121">
        <v>8325</v>
      </c>
      <c r="G38" s="115"/>
      <c r="H38" s="136">
        <v>5</v>
      </c>
      <c r="I38" s="119">
        <f t="shared" si="0"/>
        <v>1665</v>
      </c>
    </row>
    <row r="39" spans="2:10" ht="15.75" thickBot="1" x14ac:dyDescent="0.3">
      <c r="B39" s="124">
        <v>16</v>
      </c>
      <c r="C39" s="123" t="s">
        <v>241</v>
      </c>
      <c r="D39" s="122">
        <v>1</v>
      </c>
      <c r="E39" s="121">
        <v>2953</v>
      </c>
      <c r="F39" s="121">
        <v>2953</v>
      </c>
      <c r="G39" s="115"/>
      <c r="H39" s="136">
        <v>5</v>
      </c>
      <c r="I39" s="119">
        <f t="shared" si="0"/>
        <v>590.6</v>
      </c>
    </row>
    <row r="40" spans="2:10" ht="15.75" thickBot="1" x14ac:dyDescent="0.3">
      <c r="B40" s="124">
        <v>17</v>
      </c>
      <c r="C40" s="123" t="s">
        <v>240</v>
      </c>
      <c r="D40" s="122">
        <v>1</v>
      </c>
      <c r="E40" s="121">
        <v>18466.29</v>
      </c>
      <c r="F40" s="121">
        <v>18466.29</v>
      </c>
      <c r="G40" s="115"/>
      <c r="H40" s="136">
        <v>5</v>
      </c>
      <c r="I40" s="119">
        <f t="shared" si="0"/>
        <v>3693.2580000000003</v>
      </c>
      <c r="J40" s="125">
        <f>F40/$D$7</f>
        <v>2.4450376326772237E-2</v>
      </c>
    </row>
    <row r="41" spans="2:10" ht="15.75" thickBot="1" x14ac:dyDescent="0.3">
      <c r="B41" s="124">
        <v>18</v>
      </c>
      <c r="C41" s="123" t="s">
        <v>239</v>
      </c>
      <c r="D41" s="122">
        <v>1</v>
      </c>
      <c r="E41" s="121">
        <v>972.91</v>
      </c>
      <c r="F41" s="121">
        <v>972.91</v>
      </c>
      <c r="G41" s="115">
        <v>82</v>
      </c>
      <c r="H41" s="136">
        <v>5</v>
      </c>
      <c r="I41" s="119">
        <f t="shared" si="0"/>
        <v>194.58199999999999</v>
      </c>
    </row>
    <row r="42" spans="2:10" ht="15.75" thickBot="1" x14ac:dyDescent="0.3">
      <c r="B42" s="124">
        <v>19</v>
      </c>
      <c r="C42" s="123" t="s">
        <v>236</v>
      </c>
      <c r="D42" s="122">
        <v>1</v>
      </c>
      <c r="E42" s="121">
        <v>979.99</v>
      </c>
      <c r="F42" s="121">
        <v>979.99</v>
      </c>
      <c r="G42" s="115"/>
      <c r="H42" s="136">
        <v>5</v>
      </c>
      <c r="I42" s="119">
        <f t="shared" si="0"/>
        <v>195.99799999999999</v>
      </c>
    </row>
    <row r="43" spans="2:10" ht="15.75" thickBot="1" x14ac:dyDescent="0.3">
      <c r="B43" s="124">
        <v>20</v>
      </c>
      <c r="C43" s="123" t="s">
        <v>235</v>
      </c>
      <c r="D43" s="122">
        <v>1</v>
      </c>
      <c r="E43" s="121">
        <v>603.99</v>
      </c>
      <c r="F43" s="121">
        <v>603.99</v>
      </c>
      <c r="G43" s="115"/>
      <c r="H43" s="136">
        <v>5</v>
      </c>
      <c r="I43" s="119">
        <f t="shared" si="0"/>
        <v>120.798</v>
      </c>
    </row>
    <row r="44" spans="2:10" ht="15.75" thickBot="1" x14ac:dyDescent="0.3">
      <c r="B44" s="124">
        <v>21</v>
      </c>
      <c r="C44" s="123" t="s">
        <v>234</v>
      </c>
      <c r="D44" s="122">
        <v>1</v>
      </c>
      <c r="E44" s="121">
        <v>1100</v>
      </c>
      <c r="F44" s="121">
        <v>1100</v>
      </c>
      <c r="G44" s="115">
        <v>90</v>
      </c>
      <c r="H44" s="136">
        <v>10</v>
      </c>
      <c r="I44" s="119">
        <f t="shared" si="0"/>
        <v>110</v>
      </c>
    </row>
    <row r="45" spans="2:10" ht="15.75" thickBot="1" x14ac:dyDescent="0.3">
      <c r="B45" s="124">
        <v>22</v>
      </c>
      <c r="C45" s="123" t="s">
        <v>233</v>
      </c>
      <c r="D45" s="122">
        <v>1</v>
      </c>
      <c r="E45" s="121">
        <v>209.9</v>
      </c>
      <c r="F45" s="121">
        <v>209.9</v>
      </c>
      <c r="G45" s="115"/>
      <c r="H45" s="136">
        <v>5</v>
      </c>
      <c r="I45" s="119">
        <f t="shared" si="0"/>
        <v>41.980000000000004</v>
      </c>
    </row>
    <row r="46" spans="2:10" ht="15.75" thickBot="1" x14ac:dyDescent="0.3">
      <c r="B46" s="124">
        <v>23</v>
      </c>
      <c r="C46" s="123" t="s">
        <v>232</v>
      </c>
      <c r="D46" s="122">
        <v>1</v>
      </c>
      <c r="E46" s="121">
        <v>420</v>
      </c>
      <c r="F46" s="121">
        <v>420</v>
      </c>
      <c r="G46" s="115"/>
      <c r="H46" s="136">
        <v>5</v>
      </c>
      <c r="I46" s="119">
        <f t="shared" si="0"/>
        <v>84</v>
      </c>
    </row>
    <row r="47" spans="2:10" ht="15.75" thickBot="1" x14ac:dyDescent="0.3">
      <c r="B47" s="124">
        <v>24</v>
      </c>
      <c r="C47" s="123" t="s">
        <v>230</v>
      </c>
      <c r="D47" s="122">
        <v>1</v>
      </c>
      <c r="E47" s="121">
        <v>169.1</v>
      </c>
      <c r="F47" s="121">
        <v>169.1</v>
      </c>
      <c r="G47" s="115">
        <v>90</v>
      </c>
      <c r="H47" s="136">
        <v>10</v>
      </c>
      <c r="I47" s="119">
        <f t="shared" si="0"/>
        <v>16.91</v>
      </c>
    </row>
    <row r="48" spans="2:10" ht="15.75" thickBot="1" x14ac:dyDescent="0.3">
      <c r="B48" s="124">
        <v>25</v>
      </c>
      <c r="C48" s="123" t="s">
        <v>229</v>
      </c>
      <c r="D48" s="122">
        <v>1</v>
      </c>
      <c r="E48" s="121">
        <v>1857.99</v>
      </c>
      <c r="F48" s="121">
        <v>1857.99</v>
      </c>
      <c r="G48" s="115">
        <v>84</v>
      </c>
      <c r="H48" s="136">
        <v>10</v>
      </c>
      <c r="I48" s="119">
        <f t="shared" si="0"/>
        <v>185.79900000000001</v>
      </c>
    </row>
    <row r="49" spans="2:9" ht="15.75" thickBot="1" x14ac:dyDescent="0.3">
      <c r="B49" s="124">
        <v>26</v>
      </c>
      <c r="C49" s="123" t="s">
        <v>228</v>
      </c>
      <c r="D49" s="122">
        <v>1</v>
      </c>
      <c r="E49" s="121">
        <v>1081.79</v>
      </c>
      <c r="F49" s="121">
        <v>1081.79</v>
      </c>
      <c r="G49" s="135">
        <v>84</v>
      </c>
      <c r="H49" s="134">
        <v>10</v>
      </c>
      <c r="I49" s="119">
        <f t="shared" si="0"/>
        <v>108.179</v>
      </c>
    </row>
    <row r="50" spans="2:9" ht="15.75" thickBot="1" x14ac:dyDescent="0.3">
      <c r="B50" s="843" t="s">
        <v>227</v>
      </c>
      <c r="C50" s="844"/>
      <c r="D50" s="844"/>
      <c r="E50" s="845"/>
      <c r="F50" s="133">
        <f>SUM(F24:F49)</f>
        <v>53517.96</v>
      </c>
      <c r="G50" s="792" t="s">
        <v>116</v>
      </c>
      <c r="H50" s="793"/>
      <c r="I50" s="117">
        <f>SUM(I24:I49)</f>
        <v>9618.9810000000016</v>
      </c>
    </row>
    <row r="51" spans="2:9" ht="15.75" thickBot="1" x14ac:dyDescent="0.3">
      <c r="B51" s="827" t="s">
        <v>287</v>
      </c>
      <c r="C51" s="828"/>
      <c r="D51" s="828"/>
      <c r="E51" s="829"/>
      <c r="F51" s="116">
        <f>F23+F50</f>
        <v>57268.42</v>
      </c>
    </row>
    <row r="52" spans="2:9" x14ac:dyDescent="0.25">
      <c r="B52" s="92" t="s">
        <v>114</v>
      </c>
      <c r="C52" s="112" t="s">
        <v>225</v>
      </c>
    </row>
    <row r="53" spans="2:9" ht="15.75" thickBot="1" x14ac:dyDescent="0.3"/>
    <row r="54" spans="2:9" ht="13.5" customHeight="1" thickBot="1" x14ac:dyDescent="0.3">
      <c r="B54" s="807" t="s">
        <v>286</v>
      </c>
      <c r="C54" s="808"/>
      <c r="D54" s="808"/>
      <c r="E54" s="808"/>
      <c r="F54" s="809"/>
      <c r="G54" s="830" t="s">
        <v>285</v>
      </c>
      <c r="H54" s="831"/>
      <c r="I54" s="832"/>
    </row>
    <row r="55" spans="2:9" x14ac:dyDescent="0.25">
      <c r="B55" s="839" t="s">
        <v>141</v>
      </c>
      <c r="C55" s="841" t="s">
        <v>140</v>
      </c>
      <c r="D55" s="841" t="s">
        <v>139</v>
      </c>
      <c r="E55" s="132" t="s">
        <v>39</v>
      </c>
      <c r="F55" s="131" t="s">
        <v>39</v>
      </c>
      <c r="G55" s="833"/>
      <c r="H55" s="834"/>
      <c r="I55" s="835"/>
    </row>
    <row r="56" spans="2:9" ht="15.75" thickBot="1" x14ac:dyDescent="0.3">
      <c r="B56" s="840"/>
      <c r="C56" s="842"/>
      <c r="D56" s="842"/>
      <c r="E56" s="130" t="s">
        <v>38</v>
      </c>
      <c r="F56" s="129" t="s">
        <v>138</v>
      </c>
      <c r="G56" s="833"/>
      <c r="H56" s="834"/>
      <c r="I56" s="835"/>
    </row>
    <row r="57" spans="2:9" ht="15.75" thickBot="1" x14ac:dyDescent="0.3">
      <c r="B57" s="124">
        <v>1</v>
      </c>
      <c r="C57" s="123" t="s">
        <v>284</v>
      </c>
      <c r="D57" s="122">
        <v>5</v>
      </c>
      <c r="E57" s="121">
        <v>22.41</v>
      </c>
      <c r="F57" s="120">
        <v>112.05</v>
      </c>
      <c r="G57" s="833"/>
      <c r="H57" s="834"/>
      <c r="I57" s="835"/>
    </row>
    <row r="58" spans="2:9" ht="15.75" thickBot="1" x14ac:dyDescent="0.3">
      <c r="B58" s="124">
        <v>2</v>
      </c>
      <c r="C58" s="123" t="s">
        <v>283</v>
      </c>
      <c r="D58" s="122">
        <v>50</v>
      </c>
      <c r="E58" s="121">
        <v>25.46</v>
      </c>
      <c r="F58" s="120">
        <v>1273</v>
      </c>
      <c r="G58" s="833"/>
      <c r="H58" s="834"/>
      <c r="I58" s="835"/>
    </row>
    <row r="59" spans="2:9" ht="15.75" thickBot="1" x14ac:dyDescent="0.3">
      <c r="B59" s="124">
        <v>3</v>
      </c>
      <c r="C59" s="123" t="s">
        <v>282</v>
      </c>
      <c r="D59" s="122">
        <v>50</v>
      </c>
      <c r="E59" s="121">
        <v>29.2</v>
      </c>
      <c r="F59" s="120">
        <v>1460</v>
      </c>
      <c r="G59" s="833"/>
      <c r="H59" s="834"/>
      <c r="I59" s="835"/>
    </row>
    <row r="60" spans="2:9" ht="15.75" thickBot="1" x14ac:dyDescent="0.3">
      <c r="B60" s="124">
        <v>4</v>
      </c>
      <c r="C60" s="123" t="s">
        <v>281</v>
      </c>
      <c r="D60" s="122">
        <v>50</v>
      </c>
      <c r="E60" s="121">
        <v>30.18</v>
      </c>
      <c r="F60" s="120">
        <v>1509</v>
      </c>
      <c r="G60" s="833"/>
      <c r="H60" s="834"/>
      <c r="I60" s="835"/>
    </row>
    <row r="61" spans="2:9" ht="15.75" thickBot="1" x14ac:dyDescent="0.3">
      <c r="B61" s="124">
        <v>5</v>
      </c>
      <c r="C61" s="123" t="s">
        <v>280</v>
      </c>
      <c r="D61" s="122">
        <v>5</v>
      </c>
      <c r="E61" s="121">
        <v>35.880000000000003</v>
      </c>
      <c r="F61" s="120">
        <v>179.4</v>
      </c>
      <c r="G61" s="833"/>
      <c r="H61" s="834"/>
      <c r="I61" s="835"/>
    </row>
    <row r="62" spans="2:9" ht="15.75" thickBot="1" x14ac:dyDescent="0.3">
      <c r="B62" s="124">
        <v>6</v>
      </c>
      <c r="C62" s="123" t="s">
        <v>279</v>
      </c>
      <c r="D62" s="122">
        <v>5</v>
      </c>
      <c r="E62" s="121">
        <v>35.880000000000003</v>
      </c>
      <c r="F62" s="120">
        <v>179.4</v>
      </c>
      <c r="G62" s="833"/>
      <c r="H62" s="834"/>
      <c r="I62" s="835"/>
    </row>
    <row r="63" spans="2:9" ht="15.75" thickBot="1" x14ac:dyDescent="0.3">
      <c r="B63" s="124">
        <v>7</v>
      </c>
      <c r="C63" s="123" t="s">
        <v>278</v>
      </c>
      <c r="D63" s="122">
        <v>5</v>
      </c>
      <c r="E63" s="121">
        <v>35.880000000000003</v>
      </c>
      <c r="F63" s="120">
        <v>179.4</v>
      </c>
      <c r="G63" s="833"/>
      <c r="H63" s="834"/>
      <c r="I63" s="835"/>
    </row>
    <row r="64" spans="2:9" ht="15.75" thickBot="1" x14ac:dyDescent="0.3">
      <c r="B64" s="124">
        <v>8</v>
      </c>
      <c r="C64" s="123" t="s">
        <v>277</v>
      </c>
      <c r="D64" s="122">
        <v>50</v>
      </c>
      <c r="E64" s="121">
        <v>42.21</v>
      </c>
      <c r="F64" s="120">
        <v>2110.5</v>
      </c>
      <c r="G64" s="833"/>
      <c r="H64" s="834"/>
      <c r="I64" s="835"/>
    </row>
    <row r="65" spans="2:9" ht="15.75" thickBot="1" x14ac:dyDescent="0.3">
      <c r="B65" s="124">
        <v>9</v>
      </c>
      <c r="C65" s="123" t="s">
        <v>276</v>
      </c>
      <c r="D65" s="122">
        <v>50</v>
      </c>
      <c r="E65" s="121">
        <v>49.9</v>
      </c>
      <c r="F65" s="120">
        <v>2495</v>
      </c>
      <c r="G65" s="833"/>
      <c r="H65" s="834"/>
      <c r="I65" s="835"/>
    </row>
    <row r="66" spans="2:9" ht="15.75" thickBot="1" x14ac:dyDescent="0.3">
      <c r="B66" s="124">
        <v>10</v>
      </c>
      <c r="C66" s="123" t="s">
        <v>275</v>
      </c>
      <c r="D66" s="122">
        <v>25</v>
      </c>
      <c r="E66" s="121">
        <v>60.12</v>
      </c>
      <c r="F66" s="120">
        <v>1503</v>
      </c>
      <c r="G66" s="833"/>
      <c r="H66" s="834"/>
      <c r="I66" s="835"/>
    </row>
    <row r="67" spans="2:9" ht="15.75" thickBot="1" x14ac:dyDescent="0.3">
      <c r="B67" s="124">
        <v>11</v>
      </c>
      <c r="C67" s="123" t="s">
        <v>274</v>
      </c>
      <c r="D67" s="122">
        <v>50</v>
      </c>
      <c r="E67" s="121">
        <v>62</v>
      </c>
      <c r="F67" s="120">
        <v>3100</v>
      </c>
      <c r="G67" s="833"/>
      <c r="H67" s="834"/>
      <c r="I67" s="835"/>
    </row>
    <row r="68" spans="2:9" ht="15.75" thickBot="1" x14ac:dyDescent="0.3">
      <c r="B68" s="124">
        <v>12</v>
      </c>
      <c r="C68" s="123" t="s">
        <v>273</v>
      </c>
      <c r="D68" s="122">
        <v>25</v>
      </c>
      <c r="E68" s="121">
        <v>188.56</v>
      </c>
      <c r="F68" s="120">
        <v>4714</v>
      </c>
      <c r="G68" s="833"/>
      <c r="H68" s="834"/>
      <c r="I68" s="835"/>
    </row>
    <row r="69" spans="2:9" ht="15.75" thickBot="1" x14ac:dyDescent="0.3">
      <c r="B69" s="124">
        <v>13</v>
      </c>
      <c r="C69" s="123" t="s">
        <v>272</v>
      </c>
      <c r="D69" s="122">
        <v>15</v>
      </c>
      <c r="E69" s="121">
        <v>209.99</v>
      </c>
      <c r="F69" s="120">
        <v>3149.8500000000004</v>
      </c>
      <c r="G69" s="833"/>
      <c r="H69" s="834"/>
      <c r="I69" s="835"/>
    </row>
    <row r="70" spans="2:9" ht="15.75" thickBot="1" x14ac:dyDescent="0.3">
      <c r="B70" s="124">
        <v>14</v>
      </c>
      <c r="C70" s="123" t="s">
        <v>271</v>
      </c>
      <c r="D70" s="122">
        <v>5</v>
      </c>
      <c r="E70" s="121">
        <v>214.5</v>
      </c>
      <c r="F70" s="120">
        <v>1072.5</v>
      </c>
      <c r="G70" s="833"/>
      <c r="H70" s="834"/>
      <c r="I70" s="835"/>
    </row>
    <row r="71" spans="2:9" s="22" customFormat="1" ht="15.75" thickBot="1" x14ac:dyDescent="0.3">
      <c r="B71" s="124">
        <v>15</v>
      </c>
      <c r="C71" s="123" t="s">
        <v>270</v>
      </c>
      <c r="D71" s="122">
        <v>5</v>
      </c>
      <c r="E71" s="121">
        <v>219</v>
      </c>
      <c r="F71" s="120">
        <v>1095</v>
      </c>
      <c r="G71" s="833"/>
      <c r="H71" s="834"/>
      <c r="I71" s="835"/>
    </row>
    <row r="72" spans="2:9" ht="15.75" thickBot="1" x14ac:dyDescent="0.3">
      <c r="B72" s="124">
        <v>16</v>
      </c>
      <c r="C72" s="123" t="s">
        <v>269</v>
      </c>
      <c r="D72" s="122">
        <v>5</v>
      </c>
      <c r="E72" s="121">
        <v>237.59</v>
      </c>
      <c r="F72" s="120">
        <v>1187.95</v>
      </c>
      <c r="G72" s="833"/>
      <c r="H72" s="834"/>
      <c r="I72" s="835"/>
    </row>
    <row r="73" spans="2:9" ht="23.25" thickBot="1" x14ac:dyDescent="0.3">
      <c r="B73" s="124">
        <v>17</v>
      </c>
      <c r="C73" s="123" t="s">
        <v>268</v>
      </c>
      <c r="D73" s="122">
        <v>15</v>
      </c>
      <c r="E73" s="121">
        <v>382.9</v>
      </c>
      <c r="F73" s="120">
        <v>5743.5</v>
      </c>
      <c r="G73" s="833"/>
      <c r="H73" s="834"/>
      <c r="I73" s="835"/>
    </row>
    <row r="74" spans="2:9" ht="15.75" thickBot="1" x14ac:dyDescent="0.3">
      <c r="B74" s="124">
        <v>18</v>
      </c>
      <c r="C74" s="123" t="s">
        <v>267</v>
      </c>
      <c r="D74" s="122">
        <v>5</v>
      </c>
      <c r="E74" s="121">
        <v>517.35</v>
      </c>
      <c r="F74" s="120">
        <v>2586.75</v>
      </c>
      <c r="G74" s="833"/>
      <c r="H74" s="834"/>
      <c r="I74" s="835"/>
    </row>
    <row r="75" spans="2:9" ht="15.75" thickBot="1" x14ac:dyDescent="0.3">
      <c r="B75" s="124">
        <v>19</v>
      </c>
      <c r="C75" s="123" t="s">
        <v>266</v>
      </c>
      <c r="D75" s="122">
        <v>5</v>
      </c>
      <c r="E75" s="121">
        <v>573.75</v>
      </c>
      <c r="F75" s="120">
        <v>2868.75</v>
      </c>
      <c r="G75" s="836"/>
      <c r="H75" s="837"/>
      <c r="I75" s="838"/>
    </row>
    <row r="76" spans="2:9" ht="15.75" thickBot="1" x14ac:dyDescent="0.3">
      <c r="B76" s="124">
        <v>20</v>
      </c>
      <c r="C76" s="123" t="s">
        <v>265</v>
      </c>
      <c r="D76" s="122">
        <v>5</v>
      </c>
      <c r="E76" s="121">
        <v>600</v>
      </c>
      <c r="F76" s="120">
        <v>3000</v>
      </c>
      <c r="G76" s="797" t="s">
        <v>152</v>
      </c>
      <c r="H76" s="797" t="s">
        <v>143</v>
      </c>
      <c r="I76" s="797" t="s">
        <v>142</v>
      </c>
    </row>
    <row r="77" spans="2:9" ht="13.5" customHeight="1" thickBot="1" x14ac:dyDescent="0.3">
      <c r="B77" s="124">
        <v>21</v>
      </c>
      <c r="C77" s="123" t="s">
        <v>264</v>
      </c>
      <c r="D77" s="122">
        <v>5</v>
      </c>
      <c r="E77" s="121">
        <v>998.98</v>
      </c>
      <c r="F77" s="120">
        <v>4994.8999999999996</v>
      </c>
      <c r="G77" s="798"/>
      <c r="H77" s="798"/>
      <c r="I77" s="798"/>
    </row>
    <row r="78" spans="2:9" ht="15.75" thickBot="1" x14ac:dyDescent="0.3">
      <c r="B78" s="824" t="s">
        <v>263</v>
      </c>
      <c r="C78" s="825"/>
      <c r="D78" s="825"/>
      <c r="E78" s="826"/>
      <c r="F78" s="128">
        <f>SUM(F57:F77)</f>
        <v>44513.950000000004</v>
      </c>
      <c r="G78" s="799"/>
      <c r="H78" s="799"/>
      <c r="I78" s="799"/>
    </row>
    <row r="79" spans="2:9" ht="15.75" thickBot="1" x14ac:dyDescent="0.3">
      <c r="B79" s="124">
        <v>1</v>
      </c>
      <c r="C79" s="123" t="s">
        <v>262</v>
      </c>
      <c r="D79" s="122">
        <v>5</v>
      </c>
      <c r="E79" s="121">
        <v>600</v>
      </c>
      <c r="F79" s="120">
        <v>3000</v>
      </c>
      <c r="G79" s="115">
        <v>82</v>
      </c>
      <c r="H79" s="114">
        <v>5</v>
      </c>
      <c r="I79" s="119">
        <f t="shared" ref="I79:I113" si="1">F79/H79</f>
        <v>600</v>
      </c>
    </row>
    <row r="80" spans="2:9" ht="15.75" thickBot="1" x14ac:dyDescent="0.3">
      <c r="B80" s="124">
        <v>2</v>
      </c>
      <c r="C80" s="123" t="s">
        <v>261</v>
      </c>
      <c r="D80" s="122">
        <v>5</v>
      </c>
      <c r="E80" s="121">
        <v>575</v>
      </c>
      <c r="F80" s="120">
        <v>2875</v>
      </c>
      <c r="G80" s="115">
        <v>82</v>
      </c>
      <c r="H80" s="114">
        <v>5</v>
      </c>
      <c r="I80" s="119">
        <f t="shared" si="1"/>
        <v>575</v>
      </c>
    </row>
    <row r="81" spans="2:10" ht="15.75" thickBot="1" x14ac:dyDescent="0.3">
      <c r="B81" s="124">
        <v>3</v>
      </c>
      <c r="C81" s="123" t="s">
        <v>260</v>
      </c>
      <c r="D81" s="122">
        <v>5</v>
      </c>
      <c r="E81" s="121">
        <v>332.25</v>
      </c>
      <c r="F81" s="120">
        <v>1661.25</v>
      </c>
      <c r="G81" s="115"/>
      <c r="H81" s="114">
        <v>5</v>
      </c>
      <c r="I81" s="119">
        <f t="shared" si="1"/>
        <v>332.25</v>
      </c>
    </row>
    <row r="82" spans="2:10" ht="15.75" thickBot="1" x14ac:dyDescent="0.3">
      <c r="B82" s="124">
        <v>4</v>
      </c>
      <c r="C82" s="123" t="s">
        <v>259</v>
      </c>
      <c r="D82" s="122">
        <v>5</v>
      </c>
      <c r="E82" s="121">
        <v>3927</v>
      </c>
      <c r="F82" s="120">
        <v>19635</v>
      </c>
      <c r="G82" s="115"/>
      <c r="H82" s="114">
        <v>5</v>
      </c>
      <c r="I82" s="119">
        <f t="shared" si="1"/>
        <v>3927</v>
      </c>
    </row>
    <row r="83" spans="2:10" ht="15.75" thickBot="1" x14ac:dyDescent="0.3">
      <c r="B83" s="124">
        <v>5</v>
      </c>
      <c r="C83" s="123" t="s">
        <v>258</v>
      </c>
      <c r="D83" s="122">
        <v>5</v>
      </c>
      <c r="E83" s="121">
        <v>1053.1500000000001</v>
      </c>
      <c r="F83" s="120">
        <v>5265.75</v>
      </c>
      <c r="G83" s="115"/>
      <c r="H83" s="114">
        <v>20</v>
      </c>
      <c r="I83" s="119">
        <f t="shared" si="1"/>
        <v>263.28750000000002</v>
      </c>
    </row>
    <row r="84" spans="2:10" ht="15.75" thickBot="1" x14ac:dyDescent="0.3">
      <c r="B84" s="124">
        <v>6</v>
      </c>
      <c r="C84" s="127" t="s">
        <v>257</v>
      </c>
      <c r="D84" s="126">
        <v>28</v>
      </c>
      <c r="E84" s="120">
        <v>6500</v>
      </c>
      <c r="F84" s="120">
        <f>D84*E84</f>
        <v>182000</v>
      </c>
      <c r="G84" s="115">
        <v>89</v>
      </c>
      <c r="H84" s="114">
        <v>20</v>
      </c>
      <c r="I84" s="119">
        <f t="shared" si="1"/>
        <v>9100</v>
      </c>
      <c r="J84" s="125">
        <f>F84/$D$7</f>
        <v>0.24097793825790384</v>
      </c>
    </row>
    <row r="85" spans="2:10" ht="15.75" thickBot="1" x14ac:dyDescent="0.3">
      <c r="B85" s="124">
        <v>7</v>
      </c>
      <c r="C85" s="123" t="s">
        <v>256</v>
      </c>
      <c r="D85" s="122">
        <v>5</v>
      </c>
      <c r="E85" s="121">
        <v>332.25</v>
      </c>
      <c r="F85" s="120">
        <v>1661.25</v>
      </c>
      <c r="G85" s="115"/>
      <c r="H85" s="114">
        <v>5</v>
      </c>
      <c r="I85" s="119">
        <f t="shared" si="1"/>
        <v>332.25</v>
      </c>
    </row>
    <row r="86" spans="2:10" ht="15.75" thickBot="1" x14ac:dyDescent="0.3">
      <c r="B86" s="124">
        <v>8</v>
      </c>
      <c r="C86" s="123" t="s">
        <v>255</v>
      </c>
      <c r="D86" s="122">
        <v>5</v>
      </c>
      <c r="E86" s="121">
        <v>3927</v>
      </c>
      <c r="F86" s="120">
        <v>19635</v>
      </c>
      <c r="G86" s="115">
        <v>84</v>
      </c>
      <c r="H86" s="114">
        <v>10</v>
      </c>
      <c r="I86" s="119">
        <f t="shared" si="1"/>
        <v>1963.5</v>
      </c>
    </row>
    <row r="87" spans="2:10" ht="15.75" thickBot="1" x14ac:dyDescent="0.3">
      <c r="B87" s="124">
        <v>9</v>
      </c>
      <c r="C87" s="123" t="s">
        <v>254</v>
      </c>
      <c r="D87" s="122">
        <v>5</v>
      </c>
      <c r="E87" s="121">
        <v>332.25</v>
      </c>
      <c r="F87" s="120">
        <v>1661.25</v>
      </c>
      <c r="G87" s="115"/>
      <c r="H87" s="114">
        <v>10</v>
      </c>
      <c r="I87" s="119">
        <f t="shared" si="1"/>
        <v>166.125</v>
      </c>
    </row>
    <row r="88" spans="2:10" ht="15.75" thickBot="1" x14ac:dyDescent="0.3">
      <c r="B88" s="124">
        <v>10</v>
      </c>
      <c r="C88" s="123" t="s">
        <v>253</v>
      </c>
      <c r="D88" s="122">
        <v>5</v>
      </c>
      <c r="E88" s="121">
        <v>1315</v>
      </c>
      <c r="F88" s="120">
        <v>6575</v>
      </c>
      <c r="G88" s="115">
        <v>84</v>
      </c>
      <c r="H88" s="114">
        <v>10</v>
      </c>
      <c r="I88" s="119">
        <f t="shared" si="1"/>
        <v>657.5</v>
      </c>
    </row>
    <row r="89" spans="2:10" ht="15.75" thickBot="1" x14ac:dyDescent="0.3">
      <c r="B89" s="124">
        <v>11</v>
      </c>
      <c r="C89" s="123" t="s">
        <v>252</v>
      </c>
      <c r="D89" s="122">
        <v>5</v>
      </c>
      <c r="E89" s="121">
        <v>307.99</v>
      </c>
      <c r="F89" s="120">
        <v>1539.95</v>
      </c>
      <c r="G89" s="115"/>
      <c r="H89" s="114">
        <v>10</v>
      </c>
      <c r="I89" s="119">
        <f t="shared" si="1"/>
        <v>153.995</v>
      </c>
    </row>
    <row r="90" spans="2:10" ht="15.75" thickBot="1" x14ac:dyDescent="0.3">
      <c r="B90" s="124">
        <v>12</v>
      </c>
      <c r="C90" s="123" t="s">
        <v>251</v>
      </c>
      <c r="D90" s="122">
        <v>5</v>
      </c>
      <c r="E90" s="121">
        <v>288.8</v>
      </c>
      <c r="F90" s="120">
        <v>1444</v>
      </c>
      <c r="G90" s="115"/>
      <c r="H90" s="114">
        <v>10</v>
      </c>
      <c r="I90" s="119">
        <f t="shared" si="1"/>
        <v>144.4</v>
      </c>
    </row>
    <row r="91" spans="2:10" ht="15.75" thickBot="1" x14ac:dyDescent="0.3">
      <c r="B91" s="124">
        <v>13</v>
      </c>
      <c r="C91" s="123" t="s">
        <v>250</v>
      </c>
      <c r="D91" s="122">
        <v>5</v>
      </c>
      <c r="E91" s="121">
        <v>1016.41</v>
      </c>
      <c r="F91" s="120">
        <v>5082.05</v>
      </c>
      <c r="G91" s="115">
        <v>84</v>
      </c>
      <c r="H91" s="114">
        <v>10</v>
      </c>
      <c r="I91" s="119">
        <f t="shared" si="1"/>
        <v>508.20500000000004</v>
      </c>
    </row>
    <row r="92" spans="2:10" ht="15.75" thickBot="1" x14ac:dyDescent="0.3">
      <c r="B92" s="124">
        <v>14</v>
      </c>
      <c r="C92" s="123" t="s">
        <v>249</v>
      </c>
      <c r="D92" s="122">
        <v>5</v>
      </c>
      <c r="E92" s="121">
        <v>387.19</v>
      </c>
      <c r="F92" s="120">
        <v>1935.95</v>
      </c>
      <c r="G92" s="115"/>
      <c r="H92" s="114">
        <v>10</v>
      </c>
      <c r="I92" s="119">
        <f t="shared" si="1"/>
        <v>193.595</v>
      </c>
    </row>
    <row r="93" spans="2:10" ht="15.75" thickBot="1" x14ac:dyDescent="0.3">
      <c r="B93" s="124">
        <v>15</v>
      </c>
      <c r="C93" s="123" t="s">
        <v>248</v>
      </c>
      <c r="D93" s="122">
        <v>5</v>
      </c>
      <c r="E93" s="121">
        <v>1311.15</v>
      </c>
      <c r="F93" s="120">
        <v>6555.75</v>
      </c>
      <c r="G93" s="115">
        <v>84</v>
      </c>
      <c r="H93" s="114">
        <v>10</v>
      </c>
      <c r="I93" s="119">
        <f t="shared" si="1"/>
        <v>655.57500000000005</v>
      </c>
    </row>
    <row r="94" spans="2:10" ht="15.75" thickBot="1" x14ac:dyDescent="0.3">
      <c r="B94" s="124">
        <v>16</v>
      </c>
      <c r="C94" s="123" t="s">
        <v>247</v>
      </c>
      <c r="D94" s="122">
        <v>5</v>
      </c>
      <c r="E94" s="121">
        <v>3499</v>
      </c>
      <c r="F94" s="120">
        <v>17495</v>
      </c>
      <c r="G94" s="115"/>
      <c r="H94" s="114">
        <v>5</v>
      </c>
      <c r="I94" s="119">
        <f t="shared" si="1"/>
        <v>3499</v>
      </c>
    </row>
    <row r="95" spans="2:10" ht="15.75" thickBot="1" x14ac:dyDescent="0.3">
      <c r="B95" s="124">
        <v>17</v>
      </c>
      <c r="C95" s="123" t="s">
        <v>246</v>
      </c>
      <c r="D95" s="122">
        <v>5</v>
      </c>
      <c r="E95" s="121">
        <v>241.2</v>
      </c>
      <c r="F95" s="120">
        <v>1206</v>
      </c>
      <c r="G95" s="115"/>
      <c r="H95" s="114">
        <v>5</v>
      </c>
      <c r="I95" s="119">
        <f t="shared" si="1"/>
        <v>241.2</v>
      </c>
    </row>
    <row r="96" spans="2:10" ht="15.75" thickBot="1" x14ac:dyDescent="0.3">
      <c r="B96" s="124">
        <v>18</v>
      </c>
      <c r="C96" s="123" t="s">
        <v>245</v>
      </c>
      <c r="D96" s="122">
        <v>5</v>
      </c>
      <c r="E96" s="121">
        <v>566.32000000000005</v>
      </c>
      <c r="F96" s="120">
        <v>2831.6000000000004</v>
      </c>
      <c r="G96" s="115">
        <v>82</v>
      </c>
      <c r="H96" s="114">
        <v>5</v>
      </c>
      <c r="I96" s="119">
        <f t="shared" si="1"/>
        <v>566.32000000000005</v>
      </c>
    </row>
    <row r="97" spans="2:10" ht="15.75" thickBot="1" x14ac:dyDescent="0.3">
      <c r="B97" s="124">
        <v>19</v>
      </c>
      <c r="C97" s="123" t="s">
        <v>244</v>
      </c>
      <c r="D97" s="122">
        <v>5</v>
      </c>
      <c r="E97" s="121">
        <v>79</v>
      </c>
      <c r="F97" s="120">
        <v>395</v>
      </c>
      <c r="G97" s="115">
        <v>84</v>
      </c>
      <c r="H97" s="114">
        <v>10</v>
      </c>
      <c r="I97" s="119">
        <f t="shared" si="1"/>
        <v>39.5</v>
      </c>
    </row>
    <row r="98" spans="2:10" ht="15.75" thickBot="1" x14ac:dyDescent="0.3">
      <c r="B98" s="124">
        <v>20</v>
      </c>
      <c r="C98" s="123" t="s">
        <v>243</v>
      </c>
      <c r="D98" s="122">
        <v>5</v>
      </c>
      <c r="E98" s="121">
        <v>384.8</v>
      </c>
      <c r="F98" s="120">
        <v>1924</v>
      </c>
      <c r="G98" s="115">
        <v>84</v>
      </c>
      <c r="H98" s="114">
        <v>10</v>
      </c>
      <c r="I98" s="119">
        <f t="shared" si="1"/>
        <v>192.4</v>
      </c>
    </row>
    <row r="99" spans="2:10" ht="15.75" thickBot="1" x14ac:dyDescent="0.3">
      <c r="B99" s="124">
        <v>21</v>
      </c>
      <c r="C99" s="123" t="s">
        <v>242</v>
      </c>
      <c r="D99" s="122">
        <v>5</v>
      </c>
      <c r="E99" s="121">
        <v>8325</v>
      </c>
      <c r="F99" s="120">
        <v>41625</v>
      </c>
      <c r="G99" s="115"/>
      <c r="H99" s="114">
        <v>5</v>
      </c>
      <c r="I99" s="119">
        <f t="shared" si="1"/>
        <v>8325</v>
      </c>
    </row>
    <row r="100" spans="2:10" ht="15.75" thickBot="1" x14ac:dyDescent="0.3">
      <c r="B100" s="124">
        <v>22</v>
      </c>
      <c r="C100" s="123" t="s">
        <v>241</v>
      </c>
      <c r="D100" s="122">
        <v>5</v>
      </c>
      <c r="E100" s="121">
        <v>2953</v>
      </c>
      <c r="F100" s="120">
        <v>14765</v>
      </c>
      <c r="G100" s="115"/>
      <c r="H100" s="114">
        <v>5</v>
      </c>
      <c r="I100" s="119">
        <f t="shared" si="1"/>
        <v>2953</v>
      </c>
    </row>
    <row r="101" spans="2:10" ht="15.75" thickBot="1" x14ac:dyDescent="0.3">
      <c r="B101" s="124">
        <v>23</v>
      </c>
      <c r="C101" s="123" t="s">
        <v>240</v>
      </c>
      <c r="D101" s="122">
        <v>5</v>
      </c>
      <c r="E101" s="121">
        <v>18466.29</v>
      </c>
      <c r="F101" s="120">
        <v>92331.450000000012</v>
      </c>
      <c r="G101" s="115"/>
      <c r="H101" s="114">
        <v>5</v>
      </c>
      <c r="I101" s="119">
        <f t="shared" si="1"/>
        <v>18466.29</v>
      </c>
      <c r="J101" s="125">
        <f>F101/$D$7</f>
        <v>0.12225188163386119</v>
      </c>
    </row>
    <row r="102" spans="2:10" ht="15.75" thickBot="1" x14ac:dyDescent="0.3">
      <c r="B102" s="124">
        <v>24</v>
      </c>
      <c r="C102" s="123" t="s">
        <v>239</v>
      </c>
      <c r="D102" s="122">
        <v>5</v>
      </c>
      <c r="E102" s="121">
        <v>972.91</v>
      </c>
      <c r="F102" s="120">
        <v>4864.55</v>
      </c>
      <c r="G102" s="115">
        <v>82</v>
      </c>
      <c r="H102" s="114">
        <v>5</v>
      </c>
      <c r="I102" s="119">
        <f t="shared" si="1"/>
        <v>972.91000000000008</v>
      </c>
    </row>
    <row r="103" spans="2:10" ht="15.75" thickBot="1" x14ac:dyDescent="0.3">
      <c r="B103" s="124">
        <v>25</v>
      </c>
      <c r="C103" s="123" t="s">
        <v>238</v>
      </c>
      <c r="D103" s="122">
        <v>5</v>
      </c>
      <c r="E103" s="121">
        <v>317.14</v>
      </c>
      <c r="F103" s="120">
        <v>1585.6999999999998</v>
      </c>
      <c r="G103" s="115"/>
      <c r="H103" s="114">
        <v>5</v>
      </c>
      <c r="I103" s="119">
        <f t="shared" si="1"/>
        <v>317.14</v>
      </c>
    </row>
    <row r="104" spans="2:10" ht="15.75" thickBot="1" x14ac:dyDescent="0.3">
      <c r="B104" s="124">
        <v>26</v>
      </c>
      <c r="C104" s="123" t="s">
        <v>237</v>
      </c>
      <c r="D104" s="122">
        <v>28</v>
      </c>
      <c r="E104" s="121">
        <v>8000</v>
      </c>
      <c r="F104" s="121">
        <f>D104*E104</f>
        <v>224000</v>
      </c>
      <c r="G104" s="115">
        <v>84</v>
      </c>
      <c r="H104" s="114">
        <v>10</v>
      </c>
      <c r="I104" s="119">
        <f t="shared" si="1"/>
        <v>22400</v>
      </c>
      <c r="J104" s="125">
        <f>F104/$D$7</f>
        <v>0.29658823170203547</v>
      </c>
    </row>
    <row r="105" spans="2:10" ht="15.75" thickBot="1" x14ac:dyDescent="0.3">
      <c r="B105" s="124">
        <v>27</v>
      </c>
      <c r="C105" s="123" t="s">
        <v>236</v>
      </c>
      <c r="D105" s="122">
        <v>5</v>
      </c>
      <c r="E105" s="121">
        <v>979.99</v>
      </c>
      <c r="F105" s="120">
        <v>4899.95</v>
      </c>
      <c r="G105" s="115"/>
      <c r="H105" s="114">
        <v>5</v>
      </c>
      <c r="I105" s="119">
        <f t="shared" si="1"/>
        <v>979.99</v>
      </c>
    </row>
    <row r="106" spans="2:10" ht="15.75" thickBot="1" x14ac:dyDescent="0.3">
      <c r="B106" s="124">
        <v>28</v>
      </c>
      <c r="C106" s="123" t="s">
        <v>235</v>
      </c>
      <c r="D106" s="122">
        <v>5</v>
      </c>
      <c r="E106" s="121">
        <v>603.99</v>
      </c>
      <c r="F106" s="120">
        <v>3019.95</v>
      </c>
      <c r="G106" s="115"/>
      <c r="H106" s="114">
        <v>5</v>
      </c>
      <c r="I106" s="119">
        <f t="shared" si="1"/>
        <v>603.99</v>
      </c>
    </row>
    <row r="107" spans="2:10" ht="15.75" thickBot="1" x14ac:dyDescent="0.3">
      <c r="B107" s="124">
        <v>29</v>
      </c>
      <c r="C107" s="123" t="s">
        <v>234</v>
      </c>
      <c r="D107" s="122">
        <v>5</v>
      </c>
      <c r="E107" s="121">
        <v>1100</v>
      </c>
      <c r="F107" s="120">
        <v>5500</v>
      </c>
      <c r="G107" s="115">
        <v>90</v>
      </c>
      <c r="H107" s="114">
        <v>10</v>
      </c>
      <c r="I107" s="119">
        <f t="shared" si="1"/>
        <v>550</v>
      </c>
    </row>
    <row r="108" spans="2:10" ht="15.75" thickBot="1" x14ac:dyDescent="0.3">
      <c r="B108" s="124">
        <v>30</v>
      </c>
      <c r="C108" s="123" t="s">
        <v>233</v>
      </c>
      <c r="D108" s="122">
        <v>5</v>
      </c>
      <c r="E108" s="121">
        <v>209.9</v>
      </c>
      <c r="F108" s="120">
        <v>1049.5</v>
      </c>
      <c r="G108" s="115">
        <v>90</v>
      </c>
      <c r="H108" s="114">
        <v>10</v>
      </c>
      <c r="I108" s="119">
        <f t="shared" si="1"/>
        <v>104.95</v>
      </c>
    </row>
    <row r="109" spans="2:10" ht="15.75" thickBot="1" x14ac:dyDescent="0.3">
      <c r="B109" s="124">
        <v>31</v>
      </c>
      <c r="C109" s="123" t="s">
        <v>232</v>
      </c>
      <c r="D109" s="122">
        <v>5</v>
      </c>
      <c r="E109" s="121">
        <v>420</v>
      </c>
      <c r="F109" s="120">
        <v>2100</v>
      </c>
      <c r="G109" s="115">
        <v>90</v>
      </c>
      <c r="H109" s="114">
        <v>10</v>
      </c>
      <c r="I109" s="119">
        <f t="shared" si="1"/>
        <v>210</v>
      </c>
    </row>
    <row r="110" spans="2:10" ht="15.75" thickBot="1" x14ac:dyDescent="0.3">
      <c r="B110" s="124">
        <v>32</v>
      </c>
      <c r="C110" s="123" t="s">
        <v>231</v>
      </c>
      <c r="D110" s="122">
        <v>5</v>
      </c>
      <c r="E110" s="121">
        <v>1214.72</v>
      </c>
      <c r="F110" s="120">
        <v>6073.6</v>
      </c>
      <c r="G110" s="115">
        <v>84</v>
      </c>
      <c r="H110" s="114">
        <v>10</v>
      </c>
      <c r="I110" s="119">
        <f t="shared" si="1"/>
        <v>607.36</v>
      </c>
    </row>
    <row r="111" spans="2:10" ht="15.75" thickBot="1" x14ac:dyDescent="0.3">
      <c r="B111" s="124">
        <v>33</v>
      </c>
      <c r="C111" s="123" t="s">
        <v>230</v>
      </c>
      <c r="D111" s="122">
        <v>5</v>
      </c>
      <c r="E111" s="121">
        <v>169.1</v>
      </c>
      <c r="F111" s="120">
        <v>845.5</v>
      </c>
      <c r="G111" s="115">
        <v>90</v>
      </c>
      <c r="H111" s="114">
        <v>10</v>
      </c>
      <c r="I111" s="119">
        <f t="shared" si="1"/>
        <v>84.55</v>
      </c>
    </row>
    <row r="112" spans="2:10" ht="15.75" thickBot="1" x14ac:dyDescent="0.3">
      <c r="B112" s="124">
        <v>34</v>
      </c>
      <c r="C112" s="123" t="s">
        <v>229</v>
      </c>
      <c r="D112" s="122">
        <v>5</v>
      </c>
      <c r="E112" s="121">
        <v>1857.99</v>
      </c>
      <c r="F112" s="120">
        <v>9289.9500000000007</v>
      </c>
      <c r="G112" s="115">
        <v>84</v>
      </c>
      <c r="H112" s="114">
        <v>10</v>
      </c>
      <c r="I112" s="119">
        <f t="shared" si="1"/>
        <v>928.99500000000012</v>
      </c>
    </row>
    <row r="113" spans="2:9" ht="15.75" thickBot="1" x14ac:dyDescent="0.3">
      <c r="B113" s="124">
        <v>35</v>
      </c>
      <c r="C113" s="123" t="s">
        <v>228</v>
      </c>
      <c r="D113" s="122">
        <v>5</v>
      </c>
      <c r="E113" s="121">
        <v>1081.79</v>
      </c>
      <c r="F113" s="120">
        <v>5408.95</v>
      </c>
      <c r="G113" s="115">
        <v>84</v>
      </c>
      <c r="H113" s="114">
        <v>10</v>
      </c>
      <c r="I113" s="119">
        <f t="shared" si="1"/>
        <v>540.89499999999998</v>
      </c>
    </row>
    <row r="114" spans="2:9" ht="15.75" thickBot="1" x14ac:dyDescent="0.3">
      <c r="B114" s="824" t="s">
        <v>227</v>
      </c>
      <c r="C114" s="825"/>
      <c r="D114" s="825"/>
      <c r="E114" s="826"/>
      <c r="F114" s="118">
        <f>SUM(F79:F113)</f>
        <v>701737.89999999979</v>
      </c>
      <c r="G114" s="792" t="s">
        <v>116</v>
      </c>
      <c r="H114" s="793"/>
      <c r="I114" s="117">
        <f>SUM(I79:I113)</f>
        <v>82156.172500000015</v>
      </c>
    </row>
    <row r="115" spans="2:9" ht="15.75" thickBot="1" x14ac:dyDescent="0.3">
      <c r="B115" s="821" t="s">
        <v>226</v>
      </c>
      <c r="C115" s="822"/>
      <c r="D115" s="822"/>
      <c r="E115" s="823"/>
      <c r="F115" s="116">
        <f>F78+F114</f>
        <v>746251.84999999974</v>
      </c>
      <c r="G115" s="115"/>
      <c r="H115" s="114"/>
      <c r="I115" s="113"/>
    </row>
    <row r="116" spans="2:9" x14ac:dyDescent="0.25">
      <c r="B116" s="92" t="s">
        <v>114</v>
      </c>
      <c r="C116" s="112" t="s">
        <v>225</v>
      </c>
    </row>
  </sheetData>
  <mergeCells count="31">
    <mergeCell ref="D2:E2"/>
    <mergeCell ref="D3:E3"/>
    <mergeCell ref="D6:E6"/>
    <mergeCell ref="D7:E7"/>
    <mergeCell ref="B10:F10"/>
    <mergeCell ref="D4:E4"/>
    <mergeCell ref="D5:E5"/>
    <mergeCell ref="D8:E8"/>
    <mergeCell ref="G10:I20"/>
    <mergeCell ref="B11:B12"/>
    <mergeCell ref="C11:C12"/>
    <mergeCell ref="D11:D12"/>
    <mergeCell ref="G21:G23"/>
    <mergeCell ref="H21:H23"/>
    <mergeCell ref="I21:I23"/>
    <mergeCell ref="B23:E23"/>
    <mergeCell ref="G50:H50"/>
    <mergeCell ref="B51:E51"/>
    <mergeCell ref="B54:F54"/>
    <mergeCell ref="G54:I75"/>
    <mergeCell ref="B55:B56"/>
    <mergeCell ref="C55:C56"/>
    <mergeCell ref="D55:D56"/>
    <mergeCell ref="B50:E50"/>
    <mergeCell ref="B115:E115"/>
    <mergeCell ref="G76:G78"/>
    <mergeCell ref="H76:H78"/>
    <mergeCell ref="I76:I78"/>
    <mergeCell ref="B78:E78"/>
    <mergeCell ref="B114:E114"/>
    <mergeCell ref="G114:H114"/>
  </mergeCells>
  <pageMargins left="0.511811024" right="0.511811024" top="0.78740157499999996" bottom="0.78740157499999996" header="0.31496062000000002" footer="0.31496062000000002"/>
  <pageSetup paperSize="9" orientation="portrait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8"/>
  <sheetViews>
    <sheetView showGridLines="0" workbookViewId="0">
      <selection activeCell="I13" sqref="I13"/>
    </sheetView>
  </sheetViews>
  <sheetFormatPr defaultColWidth="12.5703125" defaultRowHeight="15" x14ac:dyDescent="0.25"/>
  <cols>
    <col min="1" max="1" width="26" bestFit="1" customWidth="1"/>
    <col min="3" max="3" width="47.5703125" customWidth="1"/>
  </cols>
  <sheetData>
    <row r="1" spans="2:8" x14ac:dyDescent="0.25">
      <c r="C1" s="164" t="s">
        <v>469</v>
      </c>
      <c r="D1" s="163" t="s">
        <v>2</v>
      </c>
    </row>
    <row r="2" spans="2:8" x14ac:dyDescent="0.25">
      <c r="C2" s="20" t="s">
        <v>468</v>
      </c>
      <c r="D2" s="162">
        <f>G34</f>
        <v>230356</v>
      </c>
    </row>
    <row r="3" spans="2:8" x14ac:dyDescent="0.25">
      <c r="C3" s="21" t="s">
        <v>467</v>
      </c>
      <c r="D3" s="161">
        <f>G68</f>
        <v>369152</v>
      </c>
    </row>
    <row r="4" spans="2:8" x14ac:dyDescent="0.25">
      <c r="C4" s="160" t="s">
        <v>146</v>
      </c>
      <c r="D4" s="159">
        <f>SUM(D2:D3)</f>
        <v>599508</v>
      </c>
    </row>
    <row r="6" spans="2:8" ht="16.5" thickBot="1" x14ac:dyDescent="0.3">
      <c r="B6" s="158" t="s">
        <v>466</v>
      </c>
    </row>
    <row r="7" spans="2:8" x14ac:dyDescent="0.25">
      <c r="B7" s="800" t="s">
        <v>141</v>
      </c>
      <c r="C7" s="802" t="s">
        <v>140</v>
      </c>
      <c r="D7" s="802" t="s">
        <v>216</v>
      </c>
      <c r="E7" s="802" t="s">
        <v>139</v>
      </c>
      <c r="F7" s="157" t="s">
        <v>39</v>
      </c>
      <c r="G7" s="157" t="s">
        <v>39</v>
      </c>
      <c r="H7" t="s">
        <v>465</v>
      </c>
    </row>
    <row r="8" spans="2:8" ht="15.75" thickBot="1" x14ac:dyDescent="0.3">
      <c r="B8" s="801"/>
      <c r="C8" s="803"/>
      <c r="D8" s="803"/>
      <c r="E8" s="803"/>
      <c r="F8" s="69" t="s">
        <v>38</v>
      </c>
      <c r="G8" s="69" t="s">
        <v>138</v>
      </c>
    </row>
    <row r="9" spans="2:8" ht="15.75" thickBot="1" x14ac:dyDescent="0.3">
      <c r="B9" s="71">
        <v>1</v>
      </c>
      <c r="C9" s="70" t="s">
        <v>459</v>
      </c>
      <c r="D9" s="69" t="s">
        <v>455</v>
      </c>
      <c r="E9" s="69">
        <v>1800</v>
      </c>
      <c r="F9" s="153">
        <v>30</v>
      </c>
      <c r="G9" s="67">
        <f t="shared" ref="G9:G33" si="0">E9*F9</f>
        <v>54000</v>
      </c>
    </row>
    <row r="10" spans="2:8" ht="15.75" thickBot="1" x14ac:dyDescent="0.3">
      <c r="B10" s="71">
        <v>2</v>
      </c>
      <c r="C10" s="70" t="s">
        <v>458</v>
      </c>
      <c r="D10" s="69" t="s">
        <v>457</v>
      </c>
      <c r="E10" s="69">
        <v>1800</v>
      </c>
      <c r="F10" s="153">
        <v>12</v>
      </c>
      <c r="G10" s="67">
        <f t="shared" si="0"/>
        <v>21600</v>
      </c>
    </row>
    <row r="11" spans="2:8" ht="15.75" thickBot="1" x14ac:dyDescent="0.3">
      <c r="B11" s="71">
        <v>3</v>
      </c>
      <c r="C11" s="70" t="s">
        <v>456</v>
      </c>
      <c r="D11" s="69" t="s">
        <v>455</v>
      </c>
      <c r="E11" s="69">
        <v>100</v>
      </c>
      <c r="F11" s="153">
        <v>10</v>
      </c>
      <c r="G11" s="67">
        <f t="shared" si="0"/>
        <v>1000</v>
      </c>
    </row>
    <row r="12" spans="2:8" ht="15.75" thickBot="1" x14ac:dyDescent="0.3">
      <c r="B12" s="71">
        <v>4</v>
      </c>
      <c r="C12" s="70" t="s">
        <v>454</v>
      </c>
      <c r="D12" s="69" t="s">
        <v>464</v>
      </c>
      <c r="E12" s="69">
        <v>200</v>
      </c>
      <c r="F12" s="153">
        <v>21</v>
      </c>
      <c r="G12" s="67">
        <f t="shared" si="0"/>
        <v>4200</v>
      </c>
    </row>
    <row r="13" spans="2:8" ht="15.75" thickBot="1" x14ac:dyDescent="0.3">
      <c r="B13" s="71">
        <v>5</v>
      </c>
      <c r="C13" s="70" t="s">
        <v>463</v>
      </c>
      <c r="D13" s="69" t="s">
        <v>155</v>
      </c>
      <c r="E13" s="69">
        <v>90</v>
      </c>
      <c r="F13" s="153">
        <v>15</v>
      </c>
      <c r="G13" s="67">
        <f t="shared" si="0"/>
        <v>1350</v>
      </c>
    </row>
    <row r="14" spans="2:8" ht="15.75" thickBot="1" x14ac:dyDescent="0.3">
      <c r="B14" s="71">
        <v>6</v>
      </c>
      <c r="C14" s="70" t="s">
        <v>452</v>
      </c>
      <c r="D14" s="69" t="s">
        <v>155</v>
      </c>
      <c r="E14" s="69">
        <v>90</v>
      </c>
      <c r="F14" s="153">
        <v>18</v>
      </c>
      <c r="G14" s="67">
        <f t="shared" si="0"/>
        <v>1620</v>
      </c>
    </row>
    <row r="15" spans="2:8" ht="15.75" thickBot="1" x14ac:dyDescent="0.3">
      <c r="B15" s="71">
        <v>7</v>
      </c>
      <c r="C15" s="70" t="s">
        <v>451</v>
      </c>
      <c r="D15" s="69" t="s">
        <v>155</v>
      </c>
      <c r="E15" s="69">
        <v>90</v>
      </c>
      <c r="F15" s="153">
        <v>22</v>
      </c>
      <c r="G15" s="67">
        <f t="shared" si="0"/>
        <v>1980</v>
      </c>
    </row>
    <row r="16" spans="2:8" ht="15.75" thickBot="1" x14ac:dyDescent="0.3">
      <c r="B16" s="71">
        <v>8</v>
      </c>
      <c r="C16" s="70" t="s">
        <v>450</v>
      </c>
      <c r="D16" s="69" t="s">
        <v>155</v>
      </c>
      <c r="E16" s="69">
        <v>90</v>
      </c>
      <c r="F16" s="153">
        <v>35</v>
      </c>
      <c r="G16" s="67">
        <f t="shared" si="0"/>
        <v>3150</v>
      </c>
    </row>
    <row r="17" spans="2:7" ht="15.75" thickBot="1" x14ac:dyDescent="0.3">
      <c r="B17" s="71">
        <v>9</v>
      </c>
      <c r="C17" s="70" t="s">
        <v>449</v>
      </c>
      <c r="D17" s="69" t="s">
        <v>155</v>
      </c>
      <c r="E17" s="69">
        <v>90</v>
      </c>
      <c r="F17" s="153">
        <v>25</v>
      </c>
      <c r="G17" s="67">
        <f t="shared" si="0"/>
        <v>2250</v>
      </c>
    </row>
    <row r="18" spans="2:7" ht="15.75" thickBot="1" x14ac:dyDescent="0.3">
      <c r="B18" s="71">
        <v>10</v>
      </c>
      <c r="C18" s="70" t="s">
        <v>448</v>
      </c>
      <c r="D18" s="69" t="s">
        <v>155</v>
      </c>
      <c r="E18" s="69">
        <v>90</v>
      </c>
      <c r="F18" s="153">
        <v>20</v>
      </c>
      <c r="G18" s="67">
        <f t="shared" si="0"/>
        <v>1800</v>
      </c>
    </row>
    <row r="19" spans="2:7" ht="15.75" thickBot="1" x14ac:dyDescent="0.3">
      <c r="B19" s="71">
        <v>11</v>
      </c>
      <c r="C19" s="70" t="s">
        <v>447</v>
      </c>
      <c r="D19" s="69" t="s">
        <v>155</v>
      </c>
      <c r="E19" s="69">
        <v>90</v>
      </c>
      <c r="F19" s="153">
        <v>40</v>
      </c>
      <c r="G19" s="67">
        <f t="shared" si="0"/>
        <v>3600</v>
      </c>
    </row>
    <row r="20" spans="2:7" ht="15.75" thickBot="1" x14ac:dyDescent="0.3">
      <c r="B20" s="71">
        <v>12</v>
      </c>
      <c r="C20" s="70" t="s">
        <v>446</v>
      </c>
      <c r="D20" s="69" t="s">
        <v>155</v>
      </c>
      <c r="E20" s="69">
        <v>270</v>
      </c>
      <c r="F20" s="153">
        <v>0.3</v>
      </c>
      <c r="G20" s="67">
        <f t="shared" si="0"/>
        <v>81</v>
      </c>
    </row>
    <row r="21" spans="2:7" ht="15.75" thickBot="1" x14ac:dyDescent="0.3">
      <c r="B21" s="71">
        <v>13</v>
      </c>
      <c r="C21" s="70" t="s">
        <v>445</v>
      </c>
      <c r="D21" s="69" t="s">
        <v>155</v>
      </c>
      <c r="E21" s="69">
        <v>270</v>
      </c>
      <c r="F21" s="153">
        <v>0.45</v>
      </c>
      <c r="G21" s="67">
        <f t="shared" si="0"/>
        <v>121.5</v>
      </c>
    </row>
    <row r="22" spans="2:7" ht="15.75" thickBot="1" x14ac:dyDescent="0.3">
      <c r="B22" s="71">
        <v>14</v>
      </c>
      <c r="C22" s="70" t="s">
        <v>444</v>
      </c>
      <c r="D22" s="69" t="s">
        <v>155</v>
      </c>
      <c r="E22" s="69">
        <v>270</v>
      </c>
      <c r="F22" s="153">
        <v>0.45</v>
      </c>
      <c r="G22" s="67">
        <f t="shared" si="0"/>
        <v>121.5</v>
      </c>
    </row>
    <row r="23" spans="2:7" ht="15.75" thickBot="1" x14ac:dyDescent="0.3">
      <c r="B23" s="71">
        <v>15</v>
      </c>
      <c r="C23" s="70" t="s">
        <v>443</v>
      </c>
      <c r="D23" s="69" t="s">
        <v>155</v>
      </c>
      <c r="E23" s="69">
        <v>90</v>
      </c>
      <c r="F23" s="153">
        <v>50</v>
      </c>
      <c r="G23" s="67">
        <f t="shared" si="0"/>
        <v>4500</v>
      </c>
    </row>
    <row r="24" spans="2:7" ht="15.75" thickBot="1" x14ac:dyDescent="0.3">
      <c r="B24" s="71">
        <v>16</v>
      </c>
      <c r="C24" s="70" t="s">
        <v>442</v>
      </c>
      <c r="D24" s="69" t="s">
        <v>155</v>
      </c>
      <c r="E24" s="69">
        <v>18</v>
      </c>
      <c r="F24" s="153">
        <v>85</v>
      </c>
      <c r="G24" s="67">
        <f t="shared" si="0"/>
        <v>1530</v>
      </c>
    </row>
    <row r="25" spans="2:7" ht="15.75" thickBot="1" x14ac:dyDescent="0.3">
      <c r="B25" s="71">
        <v>17</v>
      </c>
      <c r="C25" s="70" t="s">
        <v>441</v>
      </c>
      <c r="D25" s="69" t="s">
        <v>155</v>
      </c>
      <c r="E25" s="69">
        <v>24</v>
      </c>
      <c r="F25" s="153">
        <v>58</v>
      </c>
      <c r="G25" s="67">
        <f t="shared" si="0"/>
        <v>1392</v>
      </c>
    </row>
    <row r="26" spans="2:7" ht="15.75" thickBot="1" x14ac:dyDescent="0.3">
      <c r="B26" s="71">
        <v>18</v>
      </c>
      <c r="C26" s="70" t="s">
        <v>440</v>
      </c>
      <c r="D26" s="69" t="s">
        <v>155</v>
      </c>
      <c r="E26" s="69">
        <v>24</v>
      </c>
      <c r="F26" s="153">
        <v>984</v>
      </c>
      <c r="G26" s="67">
        <f t="shared" si="0"/>
        <v>23616</v>
      </c>
    </row>
    <row r="27" spans="2:7" ht="15.75" thickBot="1" x14ac:dyDescent="0.3">
      <c r="B27" s="71">
        <v>19</v>
      </c>
      <c r="C27" s="70" t="s">
        <v>439</v>
      </c>
      <c r="D27" s="69" t="s">
        <v>155</v>
      </c>
      <c r="E27" s="69">
        <v>24</v>
      </c>
      <c r="F27" s="153">
        <v>116</v>
      </c>
      <c r="G27" s="67">
        <f t="shared" si="0"/>
        <v>2784</v>
      </c>
    </row>
    <row r="28" spans="2:7" ht="15.75" thickBot="1" x14ac:dyDescent="0.3">
      <c r="B28" s="71">
        <v>20</v>
      </c>
      <c r="C28" s="70" t="s">
        <v>438</v>
      </c>
      <c r="D28" s="69" t="s">
        <v>155</v>
      </c>
      <c r="E28" s="69">
        <v>10</v>
      </c>
      <c r="F28" s="153">
        <v>54</v>
      </c>
      <c r="G28" s="67">
        <f t="shared" si="0"/>
        <v>540</v>
      </c>
    </row>
    <row r="29" spans="2:7" ht="15.75" thickBot="1" x14ac:dyDescent="0.3">
      <c r="B29" s="71">
        <v>21</v>
      </c>
      <c r="C29" s="70" t="s">
        <v>437</v>
      </c>
      <c r="D29" s="69" t="s">
        <v>155</v>
      </c>
      <c r="E29" s="69">
        <v>270</v>
      </c>
      <c r="F29" s="153">
        <v>21</v>
      </c>
      <c r="G29" s="67">
        <f t="shared" si="0"/>
        <v>5670</v>
      </c>
    </row>
    <row r="30" spans="2:7" ht="15.75" thickBot="1" x14ac:dyDescent="0.3">
      <c r="B30" s="71">
        <v>22</v>
      </c>
      <c r="C30" s="70" t="s">
        <v>436</v>
      </c>
      <c r="D30" s="69" t="s">
        <v>435</v>
      </c>
      <c r="E30" s="69">
        <v>900</v>
      </c>
      <c r="F30" s="153">
        <v>35</v>
      </c>
      <c r="G30" s="67">
        <f t="shared" si="0"/>
        <v>31500</v>
      </c>
    </row>
    <row r="31" spans="2:7" ht="15.75" thickBot="1" x14ac:dyDescent="0.3">
      <c r="B31" s="71">
        <v>23</v>
      </c>
      <c r="C31" s="70" t="s">
        <v>434</v>
      </c>
      <c r="D31" s="69" t="s">
        <v>155</v>
      </c>
      <c r="E31" s="69">
        <v>90</v>
      </c>
      <c r="F31" s="153">
        <v>40</v>
      </c>
      <c r="G31" s="67">
        <f t="shared" si="0"/>
        <v>3600</v>
      </c>
    </row>
    <row r="32" spans="2:7" ht="15.75" thickBot="1" x14ac:dyDescent="0.3">
      <c r="B32" s="71">
        <v>24</v>
      </c>
      <c r="C32" s="70" t="s">
        <v>433</v>
      </c>
      <c r="D32" s="69" t="s">
        <v>432</v>
      </c>
      <c r="E32" s="69">
        <v>27</v>
      </c>
      <c r="F32" s="67">
        <v>2000</v>
      </c>
      <c r="G32" s="67">
        <f t="shared" si="0"/>
        <v>54000</v>
      </c>
    </row>
    <row r="33" spans="2:8" ht="15.75" thickBot="1" x14ac:dyDescent="0.3">
      <c r="B33" s="71">
        <v>25</v>
      </c>
      <c r="C33" s="70" t="s">
        <v>462</v>
      </c>
      <c r="D33" s="69" t="s">
        <v>461</v>
      </c>
      <c r="E33" s="69">
        <v>50</v>
      </c>
      <c r="F33" s="153">
        <v>87</v>
      </c>
      <c r="G33" s="67">
        <f t="shared" si="0"/>
        <v>4350</v>
      </c>
    </row>
    <row r="34" spans="2:8" ht="15.75" thickBot="1" x14ac:dyDescent="0.3">
      <c r="B34" s="854" t="s">
        <v>146</v>
      </c>
      <c r="C34" s="855"/>
      <c r="D34" s="855"/>
      <c r="E34" s="856"/>
      <c r="F34" s="153">
        <f>SUM(F9:F33)</f>
        <v>3779.2</v>
      </c>
      <c r="G34" s="67">
        <f>SUM(G9:G33)</f>
        <v>230356</v>
      </c>
    </row>
    <row r="36" spans="2:8" ht="16.5" thickBot="1" x14ac:dyDescent="0.3">
      <c r="B36" s="158" t="s">
        <v>460</v>
      </c>
    </row>
    <row r="37" spans="2:8" x14ac:dyDescent="0.25">
      <c r="B37" s="800" t="s">
        <v>141</v>
      </c>
      <c r="C37" s="802" t="s">
        <v>140</v>
      </c>
      <c r="D37" s="802" t="s">
        <v>216</v>
      </c>
      <c r="E37" s="802" t="s">
        <v>139</v>
      </c>
      <c r="F37" s="157" t="s">
        <v>39</v>
      </c>
      <c r="G37" s="157" t="s">
        <v>39</v>
      </c>
    </row>
    <row r="38" spans="2:8" ht="15.75" thickBot="1" x14ac:dyDescent="0.3">
      <c r="B38" s="801"/>
      <c r="C38" s="803"/>
      <c r="D38" s="803"/>
      <c r="E38" s="803"/>
      <c r="F38" s="69" t="s">
        <v>38</v>
      </c>
      <c r="G38" s="69" t="s">
        <v>138</v>
      </c>
    </row>
    <row r="39" spans="2:8" ht="15.75" thickBot="1" x14ac:dyDescent="0.3">
      <c r="B39" s="71">
        <v>1</v>
      </c>
      <c r="C39" s="70" t="s">
        <v>459</v>
      </c>
      <c r="D39" s="69" t="s">
        <v>455</v>
      </c>
      <c r="E39" s="69">
        <v>1800</v>
      </c>
      <c r="F39" s="153">
        <v>30</v>
      </c>
      <c r="G39" s="156">
        <f t="shared" ref="G39:G67" si="1">E39*F39</f>
        <v>54000</v>
      </c>
      <c r="H39">
        <v>19.82</v>
      </c>
    </row>
    <row r="40" spans="2:8" ht="15.75" thickBot="1" x14ac:dyDescent="0.3">
      <c r="B40" s="71">
        <v>2</v>
      </c>
      <c r="C40" s="70" t="s">
        <v>458</v>
      </c>
      <c r="D40" s="69" t="s">
        <v>457</v>
      </c>
      <c r="E40" s="69">
        <v>1800</v>
      </c>
      <c r="F40" s="153">
        <v>12</v>
      </c>
      <c r="G40" s="155">
        <f t="shared" si="1"/>
        <v>21600</v>
      </c>
      <c r="H40">
        <v>13.5</v>
      </c>
    </row>
    <row r="41" spans="2:8" ht="15.75" thickBot="1" x14ac:dyDescent="0.3">
      <c r="B41" s="71">
        <v>3</v>
      </c>
      <c r="C41" s="70" t="s">
        <v>456</v>
      </c>
      <c r="D41" s="69" t="s">
        <v>455</v>
      </c>
      <c r="E41" s="69">
        <v>100</v>
      </c>
      <c r="F41" s="153">
        <v>10</v>
      </c>
      <c r="G41" s="155">
        <f t="shared" si="1"/>
        <v>1000</v>
      </c>
    </row>
    <row r="42" spans="2:8" ht="15.75" thickBot="1" x14ac:dyDescent="0.3">
      <c r="B42" s="71">
        <v>4</v>
      </c>
      <c r="C42" s="70" t="s">
        <v>454</v>
      </c>
      <c r="D42" s="69" t="s">
        <v>155</v>
      </c>
      <c r="E42" s="69">
        <v>200</v>
      </c>
      <c r="F42" s="153">
        <v>21</v>
      </c>
      <c r="G42" s="155">
        <f t="shared" si="1"/>
        <v>4200</v>
      </c>
    </row>
    <row r="43" spans="2:8" ht="15.75" thickBot="1" x14ac:dyDescent="0.3">
      <c r="B43" s="71">
        <v>5</v>
      </c>
      <c r="C43" s="70" t="s">
        <v>453</v>
      </c>
      <c r="D43" s="69" t="s">
        <v>155</v>
      </c>
      <c r="E43" s="69">
        <v>90</v>
      </c>
      <c r="F43" s="153">
        <v>15</v>
      </c>
      <c r="G43" s="155">
        <f t="shared" si="1"/>
        <v>1350</v>
      </c>
    </row>
    <row r="44" spans="2:8" ht="15.75" thickBot="1" x14ac:dyDescent="0.3">
      <c r="B44" s="71">
        <v>6</v>
      </c>
      <c r="C44" s="70" t="s">
        <v>452</v>
      </c>
      <c r="D44" s="69" t="s">
        <v>155</v>
      </c>
      <c r="E44" s="69">
        <v>90</v>
      </c>
      <c r="F44" s="153">
        <v>18</v>
      </c>
      <c r="G44" s="155">
        <f t="shared" si="1"/>
        <v>1620</v>
      </c>
    </row>
    <row r="45" spans="2:8" ht="15.75" thickBot="1" x14ac:dyDescent="0.3">
      <c r="B45" s="71">
        <v>7</v>
      </c>
      <c r="C45" s="70" t="s">
        <v>451</v>
      </c>
      <c r="D45" s="69" t="s">
        <v>155</v>
      </c>
      <c r="E45" s="69">
        <v>90</v>
      </c>
      <c r="F45" s="153">
        <v>22</v>
      </c>
      <c r="G45" s="155">
        <f t="shared" si="1"/>
        <v>1980</v>
      </c>
    </row>
    <row r="46" spans="2:8" ht="15.75" thickBot="1" x14ac:dyDescent="0.3">
      <c r="B46" s="71">
        <v>8</v>
      </c>
      <c r="C46" s="70" t="s">
        <v>450</v>
      </c>
      <c r="D46" s="69" t="s">
        <v>155</v>
      </c>
      <c r="E46" s="69">
        <v>90</v>
      </c>
      <c r="F46" s="153">
        <v>35</v>
      </c>
      <c r="G46" s="155">
        <f t="shared" si="1"/>
        <v>3150</v>
      </c>
    </row>
    <row r="47" spans="2:8" ht="15.75" thickBot="1" x14ac:dyDescent="0.3">
      <c r="B47" s="71">
        <v>9</v>
      </c>
      <c r="C47" s="70" t="s">
        <v>449</v>
      </c>
      <c r="D47" s="69" t="s">
        <v>155</v>
      </c>
      <c r="E47" s="69">
        <v>90</v>
      </c>
      <c r="F47" s="153">
        <v>25</v>
      </c>
      <c r="G47" s="155">
        <f t="shared" si="1"/>
        <v>2250</v>
      </c>
    </row>
    <row r="48" spans="2:8" ht="15.75" thickBot="1" x14ac:dyDescent="0.3">
      <c r="B48" s="71">
        <v>10</v>
      </c>
      <c r="C48" s="70" t="s">
        <v>448</v>
      </c>
      <c r="D48" s="69" t="s">
        <v>155</v>
      </c>
      <c r="E48" s="69">
        <v>90</v>
      </c>
      <c r="F48" s="153">
        <v>20</v>
      </c>
      <c r="G48" s="155">
        <f t="shared" si="1"/>
        <v>1800</v>
      </c>
    </row>
    <row r="49" spans="2:8" ht="15.75" thickBot="1" x14ac:dyDescent="0.3">
      <c r="B49" s="71">
        <v>11</v>
      </c>
      <c r="C49" s="70" t="s">
        <v>447</v>
      </c>
      <c r="D49" s="69" t="s">
        <v>155</v>
      </c>
      <c r="E49" s="69">
        <v>90</v>
      </c>
      <c r="F49" s="153">
        <v>40</v>
      </c>
      <c r="G49" s="155">
        <f t="shared" si="1"/>
        <v>3600</v>
      </c>
    </row>
    <row r="50" spans="2:8" ht="15.75" thickBot="1" x14ac:dyDescent="0.3">
      <c r="B50" s="71">
        <v>12</v>
      </c>
      <c r="C50" s="70" t="s">
        <v>446</v>
      </c>
      <c r="D50" s="69" t="s">
        <v>155</v>
      </c>
      <c r="E50" s="69">
        <v>270</v>
      </c>
      <c r="F50" s="153">
        <v>0.3</v>
      </c>
      <c r="G50" s="155">
        <f t="shared" si="1"/>
        <v>81</v>
      </c>
    </row>
    <row r="51" spans="2:8" ht="15.75" thickBot="1" x14ac:dyDescent="0.3">
      <c r="B51" s="71">
        <v>13</v>
      </c>
      <c r="C51" s="70" t="s">
        <v>445</v>
      </c>
      <c r="D51" s="69" t="s">
        <v>155</v>
      </c>
      <c r="E51" s="69">
        <v>270</v>
      </c>
      <c r="F51" s="153">
        <v>0.45</v>
      </c>
      <c r="G51" s="155">
        <f t="shared" si="1"/>
        <v>121.5</v>
      </c>
    </row>
    <row r="52" spans="2:8" ht="15.75" thickBot="1" x14ac:dyDescent="0.3">
      <c r="B52" s="71">
        <v>14</v>
      </c>
      <c r="C52" s="70" t="s">
        <v>444</v>
      </c>
      <c r="D52" s="69" t="s">
        <v>155</v>
      </c>
      <c r="E52" s="69">
        <v>270</v>
      </c>
      <c r="F52" s="153">
        <v>0.45</v>
      </c>
      <c r="G52" s="155">
        <f t="shared" si="1"/>
        <v>121.5</v>
      </c>
    </row>
    <row r="53" spans="2:8" ht="15.75" thickBot="1" x14ac:dyDescent="0.3">
      <c r="B53" s="71">
        <v>15</v>
      </c>
      <c r="C53" s="70" t="s">
        <v>443</v>
      </c>
      <c r="D53" s="69" t="s">
        <v>155</v>
      </c>
      <c r="E53" s="69">
        <v>90</v>
      </c>
      <c r="F53" s="153">
        <v>50</v>
      </c>
      <c r="G53" s="155">
        <f t="shared" si="1"/>
        <v>4500</v>
      </c>
    </row>
    <row r="54" spans="2:8" ht="15.75" thickBot="1" x14ac:dyDescent="0.3">
      <c r="B54" s="71">
        <v>16</v>
      </c>
      <c r="C54" s="70" t="s">
        <v>442</v>
      </c>
      <c r="D54" s="69" t="s">
        <v>155</v>
      </c>
      <c r="E54" s="69">
        <v>18</v>
      </c>
      <c r="F54" s="153">
        <v>85</v>
      </c>
      <c r="G54" s="155">
        <f t="shared" si="1"/>
        <v>1530</v>
      </c>
    </row>
    <row r="55" spans="2:8" ht="15.75" thickBot="1" x14ac:dyDescent="0.3">
      <c r="B55" s="71">
        <v>17</v>
      </c>
      <c r="C55" s="70" t="s">
        <v>441</v>
      </c>
      <c r="D55" s="69" t="s">
        <v>155</v>
      </c>
      <c r="E55" s="69">
        <v>24</v>
      </c>
      <c r="F55" s="153">
        <v>58</v>
      </c>
      <c r="G55" s="155">
        <f t="shared" si="1"/>
        <v>1392</v>
      </c>
    </row>
    <row r="56" spans="2:8" ht="15.75" thickBot="1" x14ac:dyDescent="0.3">
      <c r="B56" s="71">
        <v>18</v>
      </c>
      <c r="C56" s="70" t="s">
        <v>440</v>
      </c>
      <c r="D56" s="69" t="s">
        <v>155</v>
      </c>
      <c r="E56" s="69">
        <v>24</v>
      </c>
      <c r="F56" s="153">
        <v>984</v>
      </c>
      <c r="G56" s="155">
        <f t="shared" si="1"/>
        <v>23616</v>
      </c>
    </row>
    <row r="57" spans="2:8" ht="15.75" thickBot="1" x14ac:dyDescent="0.3">
      <c r="B57" s="71">
        <v>19</v>
      </c>
      <c r="C57" s="70" t="s">
        <v>439</v>
      </c>
      <c r="D57" s="69" t="s">
        <v>155</v>
      </c>
      <c r="E57" s="69">
        <v>24</v>
      </c>
      <c r="F57" s="153">
        <v>116</v>
      </c>
      <c r="G57" s="155">
        <f t="shared" si="1"/>
        <v>2784</v>
      </c>
    </row>
    <row r="58" spans="2:8" ht="15.75" thickBot="1" x14ac:dyDescent="0.3">
      <c r="B58" s="71">
        <v>20</v>
      </c>
      <c r="C58" s="70" t="s">
        <v>438</v>
      </c>
      <c r="D58" s="69" t="s">
        <v>155</v>
      </c>
      <c r="E58" s="69">
        <v>9</v>
      </c>
      <c r="F58" s="153">
        <v>54</v>
      </c>
      <c r="G58" s="155">
        <f t="shared" si="1"/>
        <v>486</v>
      </c>
    </row>
    <row r="59" spans="2:8" ht="15.75" thickBot="1" x14ac:dyDescent="0.3">
      <c r="B59" s="71">
        <v>21</v>
      </c>
      <c r="C59" s="70" t="s">
        <v>437</v>
      </c>
      <c r="D59" s="69" t="s">
        <v>155</v>
      </c>
      <c r="E59" s="69">
        <v>270</v>
      </c>
      <c r="F59" s="153">
        <v>21</v>
      </c>
      <c r="G59" s="155">
        <f t="shared" si="1"/>
        <v>5670</v>
      </c>
    </row>
    <row r="60" spans="2:8" ht="15.75" thickBot="1" x14ac:dyDescent="0.3">
      <c r="B60" s="71">
        <v>22</v>
      </c>
      <c r="C60" s="70" t="s">
        <v>436</v>
      </c>
      <c r="D60" s="69" t="s">
        <v>435</v>
      </c>
      <c r="E60" s="69">
        <v>900</v>
      </c>
      <c r="F60" s="153">
        <v>35</v>
      </c>
      <c r="G60" s="155">
        <f t="shared" si="1"/>
        <v>31500</v>
      </c>
      <c r="H60">
        <v>127.74</v>
      </c>
    </row>
    <row r="61" spans="2:8" ht="15.75" thickBot="1" x14ac:dyDescent="0.3">
      <c r="B61" s="71">
        <v>23</v>
      </c>
      <c r="C61" s="70" t="s">
        <v>434</v>
      </c>
      <c r="D61" s="69" t="s">
        <v>155</v>
      </c>
      <c r="E61" s="69">
        <v>90</v>
      </c>
      <c r="F61" s="153">
        <v>40</v>
      </c>
      <c r="G61" s="155">
        <f t="shared" si="1"/>
        <v>3600</v>
      </c>
    </row>
    <row r="62" spans="2:8" ht="15.75" thickBot="1" x14ac:dyDescent="0.3">
      <c r="B62" s="71">
        <v>24</v>
      </c>
      <c r="C62" s="70" t="s">
        <v>433</v>
      </c>
      <c r="D62" s="69" t="s">
        <v>432</v>
      </c>
      <c r="E62" s="69">
        <v>27</v>
      </c>
      <c r="F62" s="67">
        <v>2000</v>
      </c>
      <c r="G62" s="155">
        <f t="shared" si="1"/>
        <v>54000</v>
      </c>
    </row>
    <row r="63" spans="2:8" ht="15.75" thickBot="1" x14ac:dyDescent="0.3">
      <c r="B63" s="71">
        <v>25</v>
      </c>
      <c r="C63" s="70" t="s">
        <v>431</v>
      </c>
      <c r="D63" s="69" t="s">
        <v>429</v>
      </c>
      <c r="E63" s="69">
        <v>1200</v>
      </c>
      <c r="F63" s="153">
        <v>35</v>
      </c>
      <c r="G63" s="155">
        <f t="shared" si="1"/>
        <v>42000</v>
      </c>
      <c r="H63">
        <v>50</v>
      </c>
    </row>
    <row r="64" spans="2:8" ht="15.75" thickBot="1" x14ac:dyDescent="0.3">
      <c r="B64" s="71">
        <v>26</v>
      </c>
      <c r="C64" s="70" t="s">
        <v>430</v>
      </c>
      <c r="D64" s="69" t="s">
        <v>429</v>
      </c>
      <c r="E64" s="69">
        <v>600</v>
      </c>
      <c r="F64" s="153">
        <v>56</v>
      </c>
      <c r="G64" s="155">
        <f t="shared" si="1"/>
        <v>33600</v>
      </c>
      <c r="H64">
        <v>60.52</v>
      </c>
    </row>
    <row r="65" spans="2:8" ht="15.75" thickBot="1" x14ac:dyDescent="0.3">
      <c r="B65" s="71">
        <v>27</v>
      </c>
      <c r="C65" s="70" t="s">
        <v>428</v>
      </c>
      <c r="D65" s="69" t="s">
        <v>427</v>
      </c>
      <c r="E65" s="69">
        <v>500</v>
      </c>
      <c r="F65" s="153">
        <v>23</v>
      </c>
      <c r="G65" s="155">
        <f t="shared" si="1"/>
        <v>11500</v>
      </c>
    </row>
    <row r="66" spans="2:8" ht="15.75" thickBot="1" x14ac:dyDescent="0.3">
      <c r="B66" s="71">
        <v>28</v>
      </c>
      <c r="C66" s="70" t="s">
        <v>426</v>
      </c>
      <c r="D66" s="69" t="s">
        <v>425</v>
      </c>
      <c r="E66" s="69">
        <v>300</v>
      </c>
      <c r="F66" s="153">
        <v>130</v>
      </c>
      <c r="G66" s="155">
        <f t="shared" si="1"/>
        <v>39000</v>
      </c>
      <c r="H66">
        <f>40.43*3.6</f>
        <v>145.548</v>
      </c>
    </row>
    <row r="67" spans="2:8" ht="15.75" thickBot="1" x14ac:dyDescent="0.3">
      <c r="B67" s="71">
        <v>29</v>
      </c>
      <c r="C67" s="70" t="s">
        <v>424</v>
      </c>
      <c r="D67" s="69" t="s">
        <v>423</v>
      </c>
      <c r="E67" s="69">
        <v>3000</v>
      </c>
      <c r="F67" s="153">
        <v>5.7</v>
      </c>
      <c r="G67" s="155">
        <f t="shared" si="1"/>
        <v>17100</v>
      </c>
    </row>
    <row r="68" spans="2:8" ht="15.75" thickBot="1" x14ac:dyDescent="0.3">
      <c r="B68" s="854" t="s">
        <v>146</v>
      </c>
      <c r="C68" s="855"/>
      <c r="D68" s="855"/>
      <c r="E68" s="856"/>
      <c r="F68" s="155">
        <f>SUM(F39:F67)</f>
        <v>3941.8999999999996</v>
      </c>
      <c r="G68" s="62">
        <f>SUM(G39:G67)</f>
        <v>369152</v>
      </c>
    </row>
  </sheetData>
  <mergeCells count="10">
    <mergeCell ref="B68:E68"/>
    <mergeCell ref="B7:B8"/>
    <mergeCell ref="C7:C8"/>
    <mergeCell ref="D7:D8"/>
    <mergeCell ref="E7:E8"/>
    <mergeCell ref="B34:E34"/>
    <mergeCell ref="B37:B38"/>
    <mergeCell ref="C37:C38"/>
    <mergeCell ref="D37:D38"/>
    <mergeCell ref="E37:E38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showGridLines="0" workbookViewId="0">
      <selection activeCell="A32" sqref="A32"/>
    </sheetView>
  </sheetViews>
  <sheetFormatPr defaultRowHeight="15" x14ac:dyDescent="0.25"/>
  <cols>
    <col min="1" max="1" width="93.42578125" customWidth="1"/>
    <col min="2" max="2" width="12.140625" customWidth="1"/>
    <col min="3" max="3" width="13.85546875" bestFit="1" customWidth="1"/>
  </cols>
  <sheetData>
    <row r="1" spans="1:5" ht="15" customHeight="1" x14ac:dyDescent="0.25">
      <c r="A1" s="172" t="s">
        <v>476</v>
      </c>
      <c r="B1" s="172"/>
      <c r="C1" s="172"/>
      <c r="D1" s="172"/>
      <c r="E1" s="171"/>
    </row>
    <row r="2" spans="1:5" x14ac:dyDescent="0.25">
      <c r="E2" s="146"/>
    </row>
    <row r="3" spans="1:5" x14ac:dyDescent="0.25">
      <c r="A3" s="164" t="s">
        <v>475</v>
      </c>
      <c r="B3" s="432">
        <v>47949.98</v>
      </c>
      <c r="C3" s="164" t="s">
        <v>473</v>
      </c>
    </row>
    <row r="4" spans="1:5" x14ac:dyDescent="0.25">
      <c r="A4" s="164" t="s">
        <v>474</v>
      </c>
      <c r="B4" s="432">
        <f>B3*E9</f>
        <v>52180.019155415939</v>
      </c>
      <c r="C4" s="164" t="s">
        <v>473</v>
      </c>
    </row>
    <row r="5" spans="1:5" x14ac:dyDescent="0.25">
      <c r="A5" s="7" t="s">
        <v>146</v>
      </c>
      <c r="B5" s="432">
        <f>B4/2</f>
        <v>26090.00957770797</v>
      </c>
      <c r="C5" s="164" t="s">
        <v>472</v>
      </c>
    </row>
    <row r="6" spans="1:5" x14ac:dyDescent="0.25">
      <c r="D6" s="24" t="s">
        <v>471</v>
      </c>
    </row>
    <row r="7" spans="1:5" x14ac:dyDescent="0.25">
      <c r="D7" s="170">
        <v>41456</v>
      </c>
      <c r="E7" s="169">
        <v>189.39500000000001</v>
      </c>
    </row>
    <row r="8" spans="1:5" x14ac:dyDescent="0.25">
      <c r="D8" s="168">
        <v>42401</v>
      </c>
      <c r="E8" s="167">
        <v>206.10300000000001</v>
      </c>
    </row>
    <row r="9" spans="1:5" x14ac:dyDescent="0.25">
      <c r="D9" s="166" t="s">
        <v>470</v>
      </c>
      <c r="E9" s="165">
        <f>E8/E7</f>
        <v>1.0882177459806226</v>
      </c>
    </row>
  </sheetData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4"/>
  <sheetViews>
    <sheetView showGridLines="0" workbookViewId="0">
      <selection activeCell="K24" sqref="K24"/>
    </sheetView>
  </sheetViews>
  <sheetFormatPr defaultRowHeight="15" x14ac:dyDescent="0.25"/>
  <cols>
    <col min="1" max="1" width="51" bestFit="1" customWidth="1"/>
    <col min="2" max="2" width="13.28515625" bestFit="1" customWidth="1"/>
    <col min="5" max="6" width="12" bestFit="1" customWidth="1"/>
    <col min="7" max="7" width="11.5703125" customWidth="1"/>
    <col min="8" max="8" width="13.28515625" customWidth="1"/>
  </cols>
  <sheetData>
    <row r="1" spans="1:8" x14ac:dyDescent="0.25">
      <c r="A1" s="857" t="s">
        <v>490</v>
      </c>
      <c r="B1" s="857"/>
      <c r="C1" s="857"/>
      <c r="D1" s="857"/>
    </row>
    <row r="2" spans="1:8" ht="15.75" thickBot="1" x14ac:dyDescent="0.3"/>
    <row r="3" spans="1:8" x14ac:dyDescent="0.25">
      <c r="A3" s="47" t="s">
        <v>489</v>
      </c>
      <c r="B3" s="46"/>
      <c r="C3" s="46"/>
      <c r="D3" s="46"/>
      <c r="E3" s="46"/>
      <c r="F3" s="46"/>
      <c r="G3" s="46"/>
      <c r="H3" s="190"/>
    </row>
    <row r="4" spans="1:8" x14ac:dyDescent="0.25">
      <c r="A4" s="44" t="s">
        <v>488</v>
      </c>
      <c r="B4" s="187">
        <v>500000</v>
      </c>
      <c r="C4" s="18" t="s">
        <v>487</v>
      </c>
      <c r="D4" s="18"/>
      <c r="E4" s="18"/>
      <c r="F4" s="189" t="s">
        <v>10</v>
      </c>
      <c r="G4" s="189" t="s">
        <v>11</v>
      </c>
      <c r="H4" s="188" t="s">
        <v>24</v>
      </c>
    </row>
    <row r="5" spans="1:8" x14ac:dyDescent="0.25">
      <c r="A5" s="44" t="s">
        <v>486</v>
      </c>
      <c r="B5" s="187">
        <v>9</v>
      </c>
      <c r="C5" s="18" t="s">
        <v>485</v>
      </c>
      <c r="D5" s="18"/>
      <c r="E5" s="18"/>
      <c r="F5" s="26" t="s">
        <v>2</v>
      </c>
      <c r="G5" s="26" t="s">
        <v>2</v>
      </c>
      <c r="H5" s="176" t="s">
        <v>2</v>
      </c>
    </row>
    <row r="6" spans="1:8" x14ac:dyDescent="0.25">
      <c r="A6" s="186" t="s">
        <v>484</v>
      </c>
      <c r="B6" s="185">
        <f>B4*B5</f>
        <v>4500000</v>
      </c>
      <c r="C6" s="18"/>
      <c r="D6" s="18"/>
      <c r="E6" s="18"/>
      <c r="F6" s="184">
        <f>B8*(6/9)</f>
        <v>300000</v>
      </c>
      <c r="G6" s="184">
        <f>B8*(3/9)</f>
        <v>150000</v>
      </c>
      <c r="H6" s="183">
        <f>F6+G6</f>
        <v>450000</v>
      </c>
    </row>
    <row r="7" spans="1:8" x14ac:dyDescent="0.25">
      <c r="A7" s="44" t="s">
        <v>483</v>
      </c>
      <c r="B7" s="182">
        <v>0.1</v>
      </c>
      <c r="C7" s="18" t="s">
        <v>482</v>
      </c>
      <c r="D7" s="18"/>
      <c r="E7" s="18"/>
      <c r="F7" s="18"/>
      <c r="G7" s="18"/>
      <c r="H7" s="48"/>
    </row>
    <row r="8" spans="1:8" ht="15.75" thickBot="1" x14ac:dyDescent="0.3">
      <c r="A8" s="42" t="s">
        <v>481</v>
      </c>
      <c r="B8" s="175">
        <f>B7*B6</f>
        <v>450000</v>
      </c>
      <c r="C8" s="41" t="s">
        <v>2</v>
      </c>
      <c r="D8" s="41"/>
      <c r="E8" s="41"/>
      <c r="F8" s="41"/>
      <c r="G8" s="41"/>
      <c r="H8" s="181"/>
    </row>
    <row r="10" spans="1:8" ht="15.75" thickBot="1" x14ac:dyDescent="0.3"/>
    <row r="11" spans="1:8" x14ac:dyDescent="0.25">
      <c r="A11" s="180" t="s">
        <v>480</v>
      </c>
      <c r="B11" s="46"/>
      <c r="C11" s="46"/>
      <c r="D11" s="46"/>
      <c r="E11" s="46"/>
      <c r="F11" s="179" t="s">
        <v>10</v>
      </c>
      <c r="G11" s="179" t="s">
        <v>11</v>
      </c>
      <c r="H11" s="178" t="s">
        <v>24</v>
      </c>
    </row>
    <row r="12" spans="1:8" x14ac:dyDescent="0.25">
      <c r="A12" s="44" t="s">
        <v>479</v>
      </c>
      <c r="B12" s="177">
        <v>20</v>
      </c>
      <c r="C12" s="18" t="s">
        <v>478</v>
      </c>
      <c r="D12" s="18"/>
      <c r="E12" s="18"/>
      <c r="F12" s="26" t="s">
        <v>2</v>
      </c>
      <c r="G12" s="26" t="s">
        <v>2</v>
      </c>
      <c r="H12" s="176" t="s">
        <v>2</v>
      </c>
    </row>
    <row r="13" spans="1:8" ht="15.75" thickBot="1" x14ac:dyDescent="0.3">
      <c r="A13" s="42" t="s">
        <v>477</v>
      </c>
      <c r="B13" s="175">
        <f>B6/B12</f>
        <v>225000</v>
      </c>
      <c r="C13" s="41" t="s">
        <v>2</v>
      </c>
      <c r="D13" s="41"/>
      <c r="E13" s="41"/>
      <c r="F13" s="174">
        <f>B13*(6/9)</f>
        <v>150000</v>
      </c>
      <c r="G13" s="174">
        <f>B13*(3/9)</f>
        <v>75000</v>
      </c>
      <c r="H13" s="173">
        <f>F13+G13</f>
        <v>225000</v>
      </c>
    </row>
    <row r="14" spans="1:8" x14ac:dyDescent="0.25">
      <c r="B14" s="3"/>
    </row>
  </sheetData>
  <mergeCells count="1">
    <mergeCell ref="A1:D1"/>
  </mergeCells>
  <pageMargins left="0.511811024" right="0.511811024" top="0.78740157499999996" bottom="0.78740157499999996" header="0.31496062000000002" footer="0.31496062000000002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38"/>
  <sheetViews>
    <sheetView showGridLines="0" topLeftCell="E1" workbookViewId="0">
      <selection activeCell="Q32" sqref="Q32"/>
    </sheetView>
  </sheetViews>
  <sheetFormatPr defaultColWidth="12.5703125" defaultRowHeight="15" x14ac:dyDescent="0.25"/>
  <cols>
    <col min="1" max="1" width="9.28515625" customWidth="1"/>
    <col min="2" max="2" width="41.5703125" bestFit="1" customWidth="1"/>
    <col min="3" max="3" width="23.28515625" bestFit="1" customWidth="1"/>
    <col min="6" max="6" width="14" customWidth="1"/>
    <col min="7" max="7" width="14.5703125" bestFit="1" customWidth="1"/>
    <col min="8" max="8" width="14.140625" customWidth="1"/>
  </cols>
  <sheetData>
    <row r="2" spans="1:8" x14ac:dyDescent="0.25">
      <c r="A2" s="18"/>
      <c r="B2" s="18"/>
      <c r="C2" s="145"/>
      <c r="D2" s="18"/>
      <c r="E2" s="18"/>
      <c r="F2" s="189" t="s">
        <v>10</v>
      </c>
      <c r="G2" s="189" t="s">
        <v>11</v>
      </c>
      <c r="H2" s="214" t="s">
        <v>24</v>
      </c>
    </row>
    <row r="3" spans="1:8" x14ac:dyDescent="0.25">
      <c r="F3" s="16" t="s">
        <v>2</v>
      </c>
      <c r="G3" s="16" t="s">
        <v>2</v>
      </c>
      <c r="H3" s="16" t="s">
        <v>2</v>
      </c>
    </row>
    <row r="4" spans="1:8" x14ac:dyDescent="0.25">
      <c r="B4" s="857" t="s">
        <v>505</v>
      </c>
      <c r="C4" s="857"/>
      <c r="D4" s="857"/>
      <c r="E4" s="857"/>
      <c r="F4" s="213"/>
      <c r="G4" s="213"/>
      <c r="H4" s="213">
        <f>C15</f>
        <v>859552.22661190142</v>
      </c>
    </row>
    <row r="7" spans="1:8" x14ac:dyDescent="0.25">
      <c r="B7" t="s">
        <v>504</v>
      </c>
      <c r="C7" s="145">
        <f>2720000*G11</f>
        <v>4810662.6674575554</v>
      </c>
    </row>
    <row r="8" spans="1:8" x14ac:dyDescent="0.25">
      <c r="B8" t="s">
        <v>503</v>
      </c>
      <c r="C8" s="145">
        <f>780000*G11</f>
        <v>1379528.2649326813</v>
      </c>
      <c r="F8" t="s">
        <v>502</v>
      </c>
    </row>
    <row r="9" spans="1:8" x14ac:dyDescent="0.25">
      <c r="B9" t="s">
        <v>501</v>
      </c>
      <c r="C9">
        <v>7.5</v>
      </c>
      <c r="D9" t="s">
        <v>478</v>
      </c>
      <c r="F9" s="170">
        <v>39295</v>
      </c>
      <c r="G9" s="169">
        <v>357.404</v>
      </c>
    </row>
    <row r="10" spans="1:8" x14ac:dyDescent="0.25">
      <c r="B10" t="s">
        <v>500</v>
      </c>
      <c r="C10">
        <v>6</v>
      </c>
      <c r="D10" t="s">
        <v>478</v>
      </c>
      <c r="F10" s="168">
        <v>42401</v>
      </c>
      <c r="G10" s="167">
        <v>632.11400000000003</v>
      </c>
    </row>
    <row r="11" spans="1:8" x14ac:dyDescent="0.25">
      <c r="B11" t="s">
        <v>499</v>
      </c>
      <c r="C11" s="5">
        <v>0.15</v>
      </c>
      <c r="D11" t="s">
        <v>497</v>
      </c>
      <c r="F11" s="166" t="s">
        <v>470</v>
      </c>
      <c r="G11" s="212">
        <f>G10/G9</f>
        <v>1.7686259806829248</v>
      </c>
    </row>
    <row r="12" spans="1:8" x14ac:dyDescent="0.25">
      <c r="B12" t="s">
        <v>498</v>
      </c>
      <c r="C12" s="5">
        <v>0.1</v>
      </c>
      <c r="D12" t="s">
        <v>497</v>
      </c>
    </row>
    <row r="13" spans="1:8" x14ac:dyDescent="0.25">
      <c r="B13" t="s">
        <v>496</v>
      </c>
      <c r="C13" s="145">
        <f>C7*C11</f>
        <v>721599.40011863329</v>
      </c>
      <c r="D13" t="s">
        <v>2</v>
      </c>
    </row>
    <row r="14" spans="1:8" x14ac:dyDescent="0.25">
      <c r="B14" t="s">
        <v>495</v>
      </c>
      <c r="C14" s="145">
        <f>C8*C12</f>
        <v>137952.82649326813</v>
      </c>
      <c r="D14" t="s">
        <v>2</v>
      </c>
    </row>
    <row r="15" spans="1:8" x14ac:dyDescent="0.25">
      <c r="B15" s="18" t="s">
        <v>494</v>
      </c>
      <c r="C15" s="145">
        <f>C13+C14</f>
        <v>859552.22661190142</v>
      </c>
      <c r="D15" t="s">
        <v>2</v>
      </c>
    </row>
    <row r="16" spans="1:8" x14ac:dyDescent="0.25">
      <c r="B16" s="49" t="s">
        <v>493</v>
      </c>
      <c r="C16" s="145">
        <f>C7/C9</f>
        <v>641421.68899434071</v>
      </c>
      <c r="D16" t="s">
        <v>2</v>
      </c>
      <c r="E16" t="s">
        <v>491</v>
      </c>
    </row>
    <row r="17" spans="1:11" x14ac:dyDescent="0.25">
      <c r="B17" s="49" t="s">
        <v>492</v>
      </c>
      <c r="C17" s="145">
        <f>C8/C10</f>
        <v>229921.37748878021</v>
      </c>
      <c r="D17" t="s">
        <v>2</v>
      </c>
      <c r="E17" t="s">
        <v>491</v>
      </c>
    </row>
    <row r="18" spans="1:11" x14ac:dyDescent="0.25">
      <c r="C18" s="4"/>
    </row>
    <row r="19" spans="1:11" x14ac:dyDescent="0.25">
      <c r="A19" s="19"/>
      <c r="B19" s="19"/>
      <c r="C19" s="211"/>
      <c r="D19" s="19"/>
      <c r="E19" s="19"/>
      <c r="F19" s="19"/>
      <c r="G19" s="19"/>
      <c r="H19" s="19"/>
    </row>
    <row r="24" spans="1:11" x14ac:dyDescent="0.25">
      <c r="F24" s="4">
        <f>1730895.29-C15</f>
        <v>871343.06338809861</v>
      </c>
    </row>
    <row r="29" spans="1:11" x14ac:dyDescent="0.25">
      <c r="A29" s="18"/>
      <c r="B29" s="49"/>
      <c r="C29" s="49"/>
      <c r="D29" s="49"/>
      <c r="E29" s="49"/>
      <c r="F29" s="49"/>
      <c r="G29" s="49"/>
      <c r="H29" s="49"/>
      <c r="I29" s="18"/>
      <c r="J29" s="18"/>
      <c r="K29" s="18"/>
    </row>
    <row r="30" spans="1:11" x14ac:dyDescent="0.25">
      <c r="A30" s="18"/>
      <c r="B30" s="49"/>
      <c r="C30" s="49"/>
      <c r="D30" s="49"/>
      <c r="E30" s="49"/>
      <c r="F30" s="49"/>
      <c r="G30" s="49"/>
      <c r="H30" s="49"/>
      <c r="I30" s="18"/>
      <c r="J30" s="18"/>
      <c r="K30" s="18"/>
    </row>
    <row r="31" spans="1:11" x14ac:dyDescent="0.25">
      <c r="A31" s="18"/>
      <c r="B31" s="49"/>
      <c r="C31" s="49"/>
      <c r="D31" s="49"/>
      <c r="E31" s="49"/>
      <c r="F31" s="49"/>
      <c r="G31" s="49"/>
      <c r="H31" s="49"/>
      <c r="I31" s="18"/>
      <c r="J31" s="18"/>
      <c r="K31" s="18"/>
    </row>
    <row r="32" spans="1:11" x14ac:dyDescent="0.25">
      <c r="A32" s="18"/>
      <c r="B32" s="49"/>
      <c r="C32" s="49"/>
      <c r="D32" s="49"/>
      <c r="E32" s="49"/>
      <c r="F32" s="49"/>
      <c r="G32" s="49"/>
      <c r="H32" s="49"/>
      <c r="I32" s="18"/>
      <c r="J32" s="18"/>
      <c r="K32" s="18"/>
    </row>
    <row r="33" spans="1:11" x14ac:dyDescent="0.25">
      <c r="A33" s="18"/>
      <c r="B33" s="49"/>
      <c r="C33" s="49"/>
      <c r="D33" s="49"/>
      <c r="E33" s="49"/>
      <c r="F33" s="49"/>
      <c r="G33" s="49"/>
      <c r="H33" s="49"/>
      <c r="I33" s="18"/>
      <c r="J33" s="18"/>
      <c r="K33" s="18"/>
    </row>
    <row r="34" spans="1:11" x14ac:dyDescent="0.25">
      <c r="A34" s="18"/>
      <c r="B34" s="49"/>
      <c r="C34" s="49"/>
      <c r="D34" s="49"/>
      <c r="E34" s="49"/>
      <c r="F34" s="49"/>
      <c r="G34" s="49"/>
      <c r="H34" s="49"/>
      <c r="I34" s="18"/>
      <c r="J34" s="18"/>
      <c r="K34" s="18"/>
    </row>
    <row r="35" spans="1:11" x14ac:dyDescent="0.25">
      <c r="A35" s="18"/>
      <c r="B35" s="49"/>
      <c r="C35" s="49"/>
      <c r="D35" s="49"/>
      <c r="E35" s="49"/>
      <c r="F35" s="49"/>
      <c r="G35" s="49"/>
      <c r="H35" s="49"/>
      <c r="I35" s="18"/>
      <c r="J35" s="18"/>
      <c r="K35" s="18"/>
    </row>
    <row r="36" spans="1:11" x14ac:dyDescent="0.25">
      <c r="A36" s="18"/>
      <c r="B36" s="49"/>
      <c r="C36" s="49"/>
      <c r="D36" s="49"/>
      <c r="E36" s="49"/>
      <c r="F36" s="49"/>
      <c r="G36" s="49"/>
      <c r="H36" s="49"/>
      <c r="I36" s="18"/>
      <c r="J36" s="18"/>
      <c r="K36" s="18"/>
    </row>
    <row r="37" spans="1:11" x14ac:dyDescent="0.25">
      <c r="A37" s="18"/>
      <c r="B37" s="49"/>
      <c r="C37" s="49"/>
      <c r="D37" s="49"/>
      <c r="E37" s="49"/>
      <c r="F37" s="208"/>
      <c r="G37" s="208"/>
      <c r="H37" s="208"/>
      <c r="I37" s="18"/>
      <c r="J37" s="18"/>
      <c r="K37" s="18"/>
    </row>
    <row r="38" spans="1:11" x14ac:dyDescent="0.25">
      <c r="A38" s="18"/>
      <c r="B38" s="49"/>
      <c r="C38" s="49"/>
      <c r="D38" s="49"/>
      <c r="E38" s="49"/>
      <c r="F38" s="205"/>
      <c r="G38" s="205"/>
      <c r="H38" s="205"/>
      <c r="I38" s="18"/>
      <c r="J38" s="18"/>
      <c r="K38" s="18"/>
    </row>
    <row r="39" spans="1:11" x14ac:dyDescent="0.25">
      <c r="A39" s="18"/>
      <c r="B39" s="859"/>
      <c r="C39" s="859"/>
      <c r="D39" s="859"/>
      <c r="E39" s="859"/>
      <c r="F39" s="144"/>
      <c r="G39" s="144"/>
      <c r="H39" s="144"/>
      <c r="I39" s="18"/>
      <c r="J39" s="18"/>
      <c r="K39" s="18"/>
    </row>
    <row r="40" spans="1:11" x14ac:dyDescent="0.25">
      <c r="A40" s="18"/>
      <c r="B40" s="49"/>
      <c r="C40" s="49"/>
      <c r="D40" s="49"/>
      <c r="E40" s="49"/>
      <c r="F40" s="49"/>
      <c r="G40" s="49"/>
      <c r="H40" s="49"/>
      <c r="I40" s="18"/>
      <c r="J40" s="18"/>
      <c r="K40" s="18"/>
    </row>
    <row r="41" spans="1:11" x14ac:dyDescent="0.25">
      <c r="A41" s="18"/>
      <c r="B41" s="49"/>
      <c r="C41" s="49"/>
      <c r="D41" s="49"/>
      <c r="E41" s="49"/>
      <c r="F41" s="49"/>
      <c r="G41" s="49"/>
      <c r="H41" s="49"/>
      <c r="I41" s="18"/>
      <c r="J41" s="18"/>
      <c r="K41" s="18"/>
    </row>
    <row r="42" spans="1:11" x14ac:dyDescent="0.25">
      <c r="A42" s="18"/>
      <c r="B42" s="192"/>
      <c r="C42" s="49"/>
      <c r="D42" s="49"/>
      <c r="E42" s="49"/>
      <c r="F42" s="49"/>
      <c r="G42" s="49"/>
      <c r="H42" s="49"/>
      <c r="I42" s="18"/>
      <c r="J42" s="18"/>
      <c r="K42" s="18"/>
    </row>
    <row r="43" spans="1:11" x14ac:dyDescent="0.25">
      <c r="A43" s="18"/>
      <c r="B43" s="49"/>
      <c r="C43" s="49"/>
      <c r="D43" s="49"/>
      <c r="E43" s="49"/>
      <c r="F43" s="49"/>
      <c r="G43" s="49"/>
      <c r="H43" s="49"/>
      <c r="I43" s="18"/>
      <c r="J43" s="18"/>
      <c r="K43" s="18"/>
    </row>
    <row r="44" spans="1:11" x14ac:dyDescent="0.25">
      <c r="A44" s="18"/>
      <c r="B44" s="49"/>
      <c r="C44" s="49"/>
      <c r="D44" s="49"/>
      <c r="E44" s="49"/>
      <c r="F44" s="49"/>
      <c r="G44" s="49"/>
      <c r="H44" s="49"/>
      <c r="I44" s="18"/>
      <c r="J44" s="18"/>
      <c r="K44" s="18"/>
    </row>
    <row r="45" spans="1:11" x14ac:dyDescent="0.25">
      <c r="A45" s="18"/>
      <c r="B45" s="49"/>
      <c r="C45" s="185"/>
      <c r="D45" s="49"/>
      <c r="E45" s="49"/>
      <c r="F45" s="49"/>
      <c r="G45" s="49"/>
      <c r="H45" s="49"/>
      <c r="I45" s="18"/>
      <c r="J45" s="18"/>
      <c r="K45" s="18"/>
    </row>
    <row r="46" spans="1:11" x14ac:dyDescent="0.25">
      <c r="A46" s="18"/>
      <c r="B46" s="49"/>
      <c r="C46" s="185"/>
      <c r="D46" s="49"/>
      <c r="E46" s="49"/>
      <c r="F46" s="49"/>
      <c r="G46" s="49"/>
      <c r="H46" s="49"/>
      <c r="I46" s="18"/>
      <c r="J46" s="18"/>
      <c r="K46" s="18"/>
    </row>
    <row r="47" spans="1:11" x14ac:dyDescent="0.25">
      <c r="A47" s="18"/>
      <c r="B47" s="49"/>
      <c r="C47" s="49"/>
      <c r="D47" s="49"/>
      <c r="E47" s="49"/>
      <c r="F47" s="49"/>
      <c r="G47" s="49"/>
      <c r="H47" s="49"/>
      <c r="I47" s="18"/>
      <c r="J47" s="18"/>
      <c r="K47" s="18"/>
    </row>
    <row r="48" spans="1:11" x14ac:dyDescent="0.25">
      <c r="A48" s="18"/>
      <c r="B48" s="49"/>
      <c r="C48" s="185"/>
      <c r="D48" s="49"/>
      <c r="E48" s="49"/>
      <c r="F48" s="49"/>
      <c r="G48" s="49"/>
      <c r="H48" s="49"/>
      <c r="I48" s="18"/>
      <c r="J48" s="18"/>
      <c r="K48" s="18"/>
    </row>
    <row r="49" spans="1:11" x14ac:dyDescent="0.25">
      <c r="A49" s="18"/>
      <c r="B49" s="49"/>
      <c r="C49" s="185"/>
      <c r="D49" s="49"/>
      <c r="E49" s="49"/>
      <c r="F49" s="49"/>
      <c r="G49" s="49"/>
      <c r="H49" s="49"/>
      <c r="I49" s="18"/>
      <c r="J49" s="18"/>
      <c r="K49" s="18"/>
    </row>
    <row r="50" spans="1:11" x14ac:dyDescent="0.25">
      <c r="A50" s="18"/>
      <c r="B50" s="49"/>
      <c r="C50" s="49"/>
      <c r="D50" s="49"/>
      <c r="E50" s="49"/>
      <c r="F50" s="49"/>
      <c r="G50" s="49"/>
      <c r="H50" s="49"/>
      <c r="I50" s="18"/>
      <c r="J50" s="18"/>
      <c r="K50" s="18"/>
    </row>
    <row r="51" spans="1:11" x14ac:dyDescent="0.25">
      <c r="A51" s="18"/>
      <c r="B51" s="49"/>
      <c r="C51" s="185"/>
      <c r="D51" s="49"/>
      <c r="E51" s="49"/>
      <c r="F51" s="49"/>
      <c r="G51" s="49"/>
      <c r="H51" s="49"/>
      <c r="I51" s="18"/>
      <c r="J51" s="18"/>
      <c r="K51" s="18"/>
    </row>
    <row r="52" spans="1:11" x14ac:dyDescent="0.25">
      <c r="A52" s="18"/>
      <c r="B52" s="209"/>
      <c r="C52" s="185"/>
      <c r="D52" s="49"/>
      <c r="E52" s="49"/>
      <c r="F52" s="49"/>
      <c r="G52" s="49"/>
      <c r="H52" s="49"/>
      <c r="I52" s="18"/>
      <c r="J52" s="18"/>
      <c r="K52" s="18"/>
    </row>
    <row r="53" spans="1:11" x14ac:dyDescent="0.25">
      <c r="A53" s="18"/>
      <c r="B53" s="49"/>
      <c r="C53" s="210"/>
      <c r="D53" s="49"/>
      <c r="E53" s="49"/>
      <c r="F53" s="49"/>
      <c r="G53" s="49"/>
      <c r="H53" s="49"/>
      <c r="I53" s="18"/>
      <c r="J53" s="18"/>
      <c r="K53" s="18"/>
    </row>
    <row r="54" spans="1:11" x14ac:dyDescent="0.25">
      <c r="A54" s="18"/>
      <c r="B54" s="49"/>
      <c r="C54" s="210"/>
      <c r="D54" s="49"/>
      <c r="E54" s="49"/>
      <c r="F54" s="49"/>
      <c r="G54" s="49"/>
      <c r="H54" s="49"/>
      <c r="I54" s="18"/>
      <c r="J54" s="18"/>
      <c r="K54" s="18"/>
    </row>
    <row r="55" spans="1:11" x14ac:dyDescent="0.25">
      <c r="A55" s="18"/>
      <c r="B55" s="49"/>
      <c r="C55" s="185"/>
      <c r="D55" s="49"/>
      <c r="E55" s="49"/>
      <c r="F55" s="49"/>
      <c r="G55" s="49"/>
      <c r="H55" s="49"/>
      <c r="I55" s="18"/>
      <c r="J55" s="18"/>
      <c r="K55" s="18"/>
    </row>
    <row r="56" spans="1:11" x14ac:dyDescent="0.25">
      <c r="A56" s="18"/>
      <c r="B56" s="49"/>
      <c r="C56" s="185"/>
      <c r="D56" s="49"/>
      <c r="E56" s="49"/>
      <c r="F56" s="49"/>
      <c r="G56" s="49"/>
      <c r="H56" s="49"/>
      <c r="I56" s="18"/>
      <c r="J56" s="18"/>
      <c r="K56" s="18"/>
    </row>
    <row r="57" spans="1:11" x14ac:dyDescent="0.25">
      <c r="A57" s="18"/>
      <c r="B57" s="49"/>
      <c r="C57" s="185"/>
      <c r="D57" s="49"/>
      <c r="E57" s="49"/>
      <c r="F57" s="49"/>
      <c r="G57" s="49"/>
      <c r="H57" s="49"/>
      <c r="I57" s="18"/>
      <c r="J57" s="18"/>
      <c r="K57" s="18"/>
    </row>
    <row r="58" spans="1:11" x14ac:dyDescent="0.25">
      <c r="A58" s="18"/>
      <c r="B58" s="49"/>
      <c r="C58" s="185"/>
      <c r="D58" s="49"/>
      <c r="E58" s="49"/>
      <c r="F58" s="208"/>
      <c r="G58" s="208"/>
      <c r="H58" s="208"/>
      <c r="I58" s="18"/>
      <c r="J58" s="18"/>
      <c r="K58" s="18"/>
    </row>
    <row r="59" spans="1:11" x14ac:dyDescent="0.25">
      <c r="A59" s="18"/>
      <c r="B59" s="49"/>
      <c r="C59" s="185"/>
      <c r="D59" s="49"/>
      <c r="E59" s="49"/>
      <c r="F59" s="49"/>
      <c r="G59" s="49"/>
      <c r="H59" s="49"/>
      <c r="I59" s="18"/>
      <c r="J59" s="18"/>
      <c r="K59" s="18"/>
    </row>
    <row r="60" spans="1:11" x14ac:dyDescent="0.25">
      <c r="A60" s="18"/>
      <c r="B60" s="49"/>
      <c r="C60" s="49"/>
      <c r="D60" s="49"/>
      <c r="E60" s="49"/>
      <c r="F60" s="49"/>
      <c r="G60" s="49"/>
      <c r="H60" s="49"/>
      <c r="I60" s="18"/>
      <c r="J60" s="18"/>
      <c r="K60" s="18"/>
    </row>
    <row r="61" spans="1:11" x14ac:dyDescent="0.25">
      <c r="A61" s="18"/>
      <c r="B61" s="209"/>
      <c r="C61" s="185"/>
      <c r="D61" s="49"/>
      <c r="E61" s="49"/>
      <c r="F61" s="49"/>
      <c r="G61" s="49"/>
      <c r="H61" s="49"/>
      <c r="I61" s="18"/>
      <c r="J61" s="18"/>
      <c r="K61" s="18"/>
    </row>
    <row r="62" spans="1:11" x14ac:dyDescent="0.25">
      <c r="A62" s="18"/>
      <c r="B62" s="49"/>
      <c r="C62" s="185"/>
      <c r="D62" s="49"/>
      <c r="E62" s="49"/>
      <c r="F62" s="49"/>
      <c r="G62" s="49"/>
      <c r="H62" s="49"/>
      <c r="I62" s="18"/>
      <c r="J62" s="18"/>
      <c r="K62" s="18"/>
    </row>
    <row r="63" spans="1:11" x14ac:dyDescent="0.25">
      <c r="A63" s="18"/>
      <c r="B63" s="49"/>
      <c r="C63" s="185"/>
      <c r="D63" s="49"/>
      <c r="E63" s="49"/>
      <c r="F63" s="49"/>
      <c r="G63" s="49"/>
      <c r="H63" s="49"/>
      <c r="I63" s="18"/>
      <c r="J63" s="18"/>
      <c r="K63" s="18"/>
    </row>
    <row r="64" spans="1:11" x14ac:dyDescent="0.25">
      <c r="A64" s="18"/>
      <c r="B64" s="49"/>
      <c r="C64" s="185"/>
      <c r="D64" s="49"/>
      <c r="E64" s="49"/>
      <c r="F64" s="49"/>
      <c r="G64" s="49"/>
      <c r="H64" s="49"/>
      <c r="I64" s="18"/>
      <c r="J64" s="18"/>
      <c r="K64" s="18"/>
    </row>
    <row r="65" spans="1:11" x14ac:dyDescent="0.25">
      <c r="A65" s="18"/>
      <c r="B65" s="49"/>
      <c r="C65" s="185"/>
      <c r="D65" s="49"/>
      <c r="E65" s="49"/>
      <c r="F65" s="49"/>
      <c r="G65" s="49"/>
      <c r="H65" s="49"/>
      <c r="I65" s="18"/>
      <c r="J65" s="18"/>
      <c r="K65" s="18"/>
    </row>
    <row r="66" spans="1:11" x14ac:dyDescent="0.25">
      <c r="A66" s="18"/>
      <c r="B66" s="49"/>
      <c r="C66" s="185"/>
      <c r="D66" s="49"/>
      <c r="E66" s="49"/>
      <c r="F66" s="49"/>
      <c r="G66" s="49"/>
      <c r="H66" s="49"/>
      <c r="I66" s="18"/>
      <c r="J66" s="18"/>
      <c r="K66" s="18"/>
    </row>
    <row r="67" spans="1:11" x14ac:dyDescent="0.25">
      <c r="A67" s="18"/>
      <c r="B67" s="49"/>
      <c r="C67" s="185"/>
      <c r="D67" s="49"/>
      <c r="E67" s="49"/>
      <c r="F67" s="49"/>
      <c r="G67" s="49"/>
      <c r="H67" s="49"/>
      <c r="I67" s="18"/>
      <c r="J67" s="18"/>
      <c r="K67" s="18"/>
    </row>
    <row r="68" spans="1:11" x14ac:dyDescent="0.25">
      <c r="A68" s="18"/>
      <c r="B68" s="49"/>
      <c r="C68" s="185"/>
      <c r="D68" s="49"/>
      <c r="E68" s="49"/>
      <c r="F68" s="49"/>
      <c r="G68" s="49"/>
      <c r="H68" s="49"/>
      <c r="I68" s="18"/>
      <c r="J68" s="18"/>
      <c r="K68" s="18"/>
    </row>
    <row r="69" spans="1:11" x14ac:dyDescent="0.25">
      <c r="A69" s="18"/>
      <c r="B69" s="49"/>
      <c r="C69" s="185"/>
      <c r="D69" s="49"/>
      <c r="E69" s="49"/>
      <c r="F69" s="49"/>
      <c r="G69" s="49"/>
      <c r="H69" s="49"/>
      <c r="I69" s="18"/>
      <c r="J69" s="18"/>
      <c r="K69" s="18"/>
    </row>
    <row r="70" spans="1:11" x14ac:dyDescent="0.25">
      <c r="A70" s="18"/>
      <c r="B70" s="49"/>
      <c r="C70" s="185"/>
      <c r="D70" s="49"/>
      <c r="E70" s="49"/>
      <c r="F70" s="49"/>
      <c r="G70" s="49"/>
      <c r="H70" s="49"/>
      <c r="I70" s="18"/>
      <c r="J70" s="18"/>
      <c r="K70" s="18"/>
    </row>
    <row r="71" spans="1:11" x14ac:dyDescent="0.25">
      <c r="A71" s="18"/>
      <c r="B71" s="49"/>
      <c r="C71" s="185"/>
      <c r="D71" s="49"/>
      <c r="E71" s="49"/>
      <c r="F71" s="49"/>
      <c r="G71" s="49"/>
      <c r="H71" s="49"/>
      <c r="I71" s="18"/>
      <c r="J71" s="18"/>
      <c r="K71" s="18"/>
    </row>
    <row r="72" spans="1:11" x14ac:dyDescent="0.25">
      <c r="A72" s="18"/>
      <c r="B72" s="209"/>
      <c r="C72" s="185"/>
      <c r="D72" s="49"/>
      <c r="E72" s="49"/>
      <c r="F72" s="49"/>
      <c r="G72" s="49"/>
      <c r="H72" s="49"/>
      <c r="I72" s="18"/>
      <c r="J72" s="18"/>
      <c r="K72" s="18"/>
    </row>
    <row r="73" spans="1:11" x14ac:dyDescent="0.25">
      <c r="A73" s="18"/>
      <c r="B73" s="49"/>
      <c r="C73" s="185"/>
      <c r="D73" s="49"/>
      <c r="E73" s="49"/>
      <c r="F73" s="49"/>
      <c r="G73" s="49"/>
      <c r="H73" s="49"/>
      <c r="I73" s="18"/>
      <c r="J73" s="18"/>
      <c r="K73" s="18"/>
    </row>
    <row r="74" spans="1:11" x14ac:dyDescent="0.25">
      <c r="A74" s="18"/>
      <c r="B74" s="49"/>
      <c r="C74" s="185"/>
      <c r="D74" s="49"/>
      <c r="E74" s="49"/>
      <c r="F74" s="49"/>
      <c r="G74" s="49"/>
      <c r="H74" s="49"/>
      <c r="I74" s="18"/>
      <c r="J74" s="18"/>
      <c r="K74" s="18"/>
    </row>
    <row r="75" spans="1:11" x14ac:dyDescent="0.25">
      <c r="A75" s="18"/>
      <c r="B75" s="49"/>
      <c r="C75" s="185"/>
      <c r="D75" s="49"/>
      <c r="E75" s="49"/>
      <c r="F75" s="49"/>
      <c r="G75" s="49"/>
      <c r="H75" s="49"/>
      <c r="I75" s="18"/>
      <c r="J75" s="18"/>
      <c r="K75" s="18"/>
    </row>
    <row r="76" spans="1:11" x14ac:dyDescent="0.25">
      <c r="A76" s="18"/>
      <c r="B76" s="49"/>
      <c r="C76" s="185"/>
      <c r="D76" s="49"/>
      <c r="E76" s="49"/>
      <c r="F76" s="49"/>
      <c r="G76" s="49"/>
      <c r="H76" s="49"/>
      <c r="I76" s="18"/>
      <c r="J76" s="18"/>
      <c r="K76" s="18"/>
    </row>
    <row r="77" spans="1:11" x14ac:dyDescent="0.25">
      <c r="A77" s="18"/>
      <c r="B77" s="49"/>
      <c r="C77" s="185"/>
      <c r="D77" s="49"/>
      <c r="E77" s="49"/>
      <c r="F77" s="49"/>
      <c r="G77" s="49"/>
      <c r="H77" s="49"/>
      <c r="I77" s="18"/>
      <c r="J77" s="18"/>
      <c r="K77" s="18"/>
    </row>
    <row r="78" spans="1:11" x14ac:dyDescent="0.25">
      <c r="A78" s="18"/>
      <c r="B78" s="49"/>
      <c r="C78" s="185"/>
      <c r="D78" s="49"/>
      <c r="E78" s="49"/>
      <c r="F78" s="49"/>
      <c r="G78" s="49"/>
      <c r="H78" s="49"/>
      <c r="I78" s="18"/>
      <c r="J78" s="18"/>
      <c r="K78" s="18"/>
    </row>
    <row r="79" spans="1:11" x14ac:dyDescent="0.25">
      <c r="A79" s="18"/>
      <c r="B79" s="49"/>
      <c r="C79" s="185"/>
      <c r="D79" s="49"/>
      <c r="E79" s="49"/>
      <c r="F79" s="49"/>
      <c r="G79" s="49"/>
      <c r="H79" s="49"/>
      <c r="I79" s="18"/>
      <c r="J79" s="18"/>
      <c r="K79" s="18"/>
    </row>
    <row r="80" spans="1:11" x14ac:dyDescent="0.25">
      <c r="A80" s="18"/>
      <c r="B80" s="49"/>
      <c r="C80" s="185"/>
      <c r="D80" s="49"/>
      <c r="E80" s="49"/>
      <c r="F80" s="49"/>
      <c r="G80" s="49"/>
      <c r="H80" s="49"/>
      <c r="I80" s="18"/>
      <c r="J80" s="18"/>
      <c r="K80" s="18"/>
    </row>
    <row r="81" spans="1:11" x14ac:dyDescent="0.25">
      <c r="A81" s="18"/>
      <c r="B81" s="49"/>
      <c r="C81" s="49"/>
      <c r="D81" s="49"/>
      <c r="E81" s="49"/>
      <c r="F81" s="208"/>
      <c r="G81" s="208"/>
      <c r="H81" s="208"/>
      <c r="I81" s="18"/>
      <c r="J81" s="18"/>
      <c r="K81" s="18"/>
    </row>
    <row r="82" spans="1:11" x14ac:dyDescent="0.25">
      <c r="A82" s="18"/>
      <c r="B82" s="49"/>
      <c r="C82" s="49"/>
      <c r="D82" s="49"/>
      <c r="E82" s="49"/>
      <c r="F82" s="205"/>
      <c r="G82" s="205"/>
      <c r="H82" s="205"/>
      <c r="I82" s="18"/>
      <c r="J82" s="18"/>
      <c r="K82" s="18"/>
    </row>
    <row r="83" spans="1:11" x14ac:dyDescent="0.25">
      <c r="A83" s="18"/>
      <c r="B83" s="859"/>
      <c r="C83" s="859"/>
      <c r="D83" s="859"/>
      <c r="E83" s="859"/>
      <c r="F83" s="144"/>
      <c r="G83" s="144"/>
      <c r="H83" s="144"/>
      <c r="I83" s="18"/>
      <c r="J83" s="18"/>
      <c r="K83" s="18"/>
    </row>
    <row r="84" spans="1:11" x14ac:dyDescent="0.25">
      <c r="A84" s="18"/>
      <c r="B84" s="49"/>
      <c r="C84" s="49"/>
      <c r="D84" s="49"/>
      <c r="E84" s="49"/>
      <c r="F84" s="49"/>
      <c r="G84" s="49"/>
      <c r="H84" s="49"/>
      <c r="I84" s="18"/>
      <c r="J84" s="18"/>
      <c r="K84" s="18"/>
    </row>
    <row r="85" spans="1:11" x14ac:dyDescent="0.25">
      <c r="A85" s="18"/>
      <c r="B85" s="49"/>
      <c r="C85" s="185"/>
      <c r="D85" s="49"/>
      <c r="E85" s="49"/>
      <c r="F85" s="49"/>
      <c r="G85" s="49"/>
      <c r="H85" s="49"/>
      <c r="I85" s="18"/>
      <c r="J85" s="18"/>
      <c r="K85" s="18"/>
    </row>
    <row r="86" spans="1:11" x14ac:dyDescent="0.25">
      <c r="A86" s="18"/>
      <c r="B86" s="49"/>
      <c r="C86" s="185"/>
      <c r="D86" s="49"/>
      <c r="E86" s="49"/>
      <c r="F86" s="49"/>
      <c r="G86" s="49"/>
      <c r="H86" s="49"/>
      <c r="I86" s="18"/>
      <c r="J86" s="18"/>
      <c r="K86" s="18"/>
    </row>
    <row r="87" spans="1:11" x14ac:dyDescent="0.25">
      <c r="A87" s="18"/>
      <c r="B87" s="49"/>
      <c r="C87" s="207"/>
      <c r="D87" s="49"/>
      <c r="E87" s="49"/>
      <c r="F87" s="49"/>
      <c r="G87" s="49"/>
      <c r="H87" s="49"/>
      <c r="I87" s="18"/>
      <c r="J87" s="18"/>
      <c r="K87" s="18"/>
    </row>
    <row r="88" spans="1:11" x14ac:dyDescent="0.25">
      <c r="A88" s="18"/>
      <c r="B88" s="49"/>
      <c r="C88" s="185"/>
      <c r="D88" s="49"/>
      <c r="E88" s="49"/>
      <c r="F88" s="49"/>
      <c r="G88" s="49"/>
      <c r="H88" s="49"/>
      <c r="I88" s="18"/>
      <c r="J88" s="18"/>
      <c r="K88" s="18"/>
    </row>
    <row r="89" spans="1:11" x14ac:dyDescent="0.25">
      <c r="A89" s="18"/>
      <c r="B89" s="49"/>
      <c r="C89" s="206"/>
      <c r="D89" s="49"/>
      <c r="E89" s="49"/>
      <c r="F89" s="49"/>
      <c r="G89" s="49"/>
      <c r="H89" s="49"/>
      <c r="I89" s="18"/>
      <c r="J89" s="18"/>
      <c r="K89" s="18"/>
    </row>
    <row r="90" spans="1:11" x14ac:dyDescent="0.25">
      <c r="A90" s="18"/>
      <c r="B90" s="49"/>
      <c r="C90" s="185"/>
      <c r="D90" s="49"/>
      <c r="E90" s="49"/>
      <c r="F90" s="49"/>
      <c r="G90" s="49"/>
      <c r="H90" s="49"/>
      <c r="I90" s="18"/>
      <c r="J90" s="18"/>
      <c r="K90" s="18"/>
    </row>
    <row r="91" spans="1:11" x14ac:dyDescent="0.25">
      <c r="A91" s="18"/>
      <c r="B91" s="49"/>
      <c r="C91" s="185"/>
      <c r="D91" s="49"/>
      <c r="E91" s="49"/>
      <c r="F91" s="49"/>
      <c r="G91" s="49"/>
      <c r="H91" s="49"/>
      <c r="I91" s="18"/>
      <c r="J91" s="18"/>
      <c r="K91" s="18"/>
    </row>
    <row r="92" spans="1:11" x14ac:dyDescent="0.25">
      <c r="A92" s="18"/>
      <c r="B92" s="49"/>
      <c r="C92" s="49"/>
      <c r="D92" s="49"/>
      <c r="E92" s="49"/>
      <c r="F92" s="205"/>
      <c r="G92" s="205"/>
      <c r="H92" s="205"/>
      <c r="I92" s="18"/>
      <c r="J92" s="18"/>
      <c r="K92" s="18"/>
    </row>
    <row r="93" spans="1:11" x14ac:dyDescent="0.25">
      <c r="A93" s="18"/>
      <c r="B93" s="859"/>
      <c r="C93" s="859"/>
      <c r="D93" s="859"/>
      <c r="E93" s="859"/>
      <c r="F93" s="144"/>
      <c r="G93" s="144"/>
      <c r="H93" s="144"/>
      <c r="I93" s="18"/>
      <c r="J93" s="18"/>
      <c r="K93" s="18"/>
    </row>
    <row r="94" spans="1:11" x14ac:dyDescent="0.25">
      <c r="A94" s="18"/>
      <c r="B94" s="49"/>
      <c r="C94" s="144"/>
      <c r="D94" s="49"/>
      <c r="E94" s="49"/>
      <c r="F94" s="49"/>
      <c r="G94" s="49"/>
      <c r="H94" s="49"/>
      <c r="I94" s="18"/>
      <c r="J94" s="18"/>
      <c r="K94" s="18"/>
    </row>
    <row r="95" spans="1:11" x14ac:dyDescent="0.25">
      <c r="A95" s="18"/>
      <c r="B95" s="49"/>
      <c r="C95" s="49"/>
      <c r="D95" s="49"/>
      <c r="E95" s="49"/>
      <c r="F95" s="49"/>
      <c r="G95" s="49"/>
      <c r="H95" s="49"/>
      <c r="I95" s="18"/>
      <c r="J95" s="18"/>
      <c r="K95" s="18"/>
    </row>
    <row r="96" spans="1:11" x14ac:dyDescent="0.25">
      <c r="A96" s="18"/>
      <c r="B96" s="49"/>
      <c r="C96" s="197"/>
      <c r="D96" s="49"/>
      <c r="E96" s="49"/>
      <c r="F96" s="49"/>
      <c r="G96" s="49"/>
      <c r="H96" s="49"/>
      <c r="I96" s="18"/>
      <c r="J96" s="18"/>
      <c r="K96" s="18"/>
    </row>
    <row r="97" spans="1:11" x14ac:dyDescent="0.25">
      <c r="A97" s="18"/>
      <c r="B97" s="49"/>
      <c r="C97" s="197"/>
      <c r="D97" s="49"/>
      <c r="E97" s="49"/>
      <c r="F97" s="49"/>
      <c r="G97" s="49"/>
      <c r="H97" s="49"/>
      <c r="I97" s="18"/>
      <c r="J97" s="18"/>
      <c r="K97" s="18"/>
    </row>
    <row r="98" spans="1:11" x14ac:dyDescent="0.25">
      <c r="A98" s="18"/>
      <c r="B98" s="49"/>
      <c r="C98" s="199"/>
      <c r="D98" s="49"/>
      <c r="E98" s="49"/>
      <c r="F98" s="199"/>
      <c r="G98" s="194"/>
      <c r="H98" s="49"/>
      <c r="I98" s="18"/>
      <c r="J98" s="18"/>
      <c r="K98" s="18"/>
    </row>
    <row r="99" spans="1:11" x14ac:dyDescent="0.25">
      <c r="A99" s="18"/>
      <c r="B99" s="49"/>
      <c r="C99" s="199"/>
      <c r="D99" s="49"/>
      <c r="E99" s="49"/>
      <c r="F99" s="49"/>
      <c r="G99" s="49"/>
      <c r="H99" s="49"/>
      <c r="I99" s="18"/>
      <c r="J99" s="18"/>
      <c r="K99" s="18"/>
    </row>
    <row r="100" spans="1:11" x14ac:dyDescent="0.25">
      <c r="A100" s="18"/>
      <c r="B100" s="49"/>
      <c r="C100" s="49"/>
      <c r="D100" s="49"/>
      <c r="E100" s="49"/>
      <c r="F100" s="49"/>
      <c r="G100" s="49"/>
      <c r="H100" s="49"/>
      <c r="I100" s="18"/>
      <c r="J100" s="18"/>
      <c r="K100" s="18"/>
    </row>
    <row r="101" spans="1:11" x14ac:dyDescent="0.25">
      <c r="A101" s="18"/>
      <c r="B101" s="49"/>
      <c r="C101" s="49"/>
      <c r="D101" s="49"/>
      <c r="E101" s="49"/>
      <c r="F101" s="49"/>
      <c r="G101" s="49"/>
      <c r="H101" s="49"/>
      <c r="I101" s="18"/>
      <c r="J101" s="18"/>
      <c r="K101" s="18"/>
    </row>
    <row r="102" spans="1:11" x14ac:dyDescent="0.25">
      <c r="A102" s="18"/>
      <c r="B102" s="49"/>
      <c r="C102" s="199"/>
      <c r="D102" s="49"/>
      <c r="E102" s="49"/>
      <c r="F102" s="49"/>
      <c r="G102" s="49"/>
      <c r="H102" s="49"/>
      <c r="I102" s="18"/>
      <c r="J102" s="18"/>
      <c r="K102" s="18"/>
    </row>
    <row r="103" spans="1:11" x14ac:dyDescent="0.25">
      <c r="A103" s="18"/>
      <c r="B103" s="49"/>
      <c r="C103" s="199"/>
      <c r="D103" s="49"/>
      <c r="E103" s="49"/>
      <c r="F103" s="49"/>
      <c r="G103" s="49"/>
      <c r="H103" s="49"/>
      <c r="I103" s="18"/>
      <c r="J103" s="18"/>
      <c r="K103" s="18"/>
    </row>
    <row r="104" spans="1:11" x14ac:dyDescent="0.25">
      <c r="A104" s="18"/>
      <c r="B104" s="49"/>
      <c r="C104" s="199"/>
      <c r="D104" s="49"/>
      <c r="E104" s="49"/>
      <c r="F104" s="49"/>
      <c r="G104" s="49"/>
      <c r="H104" s="49"/>
      <c r="I104" s="18"/>
      <c r="J104" s="18"/>
      <c r="K104" s="18"/>
    </row>
    <row r="105" spans="1:11" x14ac:dyDescent="0.25">
      <c r="A105" s="18"/>
      <c r="B105" s="49"/>
      <c r="C105" s="144"/>
      <c r="D105" s="49"/>
      <c r="E105" s="49"/>
      <c r="F105" s="49"/>
      <c r="G105" s="49"/>
      <c r="H105" s="49"/>
      <c r="I105" s="18"/>
      <c r="J105" s="18"/>
      <c r="K105" s="18"/>
    </row>
    <row r="106" spans="1:11" x14ac:dyDescent="0.25">
      <c r="A106" s="18"/>
      <c r="B106" s="49"/>
      <c r="C106" s="144"/>
      <c r="D106" s="49"/>
      <c r="E106" s="49"/>
      <c r="F106" s="49"/>
      <c r="G106" s="49"/>
      <c r="H106" s="49"/>
      <c r="I106" s="18"/>
      <c r="J106" s="18"/>
      <c r="K106" s="18"/>
    </row>
    <row r="107" spans="1:11" x14ac:dyDescent="0.25">
      <c r="A107" s="18"/>
      <c r="B107" s="49"/>
      <c r="C107" s="144"/>
      <c r="D107" s="49"/>
      <c r="E107" s="49"/>
      <c r="F107" s="49"/>
      <c r="G107" s="49"/>
      <c r="H107" s="49"/>
      <c r="I107" s="18"/>
      <c r="J107" s="18"/>
      <c r="K107" s="18"/>
    </row>
    <row r="108" spans="1:11" x14ac:dyDescent="0.25">
      <c r="A108" s="18"/>
      <c r="B108" s="49"/>
      <c r="C108" s="144"/>
      <c r="D108" s="49"/>
      <c r="E108" s="49"/>
      <c r="F108" s="49"/>
      <c r="G108" s="49"/>
      <c r="H108" s="49"/>
      <c r="I108" s="18"/>
      <c r="J108" s="18"/>
      <c r="K108" s="18"/>
    </row>
    <row r="109" spans="1:11" x14ac:dyDescent="0.25">
      <c r="A109" s="18"/>
      <c r="B109" s="49"/>
      <c r="C109" s="49"/>
      <c r="D109" s="49"/>
      <c r="E109" s="49"/>
      <c r="F109" s="49"/>
      <c r="G109" s="49"/>
      <c r="H109" s="49"/>
      <c r="I109" s="18"/>
      <c r="J109" s="18"/>
      <c r="K109" s="18"/>
    </row>
    <row r="110" spans="1:11" x14ac:dyDescent="0.25">
      <c r="A110" s="18"/>
      <c r="B110" s="859"/>
      <c r="C110" s="859"/>
      <c r="D110" s="859"/>
      <c r="E110" s="859"/>
      <c r="F110" s="205"/>
      <c r="G110" s="205"/>
      <c r="H110" s="205"/>
      <c r="I110" s="198"/>
      <c r="J110" s="18"/>
      <c r="K110" s="18"/>
    </row>
    <row r="111" spans="1:11" x14ac:dyDescent="0.25">
      <c r="A111" s="18"/>
      <c r="B111" s="49"/>
      <c r="C111" s="49"/>
      <c r="D111" s="49"/>
      <c r="E111" s="49"/>
      <c r="F111" s="144"/>
      <c r="G111" s="144"/>
      <c r="H111" s="144"/>
      <c r="I111" s="198"/>
      <c r="J111" s="18"/>
      <c r="K111" s="18"/>
    </row>
    <row r="112" spans="1:11" x14ac:dyDescent="0.25">
      <c r="A112" s="18"/>
      <c r="B112" s="49"/>
      <c r="C112" s="49"/>
      <c r="D112" s="49"/>
      <c r="E112" s="49"/>
      <c r="F112" s="49"/>
      <c r="G112" s="49"/>
      <c r="H112" s="49"/>
      <c r="I112" s="198"/>
      <c r="J112" s="18"/>
      <c r="K112" s="18"/>
    </row>
    <row r="113" spans="1:11" x14ac:dyDescent="0.25">
      <c r="A113" s="18"/>
      <c r="B113" s="204"/>
      <c r="C113" s="49"/>
      <c r="D113" s="49"/>
      <c r="E113" s="49"/>
      <c r="F113" s="49"/>
      <c r="G113" s="49"/>
      <c r="H113" s="49"/>
      <c r="I113" s="203"/>
      <c r="J113" s="18"/>
      <c r="K113" s="18"/>
    </row>
    <row r="114" spans="1:11" x14ac:dyDescent="0.25">
      <c r="A114" s="18"/>
      <c r="B114" s="194"/>
      <c r="C114" s="49"/>
      <c r="D114" s="194"/>
      <c r="E114" s="49"/>
      <c r="F114" s="49"/>
      <c r="G114" s="49"/>
      <c r="H114" s="49"/>
      <c r="I114" s="198"/>
      <c r="J114" s="18"/>
      <c r="K114" s="18"/>
    </row>
    <row r="115" spans="1:11" x14ac:dyDescent="0.25">
      <c r="A115" s="18"/>
      <c r="B115" s="194"/>
      <c r="C115" s="49"/>
      <c r="D115" s="194"/>
      <c r="E115" s="49"/>
      <c r="F115" s="49"/>
      <c r="G115" s="49"/>
      <c r="H115" s="49"/>
      <c r="I115" s="198"/>
      <c r="J115" s="18"/>
      <c r="K115" s="18"/>
    </row>
    <row r="116" spans="1:11" x14ac:dyDescent="0.25">
      <c r="A116" s="18"/>
      <c r="B116" s="200"/>
      <c r="C116" s="202"/>
      <c r="D116" s="49"/>
      <c r="E116" s="49"/>
      <c r="F116" s="49"/>
      <c r="G116" s="49"/>
      <c r="H116" s="49"/>
      <c r="I116" s="198"/>
      <c r="J116" s="18"/>
      <c r="K116" s="18"/>
    </row>
    <row r="117" spans="1:11" x14ac:dyDescent="0.25">
      <c r="A117" s="18"/>
      <c r="B117" s="200"/>
      <c r="C117" s="144"/>
      <c r="D117" s="194"/>
      <c r="E117" s="49"/>
      <c r="F117" s="49"/>
      <c r="G117" s="49"/>
      <c r="H117" s="49"/>
      <c r="I117" s="198"/>
      <c r="J117" s="18"/>
      <c r="K117" s="18"/>
    </row>
    <row r="118" spans="1:11" x14ac:dyDescent="0.25">
      <c r="A118" s="18"/>
      <c r="B118" s="200"/>
      <c r="C118" s="144"/>
      <c r="D118" s="194"/>
      <c r="E118" s="49"/>
      <c r="F118" s="49"/>
      <c r="G118" s="49"/>
      <c r="H118" s="49"/>
      <c r="I118" s="198"/>
      <c r="J118" s="18"/>
      <c r="K118" s="18"/>
    </row>
    <row r="119" spans="1:11" x14ac:dyDescent="0.25">
      <c r="A119" s="18"/>
      <c r="B119" s="200"/>
      <c r="C119" s="201"/>
      <c r="D119" s="194"/>
      <c r="E119" s="49"/>
      <c r="F119" s="49"/>
      <c r="G119" s="49"/>
      <c r="H119" s="49"/>
      <c r="I119" s="198"/>
      <c r="J119" s="18"/>
      <c r="K119" s="18"/>
    </row>
    <row r="120" spans="1:11" x14ac:dyDescent="0.25">
      <c r="A120" s="18"/>
      <c r="B120" s="200"/>
      <c r="C120" s="199"/>
      <c r="D120" s="194"/>
      <c r="E120" s="49"/>
      <c r="F120" s="49"/>
      <c r="G120" s="49"/>
      <c r="H120" s="49"/>
      <c r="I120" s="198"/>
      <c r="J120" s="18"/>
      <c r="K120" s="18"/>
    </row>
    <row r="121" spans="1:11" x14ac:dyDescent="0.25">
      <c r="A121" s="18"/>
      <c r="B121" s="194"/>
      <c r="C121" s="197"/>
      <c r="D121" s="49"/>
      <c r="E121" s="194"/>
      <c r="F121" s="49"/>
      <c r="G121" s="49"/>
      <c r="H121" s="49"/>
      <c r="I121" s="198"/>
      <c r="J121" s="18"/>
      <c r="K121" s="18"/>
    </row>
    <row r="122" spans="1:11" x14ac:dyDescent="0.25">
      <c r="A122" s="18"/>
      <c r="B122" s="194"/>
      <c r="C122" s="197"/>
      <c r="D122" s="49"/>
      <c r="E122" s="194"/>
      <c r="F122" s="49"/>
      <c r="G122" s="49"/>
      <c r="H122" s="49"/>
      <c r="I122" s="18"/>
      <c r="J122" s="18"/>
      <c r="K122" s="18"/>
    </row>
    <row r="123" spans="1:11" x14ac:dyDescent="0.25">
      <c r="A123" s="18"/>
      <c r="B123" s="194"/>
      <c r="C123" s="144"/>
      <c r="D123" s="194"/>
      <c r="E123" s="49"/>
      <c r="F123" s="49"/>
      <c r="G123" s="49"/>
      <c r="H123" s="49"/>
      <c r="I123" s="18"/>
      <c r="J123" s="18"/>
      <c r="K123" s="18"/>
    </row>
    <row r="124" spans="1:11" x14ac:dyDescent="0.25">
      <c r="A124" s="18"/>
      <c r="B124" s="194"/>
      <c r="C124" s="144"/>
      <c r="D124" s="194"/>
      <c r="E124" s="49"/>
      <c r="F124" s="49"/>
      <c r="G124" s="49"/>
      <c r="H124" s="49"/>
      <c r="I124" s="196"/>
      <c r="J124" s="18"/>
      <c r="K124" s="18"/>
    </row>
    <row r="125" spans="1:11" x14ac:dyDescent="0.25">
      <c r="A125" s="18"/>
      <c r="B125" s="49"/>
      <c r="C125" s="49"/>
      <c r="D125" s="49"/>
      <c r="E125" s="49"/>
      <c r="F125" s="49"/>
      <c r="G125" s="49"/>
      <c r="H125" s="49"/>
      <c r="I125" s="18"/>
      <c r="J125" s="18"/>
      <c r="K125" s="18"/>
    </row>
    <row r="126" spans="1:11" x14ac:dyDescent="0.25">
      <c r="A126" s="18"/>
      <c r="B126" s="858"/>
      <c r="C126" s="858"/>
      <c r="D126" s="858"/>
      <c r="E126" s="858"/>
      <c r="F126" s="195"/>
      <c r="G126" s="49"/>
      <c r="H126" s="49"/>
      <c r="I126" s="18"/>
      <c r="J126" s="18"/>
      <c r="K126" s="18"/>
    </row>
    <row r="127" spans="1:11" x14ac:dyDescent="0.25">
      <c r="A127" s="18"/>
      <c r="B127" s="49"/>
      <c r="C127" s="49"/>
      <c r="D127" s="49"/>
      <c r="E127" s="49"/>
      <c r="F127" s="144"/>
      <c r="G127" s="49"/>
      <c r="H127" s="49"/>
      <c r="I127" s="18"/>
      <c r="J127" s="18"/>
      <c r="K127" s="18"/>
    </row>
    <row r="128" spans="1:11" x14ac:dyDescent="0.25">
      <c r="A128" s="18"/>
      <c r="B128" s="194"/>
      <c r="C128" s="144"/>
      <c r="D128" s="194"/>
      <c r="E128" s="49"/>
      <c r="F128" s="49"/>
      <c r="G128" s="49"/>
      <c r="H128" s="49"/>
      <c r="I128" s="18"/>
      <c r="J128" s="18"/>
      <c r="K128" s="18"/>
    </row>
    <row r="129" spans="1:11" x14ac:dyDescent="0.25">
      <c r="A129" s="18"/>
      <c r="B129" s="194"/>
      <c r="C129" s="144"/>
      <c r="D129" s="194"/>
      <c r="E129" s="49"/>
      <c r="F129" s="49"/>
      <c r="G129" s="49"/>
      <c r="H129" s="49"/>
      <c r="I129" s="18"/>
      <c r="J129" s="18"/>
      <c r="K129" s="18"/>
    </row>
    <row r="130" spans="1:11" x14ac:dyDescent="0.25">
      <c r="A130" s="18"/>
      <c r="B130" s="49"/>
      <c r="C130" s="144"/>
      <c r="D130" s="194"/>
      <c r="E130" s="49"/>
      <c r="F130" s="49"/>
      <c r="G130" s="49"/>
      <c r="H130" s="49"/>
      <c r="I130" s="18"/>
      <c r="J130" s="18"/>
      <c r="K130" s="18"/>
    </row>
    <row r="131" spans="1:11" x14ac:dyDescent="0.25">
      <c r="A131" s="18"/>
      <c r="B131" s="49"/>
      <c r="C131" s="49"/>
      <c r="D131" s="49"/>
      <c r="E131" s="194"/>
      <c r="F131" s="49"/>
      <c r="G131" s="49"/>
      <c r="H131" s="49"/>
      <c r="I131" s="18"/>
      <c r="J131" s="18"/>
      <c r="K131" s="18"/>
    </row>
    <row r="132" spans="1:11" x14ac:dyDescent="0.25">
      <c r="A132" s="18"/>
      <c r="B132" s="49"/>
      <c r="C132" s="49"/>
      <c r="D132" s="49"/>
      <c r="E132" s="193"/>
      <c r="F132" s="49"/>
      <c r="G132" s="49"/>
      <c r="H132" s="49"/>
      <c r="I132" s="18"/>
      <c r="J132" s="18"/>
      <c r="K132" s="18"/>
    </row>
    <row r="133" spans="1:11" x14ac:dyDescent="0.25">
      <c r="A133" s="18"/>
      <c r="B133" s="49"/>
      <c r="C133" s="49"/>
      <c r="D133" s="49"/>
      <c r="E133" s="193"/>
      <c r="F133" s="49"/>
      <c r="G133" s="49"/>
      <c r="H133" s="49"/>
      <c r="I133" s="18"/>
      <c r="J133" s="18"/>
      <c r="K133" s="18"/>
    </row>
    <row r="134" spans="1:11" x14ac:dyDescent="0.25">
      <c r="A134" s="18"/>
      <c r="B134" s="49"/>
      <c r="C134" s="49"/>
      <c r="D134" s="49"/>
      <c r="E134" s="192"/>
      <c r="F134" s="191"/>
      <c r="G134" s="49"/>
      <c r="H134" s="49"/>
      <c r="I134" s="18"/>
      <c r="J134" s="18"/>
      <c r="K134" s="18"/>
    </row>
    <row r="135" spans="1:11" x14ac:dyDescent="0.25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</row>
    <row r="136" spans="1:11" x14ac:dyDescent="0.25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</row>
    <row r="137" spans="1:11" x14ac:dyDescent="0.25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</row>
    <row r="138" spans="1:11" x14ac:dyDescent="0.25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</row>
  </sheetData>
  <mergeCells count="6">
    <mergeCell ref="B126:E126"/>
    <mergeCell ref="B4:E4"/>
    <mergeCell ref="B39:E39"/>
    <mergeCell ref="B83:E83"/>
    <mergeCell ref="B93:E93"/>
    <mergeCell ref="B110:E110"/>
  </mergeCells>
  <pageMargins left="0.511811024" right="0.511811024" top="0.78740157499999996" bottom="0.78740157499999996" header="0.31496062000000002" footer="0.31496062000000002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2:H19"/>
  <sheetViews>
    <sheetView showGridLines="0" topLeftCell="B1" workbookViewId="0">
      <selection activeCell="G17" sqref="G17"/>
    </sheetView>
  </sheetViews>
  <sheetFormatPr defaultColWidth="12.5703125" defaultRowHeight="15" x14ac:dyDescent="0.25"/>
  <cols>
    <col min="1" max="1" width="9.28515625" customWidth="1"/>
    <col min="2" max="2" width="41.5703125" bestFit="1" customWidth="1"/>
    <col min="3" max="3" width="23.28515625" bestFit="1" customWidth="1"/>
    <col min="6" max="6" width="14" customWidth="1"/>
    <col min="7" max="7" width="14.5703125" bestFit="1" customWidth="1"/>
    <col min="8" max="8" width="14.140625" customWidth="1"/>
  </cols>
  <sheetData>
    <row r="2" spans="2:8" x14ac:dyDescent="0.25">
      <c r="B2" s="433" t="s">
        <v>522</v>
      </c>
      <c r="C2" s="433"/>
      <c r="D2" s="433"/>
      <c r="E2" s="433"/>
      <c r="F2" s="434" t="s">
        <v>10</v>
      </c>
      <c r="G2" s="434" t="s">
        <v>11</v>
      </c>
      <c r="H2" s="434" t="s">
        <v>24</v>
      </c>
    </row>
    <row r="3" spans="2:8" x14ac:dyDescent="0.25">
      <c r="B3" s="7"/>
      <c r="C3" s="7"/>
      <c r="D3" s="7"/>
      <c r="E3" s="7"/>
      <c r="F3" s="15" t="s">
        <v>2</v>
      </c>
      <c r="G3" s="15" t="s">
        <v>2</v>
      </c>
      <c r="H3" s="15" t="s">
        <v>2</v>
      </c>
    </row>
    <row r="4" spans="2:8" x14ac:dyDescent="0.25">
      <c r="B4" s="860" t="s">
        <v>521</v>
      </c>
      <c r="C4" s="860"/>
      <c r="D4" s="860"/>
      <c r="E4" s="860"/>
      <c r="F4" s="435">
        <f>C18</f>
        <v>544000</v>
      </c>
      <c r="G4" s="435">
        <f>C19</f>
        <v>630000</v>
      </c>
      <c r="H4" s="435">
        <f>F4+G4</f>
        <v>1174000</v>
      </c>
    </row>
    <row r="5" spans="2:8" x14ac:dyDescent="0.25">
      <c r="B5" s="7" t="s">
        <v>61</v>
      </c>
      <c r="C5" s="146">
        <f>20000/3</f>
        <v>6666.666666666667</v>
      </c>
      <c r="D5" s="7" t="s">
        <v>60</v>
      </c>
      <c r="E5" s="7"/>
      <c r="F5" s="7"/>
      <c r="G5" s="7"/>
      <c r="H5" s="7"/>
    </row>
    <row r="6" spans="2:8" x14ac:dyDescent="0.25">
      <c r="B6" s="7" t="s">
        <v>59</v>
      </c>
      <c r="C6" s="7">
        <v>80</v>
      </c>
      <c r="D6" s="7" t="s">
        <v>58</v>
      </c>
      <c r="E6" s="7"/>
      <c r="F6" s="164" t="s">
        <v>57</v>
      </c>
      <c r="G6" s="7"/>
      <c r="H6" s="7"/>
    </row>
    <row r="7" spans="2:8" x14ac:dyDescent="0.25">
      <c r="B7" s="7" t="s">
        <v>520</v>
      </c>
      <c r="C7" s="402">
        <f>(217*2)+(220/2)</f>
        <v>544</v>
      </c>
      <c r="D7" s="7" t="s">
        <v>55</v>
      </c>
      <c r="E7" s="7" t="s">
        <v>54</v>
      </c>
      <c r="F7" s="7"/>
      <c r="G7" s="7"/>
      <c r="H7" s="7"/>
    </row>
    <row r="8" spans="2:8" x14ac:dyDescent="0.25">
      <c r="B8" s="7" t="s">
        <v>519</v>
      </c>
      <c r="C8" s="402">
        <f>(260*2)+(220/2)</f>
        <v>630</v>
      </c>
      <c r="D8" s="7" t="s">
        <v>55</v>
      </c>
      <c r="E8" s="7" t="s">
        <v>54</v>
      </c>
      <c r="F8" s="436" t="s">
        <v>518</v>
      </c>
      <c r="G8" s="15"/>
      <c r="H8" s="7"/>
    </row>
    <row r="9" spans="2:8" x14ac:dyDescent="0.25">
      <c r="B9" s="7" t="s">
        <v>517</v>
      </c>
      <c r="C9" s="13">
        <f>C7/C6</f>
        <v>6.8</v>
      </c>
      <c r="D9" s="7" t="s">
        <v>51</v>
      </c>
      <c r="E9" s="7"/>
      <c r="F9" s="410">
        <f>C9+C10</f>
        <v>14.675000000000001</v>
      </c>
      <c r="G9" s="15">
        <f>F9*4</f>
        <v>58.7</v>
      </c>
      <c r="H9" s="7"/>
    </row>
    <row r="10" spans="2:8" x14ac:dyDescent="0.25">
      <c r="B10" s="7" t="s">
        <v>516</v>
      </c>
      <c r="C10" s="13">
        <f>C8/C6</f>
        <v>7.875</v>
      </c>
      <c r="D10" s="7" t="s">
        <v>51</v>
      </c>
      <c r="E10" s="7"/>
      <c r="F10" s="436" t="s">
        <v>515</v>
      </c>
      <c r="G10" s="436" t="s">
        <v>514</v>
      </c>
      <c r="H10" s="7"/>
    </row>
    <row r="11" spans="2:8" x14ac:dyDescent="0.25">
      <c r="B11" s="7" t="s">
        <v>513</v>
      </c>
      <c r="C11" s="7">
        <v>1</v>
      </c>
      <c r="D11" s="7" t="s">
        <v>49</v>
      </c>
      <c r="E11" s="7"/>
      <c r="F11" s="7"/>
      <c r="G11" s="7"/>
      <c r="H11" s="7"/>
    </row>
    <row r="12" spans="2:8" x14ac:dyDescent="0.25">
      <c r="B12" s="7" t="s">
        <v>512</v>
      </c>
      <c r="C12" s="7">
        <v>1</v>
      </c>
      <c r="D12" s="7" t="s">
        <v>49</v>
      </c>
      <c r="E12" s="7"/>
      <c r="F12" s="7"/>
      <c r="G12" s="7"/>
      <c r="H12" s="7"/>
    </row>
    <row r="13" spans="2:8" x14ac:dyDescent="0.25">
      <c r="B13" s="7" t="s">
        <v>48</v>
      </c>
      <c r="C13" s="437">
        <v>12</v>
      </c>
      <c r="D13" s="7" t="s">
        <v>47</v>
      </c>
      <c r="E13" s="7"/>
      <c r="F13" s="7"/>
      <c r="G13" s="7"/>
      <c r="H13" s="7"/>
    </row>
    <row r="14" spans="2:8" x14ac:dyDescent="0.25">
      <c r="B14" s="7" t="s">
        <v>511</v>
      </c>
      <c r="C14" s="437">
        <f>C11*C13</f>
        <v>12</v>
      </c>
      <c r="D14" s="7" t="s">
        <v>45</v>
      </c>
      <c r="E14" s="7"/>
      <c r="F14" s="7"/>
      <c r="G14" s="7"/>
      <c r="H14" s="7"/>
    </row>
    <row r="15" spans="2:8" x14ac:dyDescent="0.25">
      <c r="B15" s="7" t="s">
        <v>510</v>
      </c>
      <c r="C15" s="437">
        <f>C12*C13</f>
        <v>12</v>
      </c>
      <c r="D15" s="7" t="s">
        <v>45</v>
      </c>
      <c r="E15" s="7"/>
      <c r="F15" s="7"/>
      <c r="G15" s="7"/>
      <c r="H15" s="7"/>
    </row>
    <row r="16" spans="2:8" x14ac:dyDescent="0.25">
      <c r="B16" s="7" t="s">
        <v>509</v>
      </c>
      <c r="C16" s="146">
        <f>C9*C5</f>
        <v>45333.333333333336</v>
      </c>
      <c r="D16" s="7" t="s">
        <v>43</v>
      </c>
      <c r="E16" s="7"/>
      <c r="F16" s="7"/>
      <c r="G16" s="7"/>
      <c r="H16" s="7"/>
    </row>
    <row r="17" spans="1:8" x14ac:dyDescent="0.25">
      <c r="B17" s="7" t="s">
        <v>508</v>
      </c>
      <c r="C17" s="146">
        <f>C5*C10</f>
        <v>52500</v>
      </c>
      <c r="D17" s="7" t="s">
        <v>43</v>
      </c>
      <c r="E17" s="7"/>
      <c r="F17" s="7"/>
      <c r="G17" s="7"/>
      <c r="H17" s="7"/>
    </row>
    <row r="18" spans="1:8" x14ac:dyDescent="0.25">
      <c r="B18" s="7" t="s">
        <v>507</v>
      </c>
      <c r="C18" s="146">
        <f>C16*C14</f>
        <v>544000</v>
      </c>
      <c r="D18" s="7" t="s">
        <v>2</v>
      </c>
      <c r="E18" s="7"/>
      <c r="F18" s="7"/>
      <c r="G18" s="7"/>
      <c r="H18" s="7"/>
    </row>
    <row r="19" spans="1:8" x14ac:dyDescent="0.25">
      <c r="A19" s="19"/>
      <c r="B19" s="7" t="s">
        <v>506</v>
      </c>
      <c r="C19" s="146">
        <f>C17*C15</f>
        <v>630000</v>
      </c>
      <c r="D19" s="7" t="s">
        <v>2</v>
      </c>
      <c r="E19" s="7"/>
      <c r="F19" s="7"/>
      <c r="G19" s="7"/>
      <c r="H19" s="7"/>
    </row>
  </sheetData>
  <mergeCells count="1">
    <mergeCell ref="B4:E4"/>
  </mergeCells>
  <pageMargins left="0.511811024" right="0.511811024" top="0.78740157499999996" bottom="0.78740157499999996" header="0.31496062000000002" footer="0.31496062000000002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H17"/>
  <sheetViews>
    <sheetView showGridLines="0" workbookViewId="0">
      <selection activeCell="B1" sqref="B1:H17"/>
    </sheetView>
  </sheetViews>
  <sheetFormatPr defaultColWidth="12.5703125" defaultRowHeight="15" x14ac:dyDescent="0.25"/>
  <cols>
    <col min="1" max="1" width="9.28515625" customWidth="1"/>
    <col min="2" max="2" width="41.5703125" bestFit="1" customWidth="1"/>
    <col min="3" max="3" width="23.28515625" bestFit="1" customWidth="1"/>
    <col min="6" max="6" width="14" customWidth="1"/>
    <col min="7" max="7" width="14.5703125" bestFit="1" customWidth="1"/>
    <col min="8" max="8" width="14.140625" customWidth="1"/>
  </cols>
  <sheetData>
    <row r="1" spans="2:8" x14ac:dyDescent="0.25">
      <c r="B1" s="7"/>
      <c r="C1" s="7"/>
      <c r="D1" s="7"/>
      <c r="E1" s="7"/>
      <c r="F1" s="15" t="s">
        <v>2</v>
      </c>
      <c r="G1" s="15" t="s">
        <v>2</v>
      </c>
      <c r="H1" s="15" t="s">
        <v>2</v>
      </c>
    </row>
    <row r="2" spans="2:8" x14ac:dyDescent="0.25">
      <c r="B2" s="860" t="s">
        <v>526</v>
      </c>
      <c r="C2" s="860"/>
      <c r="D2" s="860"/>
      <c r="E2" s="860"/>
      <c r="F2" s="435">
        <f>C16</f>
        <v>81600</v>
      </c>
      <c r="G2" s="435">
        <f>C17</f>
        <v>94500</v>
      </c>
      <c r="H2" s="435">
        <f>F2+G2</f>
        <v>176100</v>
      </c>
    </row>
    <row r="3" spans="2:8" x14ac:dyDescent="0.25">
      <c r="B3" s="7" t="s">
        <v>525</v>
      </c>
      <c r="C3" s="146">
        <f>3000/8</f>
        <v>375</v>
      </c>
      <c r="D3" s="7" t="s">
        <v>60</v>
      </c>
      <c r="E3" s="7"/>
      <c r="F3" s="7"/>
      <c r="G3" s="7"/>
      <c r="H3" s="7"/>
    </row>
    <row r="4" spans="2:8" x14ac:dyDescent="0.25">
      <c r="B4" s="7" t="s">
        <v>59</v>
      </c>
      <c r="C4" s="7">
        <v>30</v>
      </c>
      <c r="D4" s="7" t="s">
        <v>58</v>
      </c>
      <c r="E4" s="7"/>
      <c r="F4" s="7"/>
      <c r="G4" s="7"/>
      <c r="H4" s="7"/>
    </row>
    <row r="5" spans="2:8" x14ac:dyDescent="0.25">
      <c r="B5" s="7" t="s">
        <v>520</v>
      </c>
      <c r="C5" s="402">
        <f>(217*2)+(220/2)</f>
        <v>544</v>
      </c>
      <c r="D5" s="7" t="s">
        <v>55</v>
      </c>
      <c r="E5" s="7" t="s">
        <v>54</v>
      </c>
      <c r="F5" s="7"/>
      <c r="G5" s="7"/>
      <c r="H5" s="7"/>
    </row>
    <row r="6" spans="2:8" x14ac:dyDescent="0.25">
      <c r="B6" s="7" t="s">
        <v>519</v>
      </c>
      <c r="C6" s="402">
        <f>(260*2)+(220/2)</f>
        <v>630</v>
      </c>
      <c r="D6" s="7" t="s">
        <v>55</v>
      </c>
      <c r="E6" s="7" t="s">
        <v>54</v>
      </c>
      <c r="F6" s="7"/>
      <c r="G6" s="7"/>
      <c r="H6" s="7"/>
    </row>
    <row r="7" spans="2:8" x14ac:dyDescent="0.25">
      <c r="B7" s="7" t="s">
        <v>517</v>
      </c>
      <c r="C7" s="13">
        <f>C5/C4</f>
        <v>18.133333333333333</v>
      </c>
      <c r="D7" s="7" t="s">
        <v>51</v>
      </c>
      <c r="E7" s="7"/>
      <c r="F7" s="13">
        <f>C7+C8</f>
        <v>39.133333333333333</v>
      </c>
      <c r="G7" s="164" t="s">
        <v>524</v>
      </c>
      <c r="H7" s="7"/>
    </row>
    <row r="8" spans="2:8" x14ac:dyDescent="0.25">
      <c r="B8" s="7" t="s">
        <v>516</v>
      </c>
      <c r="C8" s="13">
        <f>C6/C4</f>
        <v>21</v>
      </c>
      <c r="D8" s="7" t="s">
        <v>51</v>
      </c>
      <c r="E8" s="7"/>
      <c r="F8" s="7"/>
      <c r="G8" s="7"/>
      <c r="H8" s="7"/>
    </row>
    <row r="9" spans="2:8" x14ac:dyDescent="0.25">
      <c r="B9" s="7" t="s">
        <v>513</v>
      </c>
      <c r="C9" s="7">
        <v>1</v>
      </c>
      <c r="D9" s="7" t="s">
        <v>49</v>
      </c>
      <c r="E9" s="7"/>
      <c r="F9" s="7"/>
      <c r="G9" s="7"/>
      <c r="H9" s="7"/>
    </row>
    <row r="10" spans="2:8" x14ac:dyDescent="0.25">
      <c r="B10" s="7" t="s">
        <v>512</v>
      </c>
      <c r="C10" s="7">
        <v>1</v>
      </c>
      <c r="D10" s="7" t="s">
        <v>49</v>
      </c>
      <c r="E10" s="7"/>
      <c r="F10" s="7"/>
      <c r="G10" s="7"/>
      <c r="H10" s="7"/>
    </row>
    <row r="11" spans="2:8" x14ac:dyDescent="0.25">
      <c r="B11" s="7" t="s">
        <v>523</v>
      </c>
      <c r="C11" s="437">
        <v>12</v>
      </c>
      <c r="D11" s="7" t="s">
        <v>47</v>
      </c>
      <c r="E11" s="7"/>
      <c r="F11" s="7"/>
      <c r="G11" s="7"/>
      <c r="H11" s="7"/>
    </row>
    <row r="12" spans="2:8" x14ac:dyDescent="0.25">
      <c r="B12" s="7" t="s">
        <v>511</v>
      </c>
      <c r="C12" s="13">
        <f>C9*C11</f>
        <v>12</v>
      </c>
      <c r="D12" s="7" t="s">
        <v>45</v>
      </c>
      <c r="E12" s="7"/>
      <c r="F12" s="7"/>
      <c r="G12" s="7"/>
      <c r="H12" s="7"/>
    </row>
    <row r="13" spans="2:8" x14ac:dyDescent="0.25">
      <c r="B13" s="7" t="s">
        <v>510</v>
      </c>
      <c r="C13" s="13">
        <f>C10*C11</f>
        <v>12</v>
      </c>
      <c r="D13" s="7" t="s">
        <v>45</v>
      </c>
      <c r="E13" s="7"/>
      <c r="F13" s="7"/>
      <c r="G13" s="7"/>
      <c r="H13" s="7"/>
    </row>
    <row r="14" spans="2:8" x14ac:dyDescent="0.25">
      <c r="B14" s="7" t="s">
        <v>509</v>
      </c>
      <c r="C14" s="146">
        <f>C7*C3</f>
        <v>6800</v>
      </c>
      <c r="D14" s="7" t="s">
        <v>43</v>
      </c>
      <c r="E14" s="7"/>
      <c r="F14" s="7"/>
      <c r="G14" s="7"/>
      <c r="H14" s="7"/>
    </row>
    <row r="15" spans="2:8" x14ac:dyDescent="0.25">
      <c r="B15" s="7" t="s">
        <v>508</v>
      </c>
      <c r="C15" s="146">
        <f>C3*C8</f>
        <v>7875</v>
      </c>
      <c r="D15" s="7" t="s">
        <v>43</v>
      </c>
      <c r="E15" s="7"/>
      <c r="F15" s="7"/>
      <c r="G15" s="7"/>
      <c r="H15" s="7"/>
    </row>
    <row r="16" spans="2:8" x14ac:dyDescent="0.25">
      <c r="B16" s="7" t="s">
        <v>507</v>
      </c>
      <c r="C16" s="146">
        <f>C14*C12</f>
        <v>81600</v>
      </c>
      <c r="D16" s="7" t="s">
        <v>2</v>
      </c>
      <c r="E16" s="7"/>
      <c r="F16" s="7"/>
      <c r="G16" s="7"/>
      <c r="H16" s="7"/>
    </row>
    <row r="17" spans="2:8" x14ac:dyDescent="0.25">
      <c r="B17" s="7" t="s">
        <v>506</v>
      </c>
      <c r="C17" s="146">
        <f>C15*C13</f>
        <v>94500</v>
      </c>
      <c r="D17" s="7" t="s">
        <v>2</v>
      </c>
      <c r="E17" s="7"/>
      <c r="F17" s="7"/>
      <c r="G17" s="7"/>
      <c r="H17" s="7"/>
    </row>
  </sheetData>
  <mergeCells count="1">
    <mergeCell ref="B2:E2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8"/>
  <sheetViews>
    <sheetView showGridLines="0" workbookViewId="0">
      <selection activeCell="C7" sqref="C7"/>
    </sheetView>
  </sheetViews>
  <sheetFormatPr defaultColWidth="12.5703125" defaultRowHeight="15" x14ac:dyDescent="0.25"/>
  <cols>
    <col min="1" max="1" width="9.28515625" customWidth="1"/>
    <col min="2" max="2" width="57.7109375" customWidth="1"/>
    <col min="3" max="3" width="23.28515625" bestFit="1" customWidth="1"/>
    <col min="6" max="6" width="14" customWidth="1"/>
    <col min="7" max="7" width="14.5703125" bestFit="1" customWidth="1"/>
    <col min="8" max="8" width="14.140625" customWidth="1"/>
  </cols>
  <sheetData>
    <row r="2" spans="2:9" x14ac:dyDescent="0.25">
      <c r="B2" s="861" t="s">
        <v>545</v>
      </c>
      <c r="C2" s="861"/>
      <c r="D2" s="861"/>
      <c r="E2" s="861"/>
      <c r="F2" s="438" t="s">
        <v>2</v>
      </c>
      <c r="G2" s="438" t="s">
        <v>2</v>
      </c>
      <c r="H2" s="438" t="s">
        <v>2</v>
      </c>
      <c r="I2" s="14"/>
    </row>
    <row r="3" spans="2:9" x14ac:dyDescent="0.25">
      <c r="B3" s="439"/>
      <c r="C3" s="439"/>
      <c r="D3" s="439"/>
      <c r="E3" s="439"/>
      <c r="F3" s="432">
        <f>C15</f>
        <v>2050526.1857562151</v>
      </c>
      <c r="G3" s="432">
        <f>C16</f>
        <v>2456851.6511364789</v>
      </c>
      <c r="H3" s="432">
        <f>F3+G3</f>
        <v>4507377.8368926942</v>
      </c>
      <c r="I3" s="14"/>
    </row>
    <row r="4" spans="2:9" x14ac:dyDescent="0.25">
      <c r="B4" s="439"/>
      <c r="C4" s="439"/>
      <c r="D4" s="439"/>
      <c r="E4" s="439"/>
      <c r="F4" s="439"/>
      <c r="G4" s="439"/>
      <c r="H4" s="439"/>
      <c r="I4" s="14"/>
    </row>
    <row r="5" spans="2:9" x14ac:dyDescent="0.25">
      <c r="B5" s="440" t="s">
        <v>544</v>
      </c>
      <c r="C5" s="439"/>
      <c r="D5" s="439"/>
      <c r="E5" s="439"/>
      <c r="F5" s="439"/>
      <c r="G5" s="439"/>
      <c r="H5" s="439">
        <f>((2295-126)*20-18)/1000</f>
        <v>43.362000000000002</v>
      </c>
      <c r="I5" s="215" t="s">
        <v>55</v>
      </c>
    </row>
    <row r="6" spans="2:9" x14ac:dyDescent="0.25">
      <c r="B6" s="441" t="s">
        <v>543</v>
      </c>
      <c r="C6" s="605">
        <v>40.18</v>
      </c>
      <c r="D6" s="441" t="s">
        <v>540</v>
      </c>
      <c r="E6" s="439">
        <v>35.520000000000003</v>
      </c>
      <c r="F6" s="439" t="s">
        <v>542</v>
      </c>
      <c r="G6" s="439"/>
      <c r="H6" s="439"/>
      <c r="I6" s="14"/>
    </row>
    <row r="7" spans="2:9" x14ac:dyDescent="0.25">
      <c r="B7" s="441" t="s">
        <v>541</v>
      </c>
      <c r="C7" s="439">
        <v>93.29</v>
      </c>
      <c r="D7" s="441" t="s">
        <v>540</v>
      </c>
      <c r="E7" s="439"/>
      <c r="F7" s="439"/>
      <c r="G7" s="439"/>
      <c r="H7" s="439"/>
      <c r="I7" s="14"/>
    </row>
    <row r="8" spans="2:9" x14ac:dyDescent="0.25">
      <c r="B8" s="442" t="s">
        <v>539</v>
      </c>
      <c r="C8" s="443">
        <v>0.01</v>
      </c>
      <c r="D8" s="7"/>
      <c r="E8" s="7"/>
      <c r="F8" s="7"/>
      <c r="G8" s="7"/>
      <c r="H8" s="7"/>
      <c r="I8" s="14"/>
    </row>
    <row r="9" spans="2:9" x14ac:dyDescent="0.25">
      <c r="B9" s="442" t="s">
        <v>538</v>
      </c>
      <c r="C9" s="432">
        <f>(1006826.53/H$5)</f>
        <v>23219.098058207648</v>
      </c>
      <c r="D9" s="441" t="s">
        <v>532</v>
      </c>
      <c r="E9" s="439" t="s">
        <v>537</v>
      </c>
      <c r="F9" s="439"/>
      <c r="G9" s="439"/>
      <c r="H9" s="439"/>
      <c r="I9" s="14"/>
    </row>
    <row r="10" spans="2:9" x14ac:dyDescent="0.25">
      <c r="B10" s="442" t="s">
        <v>536</v>
      </c>
      <c r="C10" s="432">
        <f>(5577.51/H$5)</f>
        <v>128.62667773626677</v>
      </c>
      <c r="D10" s="441" t="s">
        <v>532</v>
      </c>
      <c r="E10" s="7" t="s">
        <v>535</v>
      </c>
      <c r="F10" s="7"/>
      <c r="G10" s="7"/>
      <c r="H10" s="439"/>
      <c r="I10" s="14"/>
    </row>
    <row r="11" spans="2:9" x14ac:dyDescent="0.25">
      <c r="B11" s="442" t="s">
        <v>534</v>
      </c>
      <c r="C11" s="444">
        <f>C8*C9</f>
        <v>232.19098058207649</v>
      </c>
      <c r="D11" s="441" t="s">
        <v>532</v>
      </c>
      <c r="E11" s="439"/>
      <c r="F11" s="439"/>
      <c r="G11" s="439"/>
      <c r="H11" s="439"/>
      <c r="I11" s="14"/>
    </row>
    <row r="12" spans="2:9" x14ac:dyDescent="0.25">
      <c r="B12" s="442" t="s">
        <v>533</v>
      </c>
      <c r="C12" s="13">
        <f>C8*C10</f>
        <v>1.2862667773626677</v>
      </c>
      <c r="D12" s="441" t="s">
        <v>532</v>
      </c>
      <c r="E12" s="7"/>
      <c r="F12" s="7"/>
      <c r="G12" s="439"/>
      <c r="H12" s="439"/>
      <c r="I12" s="14"/>
    </row>
    <row r="13" spans="2:9" x14ac:dyDescent="0.25">
      <c r="B13" s="441" t="s">
        <v>531</v>
      </c>
      <c r="C13" s="445">
        <v>217</v>
      </c>
      <c r="D13" s="439" t="s">
        <v>55</v>
      </c>
      <c r="E13" s="441" t="s">
        <v>529</v>
      </c>
      <c r="F13" s="439"/>
      <c r="G13" s="439"/>
      <c r="H13" s="439"/>
      <c r="I13" s="14"/>
    </row>
    <row r="14" spans="2:9" x14ac:dyDescent="0.25">
      <c r="B14" s="441" t="s">
        <v>530</v>
      </c>
      <c r="C14" s="445">
        <v>260</v>
      </c>
      <c r="D14" s="439" t="s">
        <v>55</v>
      </c>
      <c r="E14" s="441" t="s">
        <v>529</v>
      </c>
      <c r="F14" s="439"/>
      <c r="G14" s="439"/>
      <c r="H14" s="439"/>
    </row>
    <row r="15" spans="2:9" x14ac:dyDescent="0.25">
      <c r="B15" s="441" t="s">
        <v>528</v>
      </c>
      <c r="C15" s="432">
        <f>(($C$6*$C$11)+($C$7*$C$12))*C13</f>
        <v>2050526.1857562151</v>
      </c>
      <c r="D15" s="441" t="s">
        <v>472</v>
      </c>
      <c r="E15" s="439"/>
      <c r="F15" s="439"/>
      <c r="G15" s="439"/>
      <c r="H15" s="7"/>
    </row>
    <row r="16" spans="2:9" x14ac:dyDescent="0.25">
      <c r="B16" s="441" t="s">
        <v>527</v>
      </c>
      <c r="C16" s="432">
        <f>(($C$6*$C$11)+($C$7*$C$12))*C14</f>
        <v>2456851.6511364789</v>
      </c>
      <c r="D16" s="441" t="s">
        <v>472</v>
      </c>
      <c r="E16" s="439"/>
      <c r="F16" s="439"/>
      <c r="G16" s="7"/>
      <c r="H16" s="7"/>
      <c r="I16" s="25"/>
    </row>
    <row r="18" spans="2:6" x14ac:dyDescent="0.25">
      <c r="B18" s="858"/>
      <c r="C18" s="858"/>
      <c r="D18" s="858"/>
      <c r="E18" s="858"/>
      <c r="F18" s="195"/>
    </row>
    <row r="19" spans="2:6" x14ac:dyDescent="0.25">
      <c r="B19" s="49"/>
      <c r="C19" s="49"/>
      <c r="D19" s="49"/>
      <c r="E19" s="49"/>
      <c r="F19" s="144"/>
    </row>
    <row r="20" spans="2:6" x14ac:dyDescent="0.25">
      <c r="B20" s="194"/>
      <c r="C20" s="144"/>
      <c r="D20" s="194"/>
      <c r="E20" s="49"/>
      <c r="F20" s="49"/>
    </row>
    <row r="21" spans="2:6" x14ac:dyDescent="0.25">
      <c r="B21" s="194"/>
      <c r="C21" s="144"/>
      <c r="D21" s="194"/>
      <c r="E21" s="49"/>
      <c r="F21" s="49"/>
    </row>
    <row r="22" spans="2:6" x14ac:dyDescent="0.25">
      <c r="B22" s="49"/>
      <c r="C22" s="144"/>
      <c r="D22" s="194"/>
      <c r="E22" s="49"/>
      <c r="F22" s="49"/>
    </row>
    <row r="23" spans="2:6" x14ac:dyDescent="0.25">
      <c r="B23" s="49"/>
      <c r="C23" s="49"/>
      <c r="D23" s="49"/>
      <c r="E23" s="194"/>
      <c r="F23" s="49"/>
    </row>
    <row r="24" spans="2:6" x14ac:dyDescent="0.25">
      <c r="B24" s="49"/>
      <c r="C24" s="49"/>
      <c r="D24" s="49"/>
      <c r="E24" s="193"/>
      <c r="F24" s="49"/>
    </row>
    <row r="25" spans="2:6" x14ac:dyDescent="0.25">
      <c r="B25" s="49"/>
      <c r="C25" s="49"/>
      <c r="D25" s="49"/>
      <c r="E25" s="193"/>
      <c r="F25" s="49"/>
    </row>
    <row r="26" spans="2:6" x14ac:dyDescent="0.25">
      <c r="B26" s="49"/>
      <c r="C26" s="49"/>
      <c r="D26" s="49"/>
      <c r="E26" s="192"/>
      <c r="F26" s="191"/>
    </row>
    <row r="27" spans="2:6" x14ac:dyDescent="0.25">
      <c r="B27" s="49"/>
      <c r="C27" s="49"/>
      <c r="D27" s="49"/>
      <c r="E27" s="49"/>
      <c r="F27" s="49"/>
    </row>
    <row r="28" spans="2:6" x14ac:dyDescent="0.25">
      <c r="B28" s="49"/>
      <c r="C28" s="49"/>
      <c r="D28" s="49"/>
      <c r="E28" s="49"/>
      <c r="F28" s="49"/>
    </row>
  </sheetData>
  <mergeCells count="2">
    <mergeCell ref="B18:E18"/>
    <mergeCell ref="B2:E2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94"/>
  <sheetViews>
    <sheetView showGridLines="0" zoomScale="80" zoomScaleNormal="80" workbookViewId="0">
      <selection activeCell="N24" sqref="N24"/>
    </sheetView>
  </sheetViews>
  <sheetFormatPr defaultRowHeight="15" x14ac:dyDescent="0.25"/>
  <cols>
    <col min="1" max="1" width="15.7109375" customWidth="1"/>
    <col min="2" max="2" width="16.85546875" customWidth="1"/>
    <col min="3" max="3" width="15.140625" customWidth="1"/>
    <col min="4" max="4" width="16.140625" customWidth="1"/>
    <col min="5" max="5" width="14.7109375" customWidth="1"/>
    <col min="6" max="6" width="16.28515625" style="22" customWidth="1"/>
    <col min="7" max="7" width="13.7109375" customWidth="1"/>
    <col min="8" max="8" width="17.5703125" customWidth="1"/>
    <col min="9" max="9" width="14.5703125" customWidth="1"/>
    <col min="10" max="10" width="17.7109375" customWidth="1"/>
    <col min="11" max="11" width="16" customWidth="1"/>
    <col min="12" max="12" width="15.5703125" customWidth="1"/>
    <col min="13" max="13" width="19.5703125" customWidth="1"/>
    <col min="14" max="14" width="20.28515625" customWidth="1"/>
    <col min="15" max="15" width="26.28515625" customWidth="1"/>
    <col min="16" max="16" width="23" customWidth="1"/>
    <col min="17" max="17" width="15.140625" customWidth="1"/>
    <col min="18" max="18" width="17.42578125" customWidth="1"/>
  </cols>
  <sheetData>
    <row r="1" spans="1:20" x14ac:dyDescent="0.25">
      <c r="A1" t="s">
        <v>1140</v>
      </c>
      <c r="I1" t="s">
        <v>1141</v>
      </c>
    </row>
    <row r="2" spans="1:20" ht="45" x14ac:dyDescent="0.25">
      <c r="A2" s="7" t="s">
        <v>41</v>
      </c>
      <c r="B2" s="457" t="s">
        <v>1104</v>
      </c>
      <c r="C2" s="457" t="s">
        <v>1105</v>
      </c>
      <c r="D2" s="457" t="s">
        <v>1143</v>
      </c>
      <c r="I2" s="457" t="s">
        <v>1107</v>
      </c>
      <c r="J2" s="457" t="s">
        <v>1108</v>
      </c>
      <c r="K2" s="457" t="s">
        <v>1109</v>
      </c>
      <c r="L2" s="457" t="s">
        <v>1110</v>
      </c>
      <c r="M2" s="457" t="s">
        <v>1111</v>
      </c>
      <c r="N2" s="457" t="s">
        <v>1112</v>
      </c>
      <c r="O2" s="457" t="s">
        <v>1113</v>
      </c>
      <c r="P2" s="457" t="s">
        <v>1114</v>
      </c>
      <c r="Q2" s="457" t="s">
        <v>1115</v>
      </c>
      <c r="R2" s="457" t="s">
        <v>1116</v>
      </c>
    </row>
    <row r="3" spans="1:20" x14ac:dyDescent="0.25">
      <c r="A3" s="7" t="s">
        <v>1086</v>
      </c>
      <c r="B3" s="12">
        <f>F10</f>
        <v>11904527.039999999</v>
      </c>
      <c r="C3" s="12">
        <f>B3/12*1.1</f>
        <v>1091248.3119999999</v>
      </c>
      <c r="D3" s="409">
        <f>B3+C3</f>
        <v>12995775.351999998</v>
      </c>
      <c r="I3" s="409">
        <f>I35</f>
        <v>212662.17822585712</v>
      </c>
      <c r="J3" s="654">
        <v>5.2900000000000003E-2</v>
      </c>
      <c r="K3" s="458">
        <f>I3*(1+J3)</f>
        <v>223912.00745400495</v>
      </c>
      <c r="L3" s="583">
        <v>378</v>
      </c>
      <c r="M3" s="458">
        <f>K3*L3</f>
        <v>84638738.81761387</v>
      </c>
      <c r="N3" s="458">
        <f>M3/(1-0.25)-M3</f>
        <v>28212912.939204618</v>
      </c>
      <c r="O3" s="409">
        <f>O7*K3</f>
        <v>2066707.8288004659</v>
      </c>
      <c r="P3" s="409">
        <f>P7*K3</f>
        <v>1992816.8663406442</v>
      </c>
      <c r="Q3" s="409">
        <f>Q7*I3</f>
        <v>531655.44556464278</v>
      </c>
      <c r="R3" s="408">
        <f>SUM(M3:Q3)</f>
        <v>117442831.89752424</v>
      </c>
    </row>
    <row r="4" spans="1:20" x14ac:dyDescent="0.25">
      <c r="H4" s="459"/>
      <c r="I4" s="460"/>
      <c r="J4" s="461"/>
      <c r="K4" s="461"/>
      <c r="L4" s="461"/>
      <c r="M4" s="461"/>
      <c r="N4" s="461"/>
      <c r="O4" s="460"/>
      <c r="P4" s="460"/>
      <c r="Q4" s="460"/>
      <c r="R4" s="462"/>
    </row>
    <row r="5" spans="1:20" x14ac:dyDescent="0.25">
      <c r="A5" t="s">
        <v>1136</v>
      </c>
      <c r="H5" s="459"/>
      <c r="I5" s="460"/>
      <c r="J5" s="461"/>
      <c r="K5" s="461"/>
      <c r="L5" s="461"/>
      <c r="M5" s="460"/>
      <c r="N5" s="461"/>
      <c r="O5" s="460"/>
      <c r="P5" s="460"/>
      <c r="Q5" s="460"/>
      <c r="R5" s="462"/>
    </row>
    <row r="6" spans="1:20" x14ac:dyDescent="0.25">
      <c r="A6" s="15"/>
      <c r="B6" s="720" t="s">
        <v>1117</v>
      </c>
      <c r="C6" s="721"/>
      <c r="D6" s="720" t="s">
        <v>1118</v>
      </c>
      <c r="E6" s="721"/>
      <c r="F6" s="722" t="s">
        <v>1092</v>
      </c>
      <c r="O6" s="457" t="s">
        <v>1095</v>
      </c>
      <c r="P6" s="457" t="s">
        <v>1094</v>
      </c>
      <c r="Q6" s="457" t="s">
        <v>1093</v>
      </c>
    </row>
    <row r="7" spans="1:20" x14ac:dyDescent="0.25">
      <c r="A7" s="15"/>
      <c r="B7" s="15" t="s">
        <v>1119</v>
      </c>
      <c r="C7" s="15" t="s">
        <v>1120</v>
      </c>
      <c r="D7" s="15" t="s">
        <v>1119</v>
      </c>
      <c r="E7" s="15" t="s">
        <v>1120</v>
      </c>
      <c r="F7" s="723"/>
      <c r="N7" s="3"/>
      <c r="O7" s="647">
        <v>9.23</v>
      </c>
      <c r="P7" s="647">
        <v>8.9</v>
      </c>
      <c r="Q7" s="409">
        <v>2.5</v>
      </c>
      <c r="R7" s="18"/>
      <c r="S7" s="18"/>
    </row>
    <row r="8" spans="1:20" x14ac:dyDescent="0.25">
      <c r="A8" s="7" t="s">
        <v>1335</v>
      </c>
      <c r="B8" s="301">
        <v>4.0419999999999998</v>
      </c>
      <c r="C8" s="301">
        <v>4.1580000000000004</v>
      </c>
      <c r="D8" s="301">
        <v>3.919</v>
      </c>
      <c r="E8" s="301">
        <v>4.0789999999999997</v>
      </c>
      <c r="F8" s="723"/>
      <c r="G8" s="463"/>
      <c r="H8" s="26"/>
      <c r="I8" s="26"/>
      <c r="J8" s="26"/>
      <c r="K8" s="26"/>
      <c r="L8" s="26"/>
      <c r="M8" s="460"/>
      <c r="N8" s="26"/>
      <c r="O8" s="464" t="s">
        <v>1338</v>
      </c>
      <c r="P8" s="18" t="s">
        <v>1337</v>
      </c>
      <c r="Q8" s="18"/>
      <c r="R8" s="18"/>
      <c r="S8" s="18"/>
      <c r="T8" s="18"/>
    </row>
    <row r="9" spans="1:20" x14ac:dyDescent="0.25">
      <c r="A9" s="7" t="s">
        <v>1121</v>
      </c>
      <c r="B9" s="466">
        <v>1000</v>
      </c>
      <c r="C9" s="655">
        <v>116440</v>
      </c>
      <c r="D9" s="466">
        <v>2000</v>
      </c>
      <c r="E9" s="655">
        <v>121600</v>
      </c>
      <c r="F9" s="724"/>
      <c r="G9" s="463"/>
      <c r="H9" s="26"/>
      <c r="I9" s="26"/>
      <c r="J9" s="26"/>
      <c r="K9" s="26"/>
      <c r="L9" s="26"/>
      <c r="M9" s="26"/>
      <c r="N9" s="26"/>
      <c r="O9" s="464"/>
      <c r="P9" s="18"/>
      <c r="Q9" s="18"/>
      <c r="R9" s="18"/>
      <c r="S9" s="18"/>
      <c r="T9" s="18"/>
    </row>
    <row r="10" spans="1:20" x14ac:dyDescent="0.25">
      <c r="A10" s="7" t="s">
        <v>1122</v>
      </c>
      <c r="B10" s="11">
        <f>B9*B8*12</f>
        <v>48504</v>
      </c>
      <c r="C10" s="11">
        <f t="shared" ref="C10:E10" si="0">C9*C8*12</f>
        <v>5809890.2400000002</v>
      </c>
      <c r="D10" s="11">
        <f t="shared" si="0"/>
        <v>94056</v>
      </c>
      <c r="E10" s="11">
        <f t="shared" si="0"/>
        <v>5952076.7999999998</v>
      </c>
      <c r="F10" s="476">
        <f>SUM(B10:E10)</f>
        <v>11904527.039999999</v>
      </c>
      <c r="G10" s="463"/>
      <c r="H10" s="459"/>
      <c r="I10" t="s">
        <v>1142</v>
      </c>
      <c r="J10" s="461"/>
      <c r="K10" s="461"/>
      <c r="L10" s="461"/>
      <c r="M10" s="461"/>
      <c r="N10" s="461"/>
      <c r="O10" s="465"/>
      <c r="P10" s="187"/>
      <c r="Q10" s="18"/>
      <c r="R10" s="18"/>
      <c r="S10" s="18"/>
      <c r="T10" s="18"/>
    </row>
    <row r="11" spans="1:20" ht="45" x14ac:dyDescent="0.25">
      <c r="A11" s="599" t="s">
        <v>1336</v>
      </c>
      <c r="G11" s="463"/>
      <c r="H11" s="459"/>
      <c r="I11" s="457" t="s">
        <v>1091</v>
      </c>
      <c r="J11" s="457" t="s">
        <v>1125</v>
      </c>
      <c r="K11" s="457" t="s">
        <v>1144</v>
      </c>
      <c r="L11" s="457" t="s">
        <v>1145</v>
      </c>
      <c r="M11" s="457" t="s">
        <v>1146</v>
      </c>
      <c r="N11" s="457" t="s">
        <v>1147</v>
      </c>
      <c r="O11" s="465"/>
      <c r="P11" s="18"/>
      <c r="Q11" s="18"/>
      <c r="R11" s="18"/>
      <c r="S11" s="18"/>
      <c r="T11" s="18"/>
    </row>
    <row r="12" spans="1:20" x14ac:dyDescent="0.25">
      <c r="A12" t="s">
        <v>1137</v>
      </c>
      <c r="G12" s="187"/>
      <c r="H12" s="459"/>
      <c r="I12" s="12">
        <f>D3</f>
        <v>12995775.351999998</v>
      </c>
      <c r="J12" s="409">
        <f>C14</f>
        <v>436711.67999999999</v>
      </c>
      <c r="K12" s="600">
        <v>120000</v>
      </c>
      <c r="L12" s="409">
        <f>(2500+700)*12</f>
        <v>38400</v>
      </c>
      <c r="M12" s="600">
        <f>(1352+573.97)*12</f>
        <v>23111.64</v>
      </c>
      <c r="N12" s="408">
        <f>SUM(I12:M12)</f>
        <v>13613998.671999998</v>
      </c>
      <c r="O12" s="465"/>
      <c r="P12" s="18"/>
      <c r="Q12" s="18"/>
      <c r="R12" s="18"/>
      <c r="S12" s="18"/>
      <c r="T12" s="18"/>
    </row>
    <row r="13" spans="1:20" ht="30" x14ac:dyDescent="0.25">
      <c r="A13" s="457" t="s">
        <v>1123</v>
      </c>
      <c r="B13" s="457" t="s">
        <v>1124</v>
      </c>
      <c r="C13" s="457" t="s">
        <v>1125</v>
      </c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</row>
    <row r="14" spans="1:20" x14ac:dyDescent="0.25">
      <c r="A14" s="12"/>
      <c r="B14" s="409"/>
      <c r="C14" s="600">
        <v>436711.67999999999</v>
      </c>
      <c r="E14" s="3"/>
      <c r="F14" s="95"/>
      <c r="G14" s="3"/>
      <c r="H14" s="18"/>
      <c r="I14" s="481"/>
      <c r="J14" s="460"/>
      <c r="K14" s="18"/>
      <c r="L14" s="18"/>
      <c r="M14" s="18"/>
      <c r="N14" s="18"/>
      <c r="O14" s="18"/>
      <c r="P14" s="18"/>
      <c r="Q14" s="18"/>
      <c r="R14" s="18"/>
      <c r="S14" s="18"/>
      <c r="T14" s="18"/>
    </row>
    <row r="15" spans="1:20" x14ac:dyDescent="0.25">
      <c r="A15" s="187"/>
      <c r="B15" s="460"/>
      <c r="C15" s="460"/>
      <c r="F15" s="95"/>
      <c r="G15" s="3"/>
      <c r="H15" s="18"/>
      <c r="I15" s="481"/>
      <c r="J15" s="718"/>
      <c r="K15" s="718"/>
      <c r="L15" s="18"/>
      <c r="M15" s="18"/>
      <c r="N15" s="18"/>
      <c r="O15" s="18"/>
      <c r="P15" s="18"/>
      <c r="Q15" s="18"/>
      <c r="R15" s="18"/>
      <c r="S15" s="18"/>
      <c r="T15" s="18"/>
    </row>
    <row r="16" spans="1:20" x14ac:dyDescent="0.25">
      <c r="A16" s="187" t="s">
        <v>1139</v>
      </c>
      <c r="B16" s="460"/>
      <c r="C16" s="460"/>
      <c r="F16" s="95"/>
      <c r="G16" s="3"/>
      <c r="H16" s="18"/>
      <c r="I16" s="481"/>
      <c r="J16" s="482"/>
      <c r="K16" s="18"/>
      <c r="L16" s="18"/>
      <c r="M16" s="18"/>
      <c r="N16" s="18"/>
      <c r="O16" s="18"/>
      <c r="P16" s="18"/>
      <c r="Q16" s="18"/>
      <c r="R16" s="18"/>
      <c r="S16" s="18"/>
      <c r="T16" s="18"/>
    </row>
    <row r="17" spans="1:20" ht="30" x14ac:dyDescent="0.25">
      <c r="A17" s="7" t="s">
        <v>41</v>
      </c>
      <c r="B17" s="457" t="s">
        <v>1138</v>
      </c>
      <c r="C17" s="457" t="s">
        <v>1106</v>
      </c>
      <c r="D17" s="457" t="s">
        <v>9</v>
      </c>
      <c r="F17" s="95"/>
      <c r="G17" s="3"/>
      <c r="H17" s="18"/>
      <c r="I17" s="481"/>
      <c r="J17" s="459"/>
      <c r="K17" s="18"/>
      <c r="L17" s="18"/>
      <c r="M17" s="482"/>
      <c r="N17" s="482"/>
      <c r="O17" s="18"/>
      <c r="P17" s="18"/>
      <c r="Q17" s="18"/>
      <c r="R17" s="18"/>
      <c r="S17" s="18"/>
      <c r="T17" s="18"/>
    </row>
    <row r="18" spans="1:20" s="18" customFormat="1" x14ac:dyDescent="0.25">
      <c r="A18" s="7" t="s">
        <v>1086</v>
      </c>
      <c r="B18" s="12">
        <f>1352.95*12</f>
        <v>16235.400000000001</v>
      </c>
      <c r="C18" s="12">
        <f>700*12</f>
        <v>8400</v>
      </c>
      <c r="D18" s="12">
        <f>SUM(B3:E3)</f>
        <v>25991550.703999996</v>
      </c>
      <c r="F18" s="185"/>
      <c r="G18" s="187"/>
      <c r="I18" s="481"/>
      <c r="J18" s="187"/>
    </row>
    <row r="19" spans="1:20" s="18" customFormat="1" x14ac:dyDescent="0.25">
      <c r="A19" s="187"/>
      <c r="B19" s="460"/>
      <c r="C19" s="460"/>
      <c r="F19" s="185"/>
      <c r="G19" s="187"/>
      <c r="I19" s="481"/>
      <c r="J19" s="187"/>
    </row>
    <row r="20" spans="1:20" x14ac:dyDescent="0.25">
      <c r="B20" s="3" t="s">
        <v>1250</v>
      </c>
    </row>
    <row r="21" spans="1:20" ht="45" x14ac:dyDescent="0.25">
      <c r="B21" s="584" t="s">
        <v>587</v>
      </c>
      <c r="C21" s="585"/>
      <c r="D21" s="582" t="s">
        <v>1244</v>
      </c>
      <c r="E21" s="582" t="s">
        <v>1245</v>
      </c>
      <c r="F21" s="582" t="s">
        <v>1246</v>
      </c>
      <c r="G21" s="582" t="s">
        <v>1203</v>
      </c>
      <c r="H21" s="582" t="s">
        <v>1247</v>
      </c>
      <c r="I21" s="582" t="s">
        <v>1248</v>
      </c>
    </row>
    <row r="22" spans="1:20" x14ac:dyDescent="0.25">
      <c r="B22" s="584" t="s">
        <v>11</v>
      </c>
      <c r="C22" s="586"/>
      <c r="D22" s="586"/>
      <c r="E22" s="586"/>
      <c r="F22" s="586"/>
      <c r="G22" s="586"/>
      <c r="H22" s="586"/>
      <c r="I22" s="585"/>
    </row>
    <row r="23" spans="1:20" x14ac:dyDescent="0.25">
      <c r="B23" s="581" t="s">
        <v>1205</v>
      </c>
      <c r="C23" s="581" t="s">
        <v>1206</v>
      </c>
      <c r="D23" s="572">
        <v>0.8722876356897008</v>
      </c>
      <c r="E23" s="516">
        <v>16.399999999999999</v>
      </c>
      <c r="F23" s="12">
        <v>42508799.999999993</v>
      </c>
      <c r="G23" s="12">
        <v>476.12903225806446</v>
      </c>
      <c r="H23" s="12">
        <v>5497.6952746916568</v>
      </c>
      <c r="I23" s="12">
        <v>65972.343296299878</v>
      </c>
    </row>
    <row r="24" spans="1:20" x14ac:dyDescent="0.25">
      <c r="B24" s="581" t="s">
        <v>1207</v>
      </c>
      <c r="C24" s="581" t="s">
        <v>1206</v>
      </c>
      <c r="D24" s="572">
        <v>0.79564533035381746</v>
      </c>
      <c r="E24" s="516">
        <v>15.893000000000001</v>
      </c>
      <c r="F24" s="12">
        <v>41194656</v>
      </c>
      <c r="G24" s="12">
        <v>461.40967741935481</v>
      </c>
      <c r="H24" s="12">
        <v>10380.546344856486</v>
      </c>
      <c r="I24" s="12">
        <v>124566.55613827784</v>
      </c>
    </row>
    <row r="25" spans="1:20" x14ac:dyDescent="0.25">
      <c r="B25" s="581" t="s">
        <v>1208</v>
      </c>
      <c r="C25" s="581" t="s">
        <v>1206</v>
      </c>
      <c r="D25" s="572">
        <v>0.83141490047393352</v>
      </c>
      <c r="E25" s="516">
        <v>15.413</v>
      </c>
      <c r="F25" s="12">
        <v>39950496</v>
      </c>
      <c r="G25" s="12">
        <v>499.88108108108105</v>
      </c>
      <c r="H25" s="12">
        <v>15223.432928322643</v>
      </c>
      <c r="I25" s="12">
        <v>182681.19513987174</v>
      </c>
    </row>
    <row r="26" spans="1:20" x14ac:dyDescent="0.25">
      <c r="B26" s="587" t="s">
        <v>1249</v>
      </c>
      <c r="C26" s="588"/>
      <c r="D26" s="588"/>
      <c r="E26" s="588"/>
      <c r="F26" s="588"/>
      <c r="G26" s="589"/>
      <c r="H26" s="12">
        <v>14.58</v>
      </c>
      <c r="I26" s="12">
        <v>174.96</v>
      </c>
    </row>
    <row r="27" spans="1:20" x14ac:dyDescent="0.25">
      <c r="B27" s="590" t="s">
        <v>10</v>
      </c>
      <c r="C27" s="591"/>
      <c r="D27" s="591"/>
      <c r="E27" s="591"/>
      <c r="F27" s="591"/>
      <c r="G27" s="591"/>
      <c r="H27" s="591"/>
      <c r="I27" s="592"/>
    </row>
    <row r="28" spans="1:20" x14ac:dyDescent="0.25">
      <c r="B28" s="581" t="s">
        <v>1210</v>
      </c>
      <c r="C28" s="581" t="s">
        <v>1211</v>
      </c>
      <c r="D28" s="572">
        <v>0.86310232526608388</v>
      </c>
      <c r="E28" s="645">
        <f>M62</f>
        <v>6.36</v>
      </c>
      <c r="F28" s="12">
        <f>N62</f>
        <v>16485120.000000002</v>
      </c>
      <c r="G28" s="12">
        <f>O62</f>
        <v>327.08571428571435</v>
      </c>
      <c r="H28" s="12">
        <f>P62</f>
        <v>3726.7434232599112</v>
      </c>
      <c r="I28" s="12">
        <f>H28*12</f>
        <v>44720.921079118933</v>
      </c>
    </row>
    <row r="29" spans="1:20" x14ac:dyDescent="0.25">
      <c r="B29" s="581" t="s">
        <v>1212</v>
      </c>
      <c r="C29" s="581" t="s">
        <v>1211</v>
      </c>
      <c r="D29" s="572">
        <v>0.86341897271579759</v>
      </c>
      <c r="E29" s="645">
        <f t="shared" ref="E29:E33" si="1">M63</f>
        <v>6.24</v>
      </c>
      <c r="F29" s="12">
        <f t="shared" ref="F29:F33" si="2">N63</f>
        <v>16174079.999999998</v>
      </c>
      <c r="G29" s="12">
        <f t="shared" ref="G29:G33" si="3">O63</f>
        <v>320.91428571428565</v>
      </c>
      <c r="H29" s="12">
        <f t="shared" ref="H29:H33" si="4">P63</f>
        <v>2551.944716692662</v>
      </c>
      <c r="I29" s="12">
        <f t="shared" ref="I29:I33" si="5">H29*12</f>
        <v>30623.336600311944</v>
      </c>
    </row>
    <row r="30" spans="1:20" x14ac:dyDescent="0.25">
      <c r="B30" s="581" t="s">
        <v>1213</v>
      </c>
      <c r="C30" s="581" t="s">
        <v>1211</v>
      </c>
      <c r="D30" s="572">
        <v>0.87449398942138168</v>
      </c>
      <c r="E30" s="645">
        <f t="shared" si="1"/>
        <v>6.06</v>
      </c>
      <c r="F30" s="12">
        <f t="shared" si="2"/>
        <v>15707520</v>
      </c>
      <c r="G30" s="12">
        <f t="shared" si="3"/>
        <v>311.65714285714284</v>
      </c>
      <c r="H30" s="12">
        <f t="shared" si="4"/>
        <v>3557.5845008558908</v>
      </c>
      <c r="I30" s="12">
        <f t="shared" si="5"/>
        <v>42691.014010270694</v>
      </c>
    </row>
    <row r="31" spans="1:20" x14ac:dyDescent="0.25">
      <c r="B31" s="581" t="s">
        <v>1214</v>
      </c>
      <c r="C31" s="581" t="s">
        <v>1211</v>
      </c>
      <c r="D31" s="572">
        <v>0.87410130810147146</v>
      </c>
      <c r="E31" s="645">
        <f t="shared" si="1"/>
        <v>5.85</v>
      </c>
      <c r="F31" s="12">
        <f t="shared" si="2"/>
        <v>15163199.999999996</v>
      </c>
      <c r="G31" s="12">
        <f t="shared" si="3"/>
        <v>300.85714285714278</v>
      </c>
      <c r="H31" s="12">
        <f t="shared" si="4"/>
        <v>3206.9306478606723</v>
      </c>
      <c r="I31" s="12">
        <f t="shared" si="5"/>
        <v>38483.167774328067</v>
      </c>
    </row>
    <row r="32" spans="1:20" x14ac:dyDescent="0.25">
      <c r="B32" s="581" t="s">
        <v>1215</v>
      </c>
      <c r="C32" s="581" t="s">
        <v>1211</v>
      </c>
      <c r="D32" s="572">
        <v>0.88036325051858799</v>
      </c>
      <c r="E32" s="645">
        <f t="shared" si="1"/>
        <v>5.16</v>
      </c>
      <c r="F32" s="12">
        <f t="shared" si="2"/>
        <v>13374720.000000002</v>
      </c>
      <c r="G32" s="12">
        <f t="shared" si="3"/>
        <v>412.80000000000007</v>
      </c>
      <c r="H32" s="12">
        <f t="shared" si="4"/>
        <v>1962.0728500224116</v>
      </c>
      <c r="I32" s="12">
        <f t="shared" si="5"/>
        <v>23544.87420026894</v>
      </c>
    </row>
    <row r="33" spans="2:12" x14ac:dyDescent="0.25">
      <c r="B33" s="581" t="s">
        <v>1216</v>
      </c>
      <c r="C33" s="581" t="s">
        <v>1211</v>
      </c>
      <c r="D33" s="572">
        <v>0.87481026673376938</v>
      </c>
      <c r="E33" s="645">
        <f t="shared" si="1"/>
        <v>4.58</v>
      </c>
      <c r="F33" s="12">
        <f t="shared" si="2"/>
        <v>11871360</v>
      </c>
      <c r="G33" s="12">
        <f t="shared" si="3"/>
        <v>366.4</v>
      </c>
      <c r="H33" s="12">
        <f t="shared" si="4"/>
        <v>2663.1120467965447</v>
      </c>
      <c r="I33" s="12">
        <f t="shared" si="5"/>
        <v>31957.344561558537</v>
      </c>
    </row>
    <row r="34" spans="2:12" x14ac:dyDescent="0.25">
      <c r="B34" s="587" t="s">
        <v>1249</v>
      </c>
      <c r="C34" s="588"/>
      <c r="D34" s="588"/>
      <c r="E34" s="588"/>
      <c r="F34" s="588"/>
      <c r="G34" s="589"/>
      <c r="H34" s="12">
        <v>53.46</v>
      </c>
      <c r="I34" s="12">
        <v>641.52</v>
      </c>
    </row>
    <row r="35" spans="2:12" x14ac:dyDescent="0.25">
      <c r="B35" s="593" t="s">
        <v>146</v>
      </c>
      <c r="C35" s="594"/>
      <c r="D35" s="594"/>
      <c r="E35" s="594"/>
      <c r="F35" s="594"/>
      <c r="G35" s="594"/>
      <c r="H35" s="595"/>
      <c r="I35" s="646">
        <f>SUM(I28:I34)</f>
        <v>212662.17822585712</v>
      </c>
    </row>
    <row r="39" spans="2:12" x14ac:dyDescent="0.25">
      <c r="B39" t="s">
        <v>1251</v>
      </c>
    </row>
    <row r="40" spans="2:12" x14ac:dyDescent="0.25">
      <c r="B40" s="7"/>
      <c r="C40" s="506" t="s">
        <v>1173</v>
      </c>
      <c r="D40" s="411"/>
      <c r="E40" s="411"/>
      <c r="F40" s="411"/>
      <c r="G40" s="411"/>
      <c r="H40" s="411"/>
      <c r="I40" s="411"/>
      <c r="J40" s="411"/>
      <c r="K40" s="411"/>
      <c r="L40" s="411"/>
    </row>
    <row r="41" spans="2:12" x14ac:dyDescent="0.25">
      <c r="B41" s="725" t="s">
        <v>1174</v>
      </c>
      <c r="C41" s="411" t="s">
        <v>617</v>
      </c>
      <c r="D41" s="411" t="s">
        <v>1175</v>
      </c>
      <c r="E41" s="411" t="s">
        <v>1176</v>
      </c>
      <c r="F41" s="411" t="s">
        <v>1177</v>
      </c>
      <c r="G41" s="411"/>
      <c r="H41" s="411" t="s">
        <v>1178</v>
      </c>
      <c r="I41" s="411" t="s">
        <v>1179</v>
      </c>
      <c r="J41" s="411" t="s">
        <v>1180</v>
      </c>
      <c r="K41" s="507" t="s">
        <v>1181</v>
      </c>
      <c r="L41" s="411" t="s">
        <v>1182</v>
      </c>
    </row>
    <row r="42" spans="2:12" x14ac:dyDescent="0.25">
      <c r="B42" s="725"/>
      <c r="C42" s="508">
        <v>41487</v>
      </c>
      <c r="D42" s="509">
        <v>117.3</v>
      </c>
      <c r="E42" s="509">
        <v>91476586.840000004</v>
      </c>
      <c r="F42" s="509">
        <f>E42/31/24/3600</f>
        <v>34.153444907407412</v>
      </c>
      <c r="G42" s="509"/>
      <c r="H42" s="509">
        <v>33210143.52</v>
      </c>
      <c r="I42" s="510">
        <v>0.88300000000000001</v>
      </c>
      <c r="J42" s="510"/>
      <c r="K42" s="577">
        <f>E42*D42*1000*0.736/3600/H42/75</f>
        <v>0.88074718090655346</v>
      </c>
      <c r="L42" s="578">
        <f>H42*100/E42/D42</f>
        <v>0.30950152155129568</v>
      </c>
    </row>
    <row r="43" spans="2:12" x14ac:dyDescent="0.25">
      <c r="B43" s="725"/>
      <c r="C43" s="508">
        <v>41852</v>
      </c>
      <c r="D43" s="509">
        <v>117.3</v>
      </c>
      <c r="E43" s="509">
        <v>57998340</v>
      </c>
      <c r="F43" s="509">
        <f t="shared" ref="F43:F44" si="6">E43/31/24/3600</f>
        <v>21.654099462365593</v>
      </c>
      <c r="G43" s="509"/>
      <c r="H43" s="509">
        <v>21745497.600000001</v>
      </c>
      <c r="I43" s="510">
        <v>0.81</v>
      </c>
      <c r="J43" s="510"/>
      <c r="K43" s="577">
        <f>E43*D43*1000*0.736/3600/H43/75</f>
        <v>0.85282176562379508</v>
      </c>
      <c r="L43" s="578">
        <f>H43*100/E43/D43</f>
        <v>0.31963606415838269</v>
      </c>
    </row>
    <row r="44" spans="2:12" x14ac:dyDescent="0.25">
      <c r="B44" s="725"/>
      <c r="C44" s="508">
        <v>42064</v>
      </c>
      <c r="D44" s="509">
        <v>117.3</v>
      </c>
      <c r="E44" s="509">
        <v>40578902.090000004</v>
      </c>
      <c r="F44" s="509">
        <f t="shared" si="6"/>
        <v>15.150426407556752</v>
      </c>
      <c r="G44" s="509"/>
      <c r="H44" s="509">
        <v>14479191.060000001</v>
      </c>
      <c r="I44" s="510">
        <v>0.89800000000000002</v>
      </c>
      <c r="J44" s="510"/>
      <c r="K44" s="577">
        <f>E44*D44*1000*0.736/3600/H44/75</f>
        <v>0.89612389098113676</v>
      </c>
      <c r="L44" s="578">
        <f>H44*100/E44/D44</f>
        <v>0.30419074341845737</v>
      </c>
    </row>
    <row r="45" spans="2:12" x14ac:dyDescent="0.25">
      <c r="B45" s="7"/>
      <c r="C45" s="411"/>
      <c r="D45" s="411"/>
      <c r="E45" s="411"/>
      <c r="F45" s="411"/>
      <c r="G45" s="411"/>
      <c r="H45" s="411"/>
      <c r="I45" s="411"/>
      <c r="J45" s="411"/>
      <c r="K45" s="579"/>
      <c r="L45" s="580"/>
    </row>
    <row r="46" spans="2:12" x14ac:dyDescent="0.25">
      <c r="B46" s="7"/>
      <c r="C46" s="506" t="s">
        <v>1183</v>
      </c>
      <c r="D46" s="411" t="s">
        <v>1175</v>
      </c>
      <c r="E46" s="411" t="s">
        <v>1184</v>
      </c>
      <c r="F46" s="411" t="s">
        <v>1185</v>
      </c>
      <c r="G46" s="411"/>
      <c r="H46" s="411"/>
      <c r="I46" s="411"/>
      <c r="J46" s="411"/>
      <c r="K46" s="579" t="s">
        <v>1181</v>
      </c>
      <c r="L46" s="580"/>
    </row>
    <row r="47" spans="2:12" x14ac:dyDescent="0.25">
      <c r="B47" s="7"/>
      <c r="C47" s="411" t="s">
        <v>1186</v>
      </c>
      <c r="D47" s="509">
        <v>242.22</v>
      </c>
      <c r="E47" s="509">
        <v>2.5788899999999999</v>
      </c>
      <c r="F47" s="509">
        <v>7736.48</v>
      </c>
      <c r="G47" s="509"/>
      <c r="H47" s="411"/>
      <c r="I47" s="411"/>
      <c r="J47" s="411"/>
      <c r="K47" s="577">
        <f>E47*D47*1000*0.736/F47/75</f>
        <v>0.79234799210803863</v>
      </c>
      <c r="L47" s="580"/>
    </row>
    <row r="48" spans="2:12" x14ac:dyDescent="0.25">
      <c r="B48" s="7"/>
      <c r="C48" s="411" t="s">
        <v>1187</v>
      </c>
      <c r="D48" s="509">
        <v>233.31</v>
      </c>
      <c r="E48" s="509">
        <v>1.3522000000000001</v>
      </c>
      <c r="F48" s="509">
        <v>3846.24</v>
      </c>
      <c r="G48" s="509"/>
      <c r="H48" s="411"/>
      <c r="I48" s="411"/>
      <c r="J48" s="411"/>
      <c r="K48" s="577">
        <f>E48*D48*1000*0.736/F48/75</f>
        <v>0.80492322043346232</v>
      </c>
      <c r="L48" s="580"/>
    </row>
    <row r="49" spans="2:18" x14ac:dyDescent="0.25">
      <c r="B49" s="7"/>
      <c r="C49" s="411" t="s">
        <v>1188</v>
      </c>
      <c r="D49" s="509">
        <v>240.42</v>
      </c>
      <c r="E49" s="509">
        <v>2.5923500000000002</v>
      </c>
      <c r="F49" s="509">
        <v>7576.38</v>
      </c>
      <c r="G49" s="509"/>
      <c r="H49" s="411"/>
      <c r="I49" s="411"/>
      <c r="J49" s="411"/>
      <c r="K49" s="577">
        <f>E49*D49*1000*0.736/F49/75</f>
        <v>0.80727040483185908</v>
      </c>
      <c r="L49" s="580"/>
      <c r="M49" s="511" t="s">
        <v>1189</v>
      </c>
      <c r="N49" s="511" t="s">
        <v>17</v>
      </c>
      <c r="O49" s="503" t="s">
        <v>19</v>
      </c>
      <c r="P49" s="503" t="s">
        <v>18</v>
      </c>
      <c r="Q49" s="503" t="s">
        <v>20</v>
      </c>
      <c r="R49" s="503" t="s">
        <v>1190</v>
      </c>
    </row>
    <row r="50" spans="2:18" x14ac:dyDescent="0.25">
      <c r="B50" s="7"/>
      <c r="C50" s="411" t="s">
        <v>1191</v>
      </c>
      <c r="D50" s="509">
        <v>233.51</v>
      </c>
      <c r="E50" s="509">
        <v>1.3401400000000001</v>
      </c>
      <c r="F50" s="509">
        <v>3786.38</v>
      </c>
      <c r="G50" s="509"/>
      <c r="H50" s="411"/>
      <c r="I50" s="411"/>
      <c r="J50" s="411"/>
      <c r="K50" s="577">
        <f>E50*D50*1000*0.736/F50/75</f>
        <v>0.81105070725565498</v>
      </c>
      <c r="L50" s="580"/>
      <c r="M50" s="511" t="s">
        <v>11</v>
      </c>
      <c r="N50" s="511">
        <v>11.41</v>
      </c>
      <c r="O50" s="511">
        <v>0.76</v>
      </c>
      <c r="P50" s="511">
        <v>1.28</v>
      </c>
      <c r="Q50" s="511">
        <v>2.95</v>
      </c>
      <c r="R50" s="512">
        <f>SUM(N50:Q50)</f>
        <v>16.399999999999999</v>
      </c>
    </row>
    <row r="51" spans="2:18" x14ac:dyDescent="0.25">
      <c r="B51" s="7"/>
      <c r="C51" s="411" t="s">
        <v>1192</v>
      </c>
      <c r="D51" s="509">
        <v>237.2</v>
      </c>
      <c r="E51" s="509">
        <v>2.5401400000000001</v>
      </c>
      <c r="F51" s="509">
        <v>7495.17</v>
      </c>
      <c r="G51" s="509"/>
      <c r="H51" s="411"/>
      <c r="I51" s="411"/>
      <c r="J51" s="411"/>
      <c r="K51" s="577">
        <f>E51*D51*1000*0.736/F51/75</f>
        <v>0.78887356184138135</v>
      </c>
      <c r="L51" s="580"/>
      <c r="M51" s="511" t="s">
        <v>10</v>
      </c>
      <c r="N51" s="511">
        <v>0</v>
      </c>
      <c r="O51" s="511">
        <v>5.33</v>
      </c>
      <c r="P51" s="511">
        <v>4.67</v>
      </c>
      <c r="Q51" s="511">
        <v>0</v>
      </c>
      <c r="R51" s="512">
        <f>SUM(N51:Q51)</f>
        <v>10</v>
      </c>
    </row>
    <row r="52" spans="2:18" x14ac:dyDescent="0.25">
      <c r="B52" s="7"/>
      <c r="C52" s="411"/>
      <c r="D52" s="509"/>
      <c r="E52" s="509"/>
      <c r="F52" s="509"/>
      <c r="G52" s="509"/>
      <c r="H52" s="411"/>
      <c r="I52" s="411"/>
      <c r="J52" s="411"/>
      <c r="K52" s="579"/>
      <c r="L52" s="580"/>
      <c r="M52" s="511" t="s">
        <v>9</v>
      </c>
      <c r="N52" s="511">
        <f>SUM(N50:N51)</f>
        <v>11.41</v>
      </c>
      <c r="O52" s="511">
        <f t="shared" ref="O52:Q52" si="7">SUM(O50:O51)</f>
        <v>6.09</v>
      </c>
      <c r="P52" s="511">
        <f t="shared" si="7"/>
        <v>5.95</v>
      </c>
      <c r="Q52" s="511">
        <f t="shared" si="7"/>
        <v>2.95</v>
      </c>
      <c r="R52" s="512">
        <f>SUM(R50:R51)</f>
        <v>26.4</v>
      </c>
    </row>
    <row r="53" spans="2:18" x14ac:dyDescent="0.25">
      <c r="B53" s="7"/>
      <c r="C53" s="506" t="s">
        <v>1193</v>
      </c>
      <c r="D53" s="509"/>
      <c r="E53" s="509"/>
      <c r="F53" s="509"/>
      <c r="G53" s="509"/>
      <c r="H53" s="411"/>
      <c r="I53" s="411"/>
      <c r="J53" s="411"/>
      <c r="K53" s="579"/>
      <c r="L53" s="580"/>
      <c r="N53" s="513"/>
      <c r="O53" s="513"/>
      <c r="P53" s="513"/>
      <c r="Q53" s="513"/>
      <c r="R53" s="513"/>
    </row>
    <row r="54" spans="2:18" x14ac:dyDescent="0.25">
      <c r="B54" s="7"/>
      <c r="C54" s="411" t="s">
        <v>1194</v>
      </c>
      <c r="D54" s="509">
        <v>234.35</v>
      </c>
      <c r="E54" s="509">
        <v>2.5992000000000002</v>
      </c>
      <c r="F54" s="509">
        <v>7878.06</v>
      </c>
      <c r="G54" s="509"/>
      <c r="H54" s="411"/>
      <c r="I54" s="411"/>
      <c r="J54" s="411"/>
      <c r="K54" s="577">
        <f>E54*D54*1000*0.736/F54/75</f>
        <v>0.75875562379570605</v>
      </c>
      <c r="L54" s="580"/>
      <c r="P54" s="569"/>
      <c r="Q54" s="569"/>
      <c r="R54" s="18"/>
    </row>
    <row r="55" spans="2:18" x14ac:dyDescent="0.25">
      <c r="F55"/>
      <c r="K55" s="2"/>
    </row>
    <row r="56" spans="2:18" ht="70.5" customHeight="1" x14ac:dyDescent="0.25">
      <c r="B56" s="507" t="s">
        <v>24</v>
      </c>
      <c r="C56" s="507" t="s">
        <v>744</v>
      </c>
      <c r="D56" s="507" t="s">
        <v>1195</v>
      </c>
      <c r="E56" s="507" t="s">
        <v>1196</v>
      </c>
      <c r="F56" s="507" t="s">
        <v>1185</v>
      </c>
      <c r="G56" s="507" t="s">
        <v>1197</v>
      </c>
      <c r="H56" s="507" t="s">
        <v>1198</v>
      </c>
      <c r="I56" s="507" t="s">
        <v>1199</v>
      </c>
      <c r="J56" s="507" t="s">
        <v>1180</v>
      </c>
      <c r="K56" s="514" t="s">
        <v>1200</v>
      </c>
      <c r="L56" s="507" t="s">
        <v>1182</v>
      </c>
      <c r="M56" s="582" t="s">
        <v>1201</v>
      </c>
      <c r="N56" s="582" t="s">
        <v>1202</v>
      </c>
      <c r="O56" s="507" t="s">
        <v>1203</v>
      </c>
      <c r="P56" s="507" t="s">
        <v>1204</v>
      </c>
      <c r="Q56" s="521"/>
    </row>
    <row r="57" spans="2:18" x14ac:dyDescent="0.25">
      <c r="B57" s="411" t="s">
        <v>1205</v>
      </c>
      <c r="C57" s="411" t="s">
        <v>1206</v>
      </c>
      <c r="D57" s="11">
        <v>36.1</v>
      </c>
      <c r="E57" s="11">
        <f>44640/3600</f>
        <v>12.4</v>
      </c>
      <c r="F57" s="11">
        <v>5036</v>
      </c>
      <c r="G57" s="11">
        <f>F57/K57</f>
        <v>5773.3249835854122</v>
      </c>
      <c r="H57" s="495">
        <v>0.97</v>
      </c>
      <c r="I57" s="575">
        <v>0.87</v>
      </c>
      <c r="J57" s="575">
        <f>H57*I57</f>
        <v>0.84389999999999998</v>
      </c>
      <c r="K57" s="515">
        <f>E57*D57*1000*0.736/F57/75</f>
        <v>0.8722876356897008</v>
      </c>
      <c r="L57" s="485">
        <f>P57*1000/D57/N57*100</f>
        <v>0.35825694404639474</v>
      </c>
      <c r="M57" s="516">
        <v>16.399999999999999</v>
      </c>
      <c r="N57" s="12">
        <f>M57*24*30*3600</f>
        <v>42508799.999999993</v>
      </c>
      <c r="O57" s="12">
        <f>N57/E57/2/3600</f>
        <v>476.12903225806446</v>
      </c>
      <c r="P57" s="11">
        <f>O57*F57*2/1000/K57</f>
        <v>5497.6952746916568</v>
      </c>
      <c r="Q57" s="187"/>
    </row>
    <row r="58" spans="2:18" x14ac:dyDescent="0.25">
      <c r="B58" s="411" t="s">
        <v>1207</v>
      </c>
      <c r="C58" s="411" t="s">
        <v>1206</v>
      </c>
      <c r="D58" s="11">
        <v>58.52</v>
      </c>
      <c r="E58" s="11">
        <v>12.4</v>
      </c>
      <c r="F58" s="11">
        <v>8950</v>
      </c>
      <c r="G58" s="11">
        <f t="shared" ref="G58:G59" si="8">F58/K58</f>
        <v>11248.730632303219</v>
      </c>
      <c r="H58" s="495">
        <v>0.97</v>
      </c>
      <c r="I58" s="575">
        <v>0.87</v>
      </c>
      <c r="J58" s="575">
        <f t="shared" ref="J58:J59" si="9">H58*I58</f>
        <v>0.84389999999999998</v>
      </c>
      <c r="K58" s="515">
        <f>E58*D58*1000*0.736/F58/75</f>
        <v>0.79564533035381746</v>
      </c>
      <c r="L58" s="485">
        <f>P58*1000/D58/N58*100</f>
        <v>0.43060097979488743</v>
      </c>
      <c r="M58" s="516">
        <v>15.893000000000001</v>
      </c>
      <c r="N58" s="12">
        <f t="shared" ref="N58:N59" si="10">M58*24*30*3600</f>
        <v>41194656</v>
      </c>
      <c r="O58" s="12">
        <f>N58/E58/2/3600</f>
        <v>461.40967741935481</v>
      </c>
      <c r="P58" s="11">
        <f>O58*F58*2/1000/K58</f>
        <v>10380.546344856486</v>
      </c>
      <c r="Q58" s="187"/>
    </row>
    <row r="59" spans="2:18" x14ac:dyDescent="0.25">
      <c r="B59" s="411" t="s">
        <v>1208</v>
      </c>
      <c r="C59" s="411" t="s">
        <v>1206</v>
      </c>
      <c r="D59" s="11">
        <v>96.63</v>
      </c>
      <c r="E59" s="11">
        <v>11.1</v>
      </c>
      <c r="F59" s="11">
        <v>12660</v>
      </c>
      <c r="G59" s="11">
        <f t="shared" si="8"/>
        <v>15227.054498041096</v>
      </c>
      <c r="H59" s="495">
        <v>0.97</v>
      </c>
      <c r="I59" s="575">
        <v>0.87</v>
      </c>
      <c r="J59" s="575">
        <f t="shared" si="9"/>
        <v>0.84389999999999998</v>
      </c>
      <c r="K59" s="515">
        <f>E59*D59*1000*0.736/F59/75</f>
        <v>0.83141490047393352</v>
      </c>
      <c r="L59" s="485">
        <f>P59*1000/D59/N59*100</f>
        <v>0.39434691076363276</v>
      </c>
      <c r="M59" s="516">
        <v>15.413</v>
      </c>
      <c r="N59" s="12">
        <f t="shared" si="10"/>
        <v>39950496</v>
      </c>
      <c r="O59" s="12">
        <f>N59/E59/2/3600</f>
        <v>499.88108108108105</v>
      </c>
      <c r="P59" s="11">
        <f>O59*F59*2/1000/K59</f>
        <v>15223.432928322643</v>
      </c>
      <c r="Q59" s="187"/>
    </row>
    <row r="60" spans="2:18" x14ac:dyDescent="0.25">
      <c r="B60" s="719" t="s">
        <v>1209</v>
      </c>
      <c r="C60" s="719"/>
      <c r="D60" s="11">
        <f>SUM(D57:D59)</f>
        <v>191.25</v>
      </c>
      <c r="E60" s="11"/>
      <c r="F60" s="11">
        <f>3*30+3*15</f>
        <v>135</v>
      </c>
      <c r="G60" s="11">
        <f>F60</f>
        <v>135</v>
      </c>
      <c r="H60" s="494"/>
      <c r="I60" s="575"/>
      <c r="J60" s="575"/>
      <c r="K60" s="515"/>
      <c r="L60" s="485"/>
      <c r="M60" s="516"/>
      <c r="N60" s="12"/>
      <c r="O60" s="12"/>
      <c r="P60" s="11">
        <f>F60*30*24*0.15/1000</f>
        <v>14.58</v>
      </c>
      <c r="Q60" s="187"/>
    </row>
    <row r="61" spans="2:18" x14ac:dyDescent="0.25">
      <c r="B61" s="411"/>
      <c r="C61" s="411"/>
      <c r="D61" s="11"/>
      <c r="E61" s="494" t="s">
        <v>146</v>
      </c>
      <c r="F61" s="494">
        <f>SUM(F57:F59)*2+F60</f>
        <v>53427</v>
      </c>
      <c r="G61" s="517">
        <f>SUM(G57:G59)*2+G60</f>
        <v>64633.220227859456</v>
      </c>
      <c r="H61" s="494"/>
      <c r="I61" s="575"/>
      <c r="J61" s="575"/>
      <c r="K61" s="515"/>
      <c r="L61" s="485"/>
      <c r="M61" s="516"/>
      <c r="N61" s="12"/>
      <c r="O61" s="12"/>
      <c r="P61" s="11"/>
      <c r="Q61" s="187"/>
    </row>
    <row r="62" spans="2:18" x14ac:dyDescent="0.25">
      <c r="B62" s="411" t="s">
        <v>1210</v>
      </c>
      <c r="C62" s="411" t="s">
        <v>1211</v>
      </c>
      <c r="D62" s="11">
        <v>61.78</v>
      </c>
      <c r="E62" s="494">
        <f>25200/3600</f>
        <v>7</v>
      </c>
      <c r="F62" s="494">
        <v>4917</v>
      </c>
      <c r="G62" s="11">
        <f>F62/K62</f>
        <v>5696.8911519084941</v>
      </c>
      <c r="H62" s="576">
        <v>0.97399999999999998</v>
      </c>
      <c r="I62" s="575">
        <v>0.86</v>
      </c>
      <c r="J62" s="575">
        <f t="shared" ref="J62:J67" si="11">H62*I62</f>
        <v>0.83763999999999994</v>
      </c>
      <c r="K62" s="515">
        <f t="shared" ref="K62:K67" si="12">E62*D62*1000*0.736/F62/75</f>
        <v>0.86310232526608388</v>
      </c>
      <c r="L62" s="485">
        <f t="shared" ref="L62:L67" si="13">P62*1000/D62/N62*100</f>
        <v>0.36592280544305278</v>
      </c>
      <c r="M62" s="645">
        <v>6.36</v>
      </c>
      <c r="N62" s="12">
        <f>M62*24*30*3600</f>
        <v>16485120.000000002</v>
      </c>
      <c r="O62" s="12">
        <f t="shared" ref="O62:O67" si="14">N62/E62/2/3600</f>
        <v>327.08571428571435</v>
      </c>
      <c r="P62" s="11">
        <f t="shared" ref="P62:P67" si="15">O62*F62*2/1000/K62</f>
        <v>3726.7434232599112</v>
      </c>
      <c r="Q62" s="187"/>
    </row>
    <row r="63" spans="2:18" x14ac:dyDescent="0.25">
      <c r="B63" s="411" t="s">
        <v>1212</v>
      </c>
      <c r="C63" s="411" t="s">
        <v>1211</v>
      </c>
      <c r="D63" s="11">
        <v>43.15</v>
      </c>
      <c r="E63" s="494">
        <f>25200/3600</f>
        <v>7</v>
      </c>
      <c r="F63" s="494">
        <v>3433</v>
      </c>
      <c r="G63" s="11">
        <f t="shared" ref="G63:G67" si="16">F63/K63</f>
        <v>3976.05346706923</v>
      </c>
      <c r="H63" s="576">
        <v>0.97199999999999998</v>
      </c>
      <c r="I63" s="575">
        <v>0.86</v>
      </c>
      <c r="J63" s="575">
        <f t="shared" si="11"/>
        <v>0.83592</v>
      </c>
      <c r="K63" s="515">
        <f t="shared" si="12"/>
        <v>0.86341897271579759</v>
      </c>
      <c r="L63" s="485">
        <f t="shared" si="13"/>
        <v>0.36565445999275598</v>
      </c>
      <c r="M63" s="645">
        <v>6.24</v>
      </c>
      <c r="N63" s="12">
        <f t="shared" ref="N63:N67" si="17">M63*24*30*3600</f>
        <v>16174079.999999998</v>
      </c>
      <c r="O63" s="12">
        <f t="shared" si="14"/>
        <v>320.91428571428565</v>
      </c>
      <c r="P63" s="11">
        <f t="shared" si="15"/>
        <v>2551.944716692662</v>
      </c>
      <c r="Q63" s="187"/>
    </row>
    <row r="64" spans="2:18" x14ac:dyDescent="0.25">
      <c r="B64" s="411" t="s">
        <v>1213</v>
      </c>
      <c r="C64" s="411" t="s">
        <v>1211</v>
      </c>
      <c r="D64" s="11">
        <v>63.54</v>
      </c>
      <c r="E64" s="494">
        <v>7</v>
      </c>
      <c r="F64" s="494">
        <v>4991.2</v>
      </c>
      <c r="G64" s="11">
        <f t="shared" si="16"/>
        <v>5707.529223045296</v>
      </c>
      <c r="H64" s="576">
        <v>0.97599999999999998</v>
      </c>
      <c r="I64" s="575">
        <v>0.88</v>
      </c>
      <c r="J64" s="575">
        <f t="shared" si="11"/>
        <v>0.85887999999999998</v>
      </c>
      <c r="K64" s="515">
        <f t="shared" si="12"/>
        <v>0.87449398942138168</v>
      </c>
      <c r="L64" s="485">
        <f t="shared" si="13"/>
        <v>0.35645145559135955</v>
      </c>
      <c r="M64" s="645">
        <v>6.06</v>
      </c>
      <c r="N64" s="12">
        <f t="shared" si="17"/>
        <v>15707520</v>
      </c>
      <c r="O64" s="12">
        <f t="shared" si="14"/>
        <v>311.65714285714284</v>
      </c>
      <c r="P64" s="11">
        <f t="shared" si="15"/>
        <v>3557.5845008558908</v>
      </c>
      <c r="Q64" s="187"/>
    </row>
    <row r="65" spans="2:18" x14ac:dyDescent="0.25">
      <c r="B65" s="411" t="s">
        <v>1214</v>
      </c>
      <c r="C65" s="411" t="s">
        <v>1211</v>
      </c>
      <c r="D65" s="11">
        <v>59.28</v>
      </c>
      <c r="E65" s="494">
        <v>7</v>
      </c>
      <c r="F65" s="476">
        <v>4658.66</v>
      </c>
      <c r="G65" s="11">
        <f t="shared" si="16"/>
        <v>5329.6568221806065</v>
      </c>
      <c r="H65" s="576">
        <v>0.97599999999999998</v>
      </c>
      <c r="I65" s="575">
        <v>0.88</v>
      </c>
      <c r="J65" s="575">
        <f t="shared" si="11"/>
        <v>0.85887999999999998</v>
      </c>
      <c r="K65" s="515">
        <f t="shared" si="12"/>
        <v>0.87410130810147146</v>
      </c>
      <c r="L65" s="485">
        <f t="shared" si="13"/>
        <v>0.35677179207236881</v>
      </c>
      <c r="M65" s="645">
        <v>5.85</v>
      </c>
      <c r="N65" s="12">
        <f t="shared" si="17"/>
        <v>15163199.999999996</v>
      </c>
      <c r="O65" s="12">
        <f t="shared" si="14"/>
        <v>300.85714285714278</v>
      </c>
      <c r="P65" s="11">
        <f t="shared" si="15"/>
        <v>3206.9306478606723</v>
      </c>
      <c r="Q65" s="187"/>
    </row>
    <row r="66" spans="2:18" x14ac:dyDescent="0.25">
      <c r="B66" s="411" t="s">
        <v>1215</v>
      </c>
      <c r="C66" s="411" t="s">
        <v>1211</v>
      </c>
      <c r="D66" s="11">
        <v>41.71</v>
      </c>
      <c r="E66" s="494">
        <v>4.5</v>
      </c>
      <c r="F66" s="476">
        <v>2092.2199999999998</v>
      </c>
      <c r="G66" s="11">
        <f t="shared" si="16"/>
        <v>2376.5417272558275</v>
      </c>
      <c r="H66" s="576">
        <v>0.97</v>
      </c>
      <c r="I66" s="575">
        <v>0.88</v>
      </c>
      <c r="J66" s="575">
        <f t="shared" si="11"/>
        <v>0.85360000000000003</v>
      </c>
      <c r="K66" s="515">
        <f t="shared" si="12"/>
        <v>0.88036325051858799</v>
      </c>
      <c r="L66" s="485">
        <f t="shared" si="13"/>
        <v>0.35171447283800072</v>
      </c>
      <c r="M66" s="645">
        <v>5.16</v>
      </c>
      <c r="N66" s="12">
        <f t="shared" si="17"/>
        <v>13374720.000000002</v>
      </c>
      <c r="O66" s="12">
        <f t="shared" si="14"/>
        <v>412.80000000000007</v>
      </c>
      <c r="P66" s="11">
        <f t="shared" si="15"/>
        <v>1962.0728500224116</v>
      </c>
      <c r="Q66" s="187"/>
    </row>
    <row r="67" spans="2:18" x14ac:dyDescent="0.25">
      <c r="B67" s="411" t="s">
        <v>1216</v>
      </c>
      <c r="C67" s="411" t="s">
        <v>1211</v>
      </c>
      <c r="D67" s="11">
        <v>62.98</v>
      </c>
      <c r="E67" s="494">
        <v>4.5</v>
      </c>
      <c r="F67" s="476">
        <v>3179.2</v>
      </c>
      <c r="G67" s="11">
        <f t="shared" si="16"/>
        <v>3634.1594525062019</v>
      </c>
      <c r="H67" s="576">
        <v>0.97</v>
      </c>
      <c r="I67" s="575">
        <v>0.88</v>
      </c>
      <c r="J67" s="575">
        <f t="shared" si="11"/>
        <v>0.85360000000000003</v>
      </c>
      <c r="K67" s="515">
        <f t="shared" si="12"/>
        <v>0.87481026673376938</v>
      </c>
      <c r="L67" s="485">
        <f t="shared" si="13"/>
        <v>0.35619376056147578</v>
      </c>
      <c r="M67" s="645">
        <v>4.58</v>
      </c>
      <c r="N67" s="12">
        <f t="shared" si="17"/>
        <v>11871360</v>
      </c>
      <c r="O67" s="12">
        <f t="shared" si="14"/>
        <v>366.4</v>
      </c>
      <c r="P67" s="11">
        <f t="shared" si="15"/>
        <v>2663.1120467965447</v>
      </c>
      <c r="Q67" s="187"/>
    </row>
    <row r="68" spans="2:18" x14ac:dyDescent="0.25">
      <c r="B68" s="570" t="s">
        <v>1217</v>
      </c>
      <c r="C68" s="571"/>
      <c r="D68" s="11">
        <f>SUM(D62:D67)</f>
        <v>332.44</v>
      </c>
      <c r="E68" s="494"/>
      <c r="F68" s="476">
        <f>16*30+15</f>
        <v>495</v>
      </c>
      <c r="G68" s="12">
        <f>F68</f>
        <v>495</v>
      </c>
      <c r="H68" s="518"/>
      <c r="I68" s="485"/>
      <c r="J68" s="485"/>
      <c r="K68" s="515"/>
      <c r="L68" s="11"/>
      <c r="M68" s="476"/>
      <c r="N68" s="12"/>
      <c r="O68" s="12"/>
      <c r="P68" s="11">
        <f>F68*30*24*0.15/1000</f>
        <v>53.46</v>
      </c>
      <c r="Q68" s="187"/>
    </row>
    <row r="69" spans="2:18" ht="18.75" x14ac:dyDescent="0.3">
      <c r="E69" s="494" t="s">
        <v>146</v>
      </c>
      <c r="F69" s="476">
        <f>SUM(F62:F67)*2+F68</f>
        <v>47037.560000000005</v>
      </c>
      <c r="G69" s="519">
        <f>SUM(G62:G67)*2+G68</f>
        <v>53936.663687931316</v>
      </c>
      <c r="H69" s="400"/>
      <c r="I69" s="520"/>
      <c r="J69" s="520"/>
      <c r="M69" s="3"/>
      <c r="N69" s="3"/>
      <c r="O69" s="573" t="s">
        <v>1218</v>
      </c>
      <c r="P69" s="574">
        <f>SUM(P57:P68)</f>
        <v>48838.102733358879</v>
      </c>
      <c r="Q69" s="532"/>
      <c r="R69" s="521"/>
    </row>
    <row r="70" spans="2:18" ht="19.5" thickBot="1" x14ac:dyDescent="0.35">
      <c r="D70" s="522"/>
      <c r="E70" s="484"/>
      <c r="F70" s="185"/>
      <c r="G70" s="400"/>
      <c r="H70" s="520"/>
      <c r="I70" s="520"/>
      <c r="K70" s="523"/>
      <c r="L70" s="523"/>
      <c r="M70" s="524"/>
      <c r="O70" s="525" t="s">
        <v>1219</v>
      </c>
      <c r="P70" s="574">
        <f>P69*12</f>
        <v>586057.23280030652</v>
      </c>
      <c r="Q70" s="526"/>
    </row>
    <row r="71" spans="2:18" ht="18.75" x14ac:dyDescent="0.3">
      <c r="B71" s="607" t="s">
        <v>1220</v>
      </c>
      <c r="C71" s="608"/>
      <c r="D71" s="608"/>
      <c r="E71" s="609"/>
      <c r="F71" s="187"/>
      <c r="G71" s="527"/>
      <c r="H71" s="520"/>
      <c r="I71" s="520"/>
      <c r="K71" s="523"/>
      <c r="L71" s="528"/>
      <c r="M71" s="529"/>
      <c r="N71" s="530"/>
      <c r="O71" s="531"/>
      <c r="P71" s="532"/>
      <c r="Q71" s="526"/>
    </row>
    <row r="72" spans="2:18" ht="18.75" x14ac:dyDescent="0.3">
      <c r="B72" s="610" t="s">
        <v>1221</v>
      </c>
      <c r="C72" s="611"/>
      <c r="D72" s="611"/>
      <c r="E72" s="612"/>
      <c r="F72" s="187"/>
      <c r="G72" s="533"/>
      <c r="H72" s="520"/>
      <c r="I72" s="520"/>
      <c r="K72" s="523"/>
      <c r="L72" s="523"/>
      <c r="M72" s="529"/>
      <c r="N72" s="530"/>
      <c r="O72" s="530"/>
      <c r="P72" s="532"/>
      <c r="Q72" s="521"/>
    </row>
    <row r="73" spans="2:18" ht="19.5" thickBot="1" x14ac:dyDescent="0.35">
      <c r="B73" s="613" t="s">
        <v>1222</v>
      </c>
      <c r="C73" s="614"/>
      <c r="D73" s="614"/>
      <c r="E73" s="615"/>
      <c r="F73" s="187"/>
      <c r="G73" s="534"/>
      <c r="H73" s="520"/>
      <c r="I73" s="520"/>
      <c r="K73" s="523"/>
      <c r="L73" s="523"/>
      <c r="M73" s="529"/>
      <c r="N73" s="530"/>
      <c r="O73" s="535"/>
      <c r="P73" s="532"/>
      <c r="Q73" s="526"/>
    </row>
    <row r="74" spans="2:18" ht="18.75" x14ac:dyDescent="0.3">
      <c r="E74" s="486"/>
      <c r="F74" s="536"/>
      <c r="G74" s="537"/>
      <c r="H74" s="520"/>
      <c r="I74" s="520"/>
      <c r="K74" s="538"/>
      <c r="L74" s="529"/>
      <c r="M74" s="49"/>
      <c r="N74" s="18"/>
      <c r="O74" s="539"/>
      <c r="P74" s="540"/>
    </row>
    <row r="75" spans="2:18" x14ac:dyDescent="0.25">
      <c r="E75" s="484"/>
      <c r="F75" s="3"/>
      <c r="G75" s="400"/>
      <c r="H75" s="520"/>
      <c r="I75" s="520"/>
      <c r="L75" s="3"/>
      <c r="M75" s="18"/>
      <c r="N75" s="18"/>
      <c r="O75" s="185"/>
      <c r="P75" s="187"/>
    </row>
    <row r="76" spans="2:18" ht="15.75" thickBot="1" x14ac:dyDescent="0.3">
      <c r="E76" s="484"/>
      <c r="F76" s="3"/>
      <c r="G76" s="400"/>
      <c r="H76" s="520"/>
      <c r="I76" s="520"/>
      <c r="O76" s="95"/>
      <c r="Q76" s="541"/>
    </row>
    <row r="77" spans="2:18" ht="45.75" thickBot="1" x14ac:dyDescent="0.3">
      <c r="D77" s="542" t="s">
        <v>1223</v>
      </c>
      <c r="E77" s="543"/>
      <c r="F77" s="544" t="s">
        <v>1224</v>
      </c>
      <c r="G77" s="545" t="s">
        <v>1225</v>
      </c>
      <c r="H77" s="546" t="s">
        <v>1226</v>
      </c>
      <c r="I77" s="546" t="s">
        <v>1227</v>
      </c>
      <c r="J77" s="543" t="s">
        <v>1228</v>
      </c>
      <c r="K77" s="546" t="s">
        <v>1229</v>
      </c>
      <c r="L77" s="546" t="s">
        <v>1230</v>
      </c>
      <c r="M77" s="543" t="s">
        <v>1231</v>
      </c>
      <c r="N77" s="546" t="s">
        <v>1232</v>
      </c>
      <c r="O77" s="547" t="s">
        <v>1233</v>
      </c>
      <c r="Q77" s="548">
        <f>Q73/687484800</f>
        <v>0</v>
      </c>
    </row>
    <row r="78" spans="2:18" x14ac:dyDescent="0.25">
      <c r="D78" s="549" t="s">
        <v>1234</v>
      </c>
      <c r="E78" s="550" t="s">
        <v>1205</v>
      </c>
      <c r="F78" s="551">
        <f>F57*2/K57</f>
        <v>11546.649967170824</v>
      </c>
      <c r="G78" s="552">
        <f>F78/(3^1/2)/230/0.975</f>
        <v>34.326718594339134</v>
      </c>
      <c r="H78" s="553"/>
      <c r="I78" s="554"/>
      <c r="J78" s="555"/>
      <c r="K78" s="555"/>
      <c r="L78" s="555"/>
      <c r="M78" s="555"/>
      <c r="N78" s="555"/>
      <c r="O78" s="556"/>
    </row>
    <row r="79" spans="2:18" x14ac:dyDescent="0.25">
      <c r="D79" s="392" t="s">
        <v>1235</v>
      </c>
      <c r="E79" s="411" t="s">
        <v>1207</v>
      </c>
      <c r="F79" s="12">
        <f>F58*2/K58</f>
        <v>22497.461264606438</v>
      </c>
      <c r="G79" s="557">
        <f t="shared" ref="G79:G89" si="18">F79/(3^1/2)/230/0.975</f>
        <v>66.882084770290419</v>
      </c>
      <c r="H79" s="7"/>
      <c r="I79" s="558"/>
      <c r="J79" s="7"/>
      <c r="K79" s="7"/>
      <c r="L79" s="7"/>
      <c r="M79" s="7"/>
      <c r="N79" s="7"/>
      <c r="O79" s="559"/>
    </row>
    <row r="80" spans="2:18" x14ac:dyDescent="0.25">
      <c r="D80" s="392" t="s">
        <v>1236</v>
      </c>
      <c r="E80" s="411" t="s">
        <v>1208</v>
      </c>
      <c r="F80" s="12">
        <f>F59*2/K59</f>
        <v>30454.108996082192</v>
      </c>
      <c r="G80" s="557">
        <f t="shared" si="18"/>
        <v>90.536184306450224</v>
      </c>
      <c r="H80" s="7"/>
      <c r="I80" s="558"/>
      <c r="J80" s="7"/>
      <c r="K80" s="7"/>
      <c r="L80" s="7"/>
      <c r="M80" s="7"/>
      <c r="N80" s="7"/>
      <c r="O80" s="559"/>
    </row>
    <row r="81" spans="4:15" x14ac:dyDescent="0.25">
      <c r="D81" s="392" t="s">
        <v>1209</v>
      </c>
      <c r="E81" s="411"/>
      <c r="F81" s="12">
        <f>F60</f>
        <v>135</v>
      </c>
      <c r="G81" s="557">
        <f>F81/(3^1/2)/13.8/0.975</f>
        <v>6.6889632107023411</v>
      </c>
      <c r="H81" s="7"/>
      <c r="I81" s="558"/>
      <c r="J81" s="7"/>
      <c r="K81" s="7"/>
      <c r="L81" s="7"/>
      <c r="M81" s="7"/>
      <c r="N81" s="7"/>
      <c r="O81" s="559"/>
    </row>
    <row r="82" spans="4:15" x14ac:dyDescent="0.25">
      <c r="D82" s="392" t="s">
        <v>1237</v>
      </c>
      <c r="E82" s="411"/>
      <c r="F82" s="12">
        <f>SUM(F78:F81)</f>
        <v>64633.220227859456</v>
      </c>
      <c r="G82" s="557">
        <f>SUM(G78:G81)</f>
        <v>198.43395088178212</v>
      </c>
      <c r="H82" s="7">
        <v>124</v>
      </c>
      <c r="I82" s="558">
        <v>0.09</v>
      </c>
      <c r="J82" s="11">
        <f>(G82)^2*H82*I82*3/1000/2</f>
        <v>659.15479011914579</v>
      </c>
      <c r="K82" s="558">
        <f>6.922+16.758+1.266+3.652+2.22+38.155+5.03+0.416+0.005+0.005+0.014+0.049</f>
        <v>74.49199999999999</v>
      </c>
      <c r="L82" s="560">
        <v>0.53600000000000003</v>
      </c>
      <c r="M82" s="13">
        <f>(F81/(3^0.5)/13.8)^2*K82*L82*3/1000/2</f>
        <v>1.910529697542533</v>
      </c>
      <c r="N82" s="12">
        <f>J82+M82</f>
        <v>661.06531981668832</v>
      </c>
      <c r="O82" s="487">
        <f>N82/F82</f>
        <v>1.022794961300324E-2</v>
      </c>
    </row>
    <row r="83" spans="4:15" x14ac:dyDescent="0.25">
      <c r="D83" s="392"/>
      <c r="E83" s="411"/>
      <c r="F83" s="12"/>
      <c r="G83" s="557"/>
      <c r="H83" s="7"/>
      <c r="I83" s="7"/>
      <c r="J83" s="7"/>
      <c r="K83" s="13"/>
      <c r="L83" s="13"/>
      <c r="M83" s="13"/>
      <c r="N83" s="7"/>
      <c r="O83" s="559"/>
    </row>
    <row r="84" spans="4:15" x14ac:dyDescent="0.25">
      <c r="D84" s="392" t="s">
        <v>1238</v>
      </c>
      <c r="E84" s="411" t="s">
        <v>1210</v>
      </c>
      <c r="F84" s="12">
        <f t="shared" ref="F84:F89" si="19">F62*2/K62</f>
        <v>11393.782303816988</v>
      </c>
      <c r="G84" s="557">
        <f t="shared" si="18"/>
        <v>33.872262515992531</v>
      </c>
      <c r="H84" s="7"/>
      <c r="I84" s="7"/>
      <c r="J84" s="7"/>
      <c r="K84" s="13"/>
      <c r="L84" s="13"/>
      <c r="M84" s="13"/>
      <c r="N84" s="7"/>
      <c r="O84" s="559"/>
    </row>
    <row r="85" spans="4:15" x14ac:dyDescent="0.25">
      <c r="D85" s="392" t="s">
        <v>1239</v>
      </c>
      <c r="E85" s="411" t="s">
        <v>1212</v>
      </c>
      <c r="F85" s="12">
        <f t="shared" si="19"/>
        <v>7952.10693413846</v>
      </c>
      <c r="G85" s="557">
        <f t="shared" si="18"/>
        <v>23.640600324454731</v>
      </c>
      <c r="H85" s="7"/>
      <c r="I85" s="7"/>
      <c r="J85" s="7"/>
      <c r="K85" s="13"/>
      <c r="L85" s="13"/>
      <c r="M85" s="13"/>
      <c r="N85" s="7"/>
      <c r="O85" s="559"/>
    </row>
    <row r="86" spans="4:15" x14ac:dyDescent="0.25">
      <c r="D86" s="392" t="s">
        <v>1240</v>
      </c>
      <c r="E86" s="411" t="s">
        <v>1213</v>
      </c>
      <c r="F86" s="12">
        <f t="shared" si="19"/>
        <v>11415.058446090592</v>
      </c>
      <c r="G86" s="557">
        <f t="shared" si="18"/>
        <v>33.935513775074227</v>
      </c>
      <c r="H86" s="7"/>
      <c r="I86" s="7"/>
      <c r="J86" s="7"/>
      <c r="K86" s="13"/>
      <c r="L86" s="13"/>
      <c r="M86" s="13"/>
      <c r="N86" s="7"/>
      <c r="O86" s="559"/>
    </row>
    <row r="87" spans="4:15" x14ac:dyDescent="0.25">
      <c r="D87" s="392" t="s">
        <v>1241</v>
      </c>
      <c r="E87" s="411" t="s">
        <v>1214</v>
      </c>
      <c r="F87" s="12">
        <f t="shared" si="19"/>
        <v>10659.313644361213</v>
      </c>
      <c r="G87" s="557">
        <f t="shared" si="18"/>
        <v>31.688780808208733</v>
      </c>
      <c r="H87" s="7"/>
      <c r="I87" s="7"/>
      <c r="J87" s="7"/>
      <c r="K87" s="13"/>
      <c r="L87" s="13"/>
      <c r="M87" s="13"/>
      <c r="N87" s="7"/>
      <c r="O87" s="559"/>
    </row>
    <row r="88" spans="4:15" x14ac:dyDescent="0.25">
      <c r="D88" s="392" t="s">
        <v>1242</v>
      </c>
      <c r="E88" s="411" t="s">
        <v>1215</v>
      </c>
      <c r="F88" s="12">
        <f t="shared" si="19"/>
        <v>4753.083454511655</v>
      </c>
      <c r="G88" s="557">
        <f t="shared" si="18"/>
        <v>14.130311273167314</v>
      </c>
      <c r="H88" s="7"/>
      <c r="I88" s="7"/>
      <c r="J88" s="7"/>
      <c r="K88" s="13"/>
      <c r="L88" s="13"/>
      <c r="M88" s="13"/>
      <c r="N88" s="7"/>
      <c r="O88" s="559"/>
    </row>
    <row r="89" spans="4:15" x14ac:dyDescent="0.25">
      <c r="D89" s="392" t="s">
        <v>1243</v>
      </c>
      <c r="E89" s="411" t="s">
        <v>1216</v>
      </c>
      <c r="F89" s="12">
        <f t="shared" si="19"/>
        <v>7268.3189050124038</v>
      </c>
      <c r="G89" s="557">
        <f t="shared" si="18"/>
        <v>21.607785670791237</v>
      </c>
      <c r="H89" s="7"/>
      <c r="I89" s="7"/>
      <c r="J89" s="7"/>
      <c r="K89" s="13"/>
      <c r="L89" s="13"/>
      <c r="M89" s="13"/>
      <c r="N89" s="7"/>
      <c r="O89" s="559"/>
    </row>
    <row r="90" spans="4:15" x14ac:dyDescent="0.25">
      <c r="D90" s="392" t="s">
        <v>1217</v>
      </c>
      <c r="E90" s="7"/>
      <c r="F90" s="12">
        <f>F68</f>
        <v>495</v>
      </c>
      <c r="G90" s="557">
        <f>F90/(3^1/2)/13.8/0.975</f>
        <v>24.526198439241917</v>
      </c>
      <c r="H90" s="7"/>
      <c r="I90" s="7"/>
      <c r="J90" s="7"/>
      <c r="K90" s="13"/>
      <c r="L90" s="13"/>
      <c r="M90" s="13"/>
      <c r="N90" s="7"/>
      <c r="O90" s="559"/>
    </row>
    <row r="91" spans="4:15" x14ac:dyDescent="0.25">
      <c r="D91" s="392" t="s">
        <v>1237</v>
      </c>
      <c r="E91" s="7"/>
      <c r="F91" s="12">
        <f>SUM(F84:F90)</f>
        <v>53936.663687931316</v>
      </c>
      <c r="G91" s="561">
        <f>SUM(G84:G90)</f>
        <v>183.40145280693068</v>
      </c>
      <c r="H91" s="7">
        <v>146</v>
      </c>
      <c r="I91" s="7">
        <v>0.09</v>
      </c>
      <c r="J91" s="11">
        <f>(G91)^2*H91*I91*3/1000/2</f>
        <v>662.96739089526545</v>
      </c>
      <c r="K91" s="558">
        <f>7.067+2.909+0.889+0.01+2.77+2.217+0.025+0.169+10.772+1.265+4.116+2.143+0.02+1.36+1.413+29.91+0.02+0.991+1.02+0.02+19.86+0.02+4.697+5.683+2.4+13.22+41.892+5.298+2.944+3.854+7.37+0.12+5.68+0.31+0.032+0.13+0.07+0.03+0.21+0.06+0.1+0.024+0.04</f>
        <v>183.15</v>
      </c>
      <c r="L91" s="560">
        <v>0.53600000000000003</v>
      </c>
      <c r="M91" s="13">
        <f>(F90/(3^0.5)/13.8)^2*K91*L91*3/1000/2</f>
        <v>63.152993620037805</v>
      </c>
      <c r="N91" s="12">
        <f>J91+M91</f>
        <v>726.12038451530327</v>
      </c>
      <c r="O91" s="487">
        <f>N91/F91</f>
        <v>1.3462463839374951E-2</v>
      </c>
    </row>
    <row r="92" spans="4:15" ht="15.75" thickBot="1" x14ac:dyDescent="0.3">
      <c r="D92" s="562"/>
      <c r="E92" s="563"/>
      <c r="F92" s="563"/>
      <c r="G92" s="563"/>
      <c r="H92" s="563"/>
      <c r="I92" s="563"/>
      <c r="J92" s="563"/>
      <c r="K92" s="563"/>
      <c r="L92" s="563"/>
      <c r="M92" s="563"/>
      <c r="N92" s="563"/>
      <c r="O92" s="564"/>
    </row>
    <row r="93" spans="4:15" ht="15.75" thickBot="1" x14ac:dyDescent="0.3">
      <c r="D93" s="565" t="s">
        <v>146</v>
      </c>
      <c r="E93" s="566"/>
      <c r="F93" s="567">
        <f>F91+F82</f>
        <v>118569.88391579076</v>
      </c>
      <c r="G93" s="566"/>
      <c r="H93" s="567">
        <f>H91+H82</f>
        <v>270</v>
      </c>
      <c r="I93" s="566"/>
      <c r="J93" s="567">
        <f>J91+J82</f>
        <v>1322.1221810144111</v>
      </c>
      <c r="K93" s="567">
        <f>K91+K82</f>
        <v>257.642</v>
      </c>
      <c r="L93" s="566"/>
      <c r="M93" s="567">
        <f>M91+M82</f>
        <v>65.063523317580334</v>
      </c>
      <c r="N93" s="567">
        <f>N91+N82</f>
        <v>1387.1857043319915</v>
      </c>
      <c r="O93" s="568">
        <f>N93/F93</f>
        <v>1.1699308951986336E-2</v>
      </c>
    </row>
    <row r="94" spans="4:15" x14ac:dyDescent="0.25">
      <c r="F94"/>
    </row>
  </sheetData>
  <mergeCells count="6">
    <mergeCell ref="J15:K15"/>
    <mergeCell ref="B60:C60"/>
    <mergeCell ref="B6:C6"/>
    <mergeCell ref="D6:E6"/>
    <mergeCell ref="F6:F9"/>
    <mergeCell ref="B41:B44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showGridLines="0" workbookViewId="0">
      <selection activeCell="A2" sqref="A2:F8"/>
    </sheetView>
  </sheetViews>
  <sheetFormatPr defaultColWidth="12.5703125" defaultRowHeight="12.75" x14ac:dyDescent="0.2"/>
  <cols>
    <col min="1" max="1" width="12.5703125" style="216"/>
    <col min="2" max="2" width="49" style="216" bestFit="1" customWidth="1"/>
    <col min="3" max="3" width="16.7109375" style="216" customWidth="1"/>
    <col min="4" max="4" width="19.85546875" style="216" customWidth="1"/>
    <col min="5" max="6" width="20.7109375" style="216" bestFit="1" customWidth="1"/>
    <col min="7" max="7" width="15" style="216" bestFit="1" customWidth="1"/>
    <col min="8" max="8" width="43.85546875" style="216" customWidth="1"/>
    <col min="9" max="9" width="49" style="216" bestFit="1" customWidth="1"/>
    <col min="10" max="10" width="12.5703125" style="216"/>
    <col min="11" max="11" width="14.28515625" style="216" bestFit="1" customWidth="1"/>
    <col min="12" max="12" width="21.140625" style="216" customWidth="1"/>
    <col min="13" max="13" width="19.140625" style="216" customWidth="1"/>
    <col min="14" max="16384" width="12.5703125" style="216"/>
  </cols>
  <sheetData>
    <row r="2" spans="1:6" x14ac:dyDescent="0.2">
      <c r="A2" s="218" t="s">
        <v>559</v>
      </c>
      <c r="B2" s="218" t="s">
        <v>558</v>
      </c>
      <c r="C2" s="218" t="s">
        <v>557</v>
      </c>
      <c r="D2" s="218" t="s">
        <v>556</v>
      </c>
      <c r="E2" s="218" t="s">
        <v>555</v>
      </c>
      <c r="F2" s="218" t="s">
        <v>9</v>
      </c>
    </row>
    <row r="3" spans="1:6" ht="15" x14ac:dyDescent="0.25">
      <c r="A3" s="222" t="s">
        <v>554</v>
      </c>
      <c r="B3" s="222" t="s">
        <v>553</v>
      </c>
      <c r="C3" s="220">
        <v>40017</v>
      </c>
      <c r="D3" s="219">
        <v>35309770.784000002</v>
      </c>
      <c r="E3" s="218">
        <v>1.6080000000000001</v>
      </c>
      <c r="F3" s="217">
        <f>E3*D3</f>
        <v>56778111.420672007</v>
      </c>
    </row>
    <row r="4" spans="1:6" ht="15" x14ac:dyDescent="0.25">
      <c r="A4" s="222" t="s">
        <v>552</v>
      </c>
      <c r="B4" s="222" t="s">
        <v>551</v>
      </c>
      <c r="C4" s="220">
        <v>40017</v>
      </c>
      <c r="D4" s="219">
        <v>40251043.048999995</v>
      </c>
      <c r="E4" s="218">
        <v>1.6080000000000001</v>
      </c>
      <c r="F4" s="217">
        <f>E4*D4</f>
        <v>64723677.222791992</v>
      </c>
    </row>
    <row r="5" spans="1:6" ht="14.25" customHeight="1" x14ac:dyDescent="0.25">
      <c r="A5" s="222" t="s">
        <v>550</v>
      </c>
      <c r="B5" s="222" t="s">
        <v>549</v>
      </c>
      <c r="C5" s="220">
        <v>41500</v>
      </c>
      <c r="D5" s="219">
        <v>20161090.785599999</v>
      </c>
      <c r="E5" s="218">
        <v>1.2549999999999999</v>
      </c>
      <c r="F5" s="217">
        <f>E5*D5</f>
        <v>25302168.935927998</v>
      </c>
    </row>
    <row r="6" spans="1:6" ht="15" x14ac:dyDescent="0.25">
      <c r="A6" s="222" t="s">
        <v>548</v>
      </c>
      <c r="B6" s="324" t="s">
        <v>547</v>
      </c>
      <c r="C6" s="220">
        <v>41879</v>
      </c>
      <c r="D6" s="219">
        <v>10507343.437200001</v>
      </c>
      <c r="E6" s="218">
        <v>1.1919999999999999</v>
      </c>
      <c r="F6" s="217">
        <f>E6*D6</f>
        <v>12524753.3771424</v>
      </c>
    </row>
    <row r="7" spans="1:6" x14ac:dyDescent="0.2">
      <c r="A7" s="218"/>
      <c r="B7" s="218"/>
      <c r="C7" s="218"/>
      <c r="D7" s="218"/>
      <c r="E7" s="218"/>
      <c r="F7" s="217">
        <f>SUM(F3:F6)</f>
        <v>159328710.95653439</v>
      </c>
    </row>
    <row r="8" spans="1:6" x14ac:dyDescent="0.2">
      <c r="A8" s="218" t="s">
        <v>489</v>
      </c>
      <c r="B8" s="446" t="s">
        <v>546</v>
      </c>
      <c r="C8" s="446">
        <v>1.7999999999999999E-2</v>
      </c>
      <c r="D8" s="218"/>
      <c r="E8" s="218"/>
      <c r="F8" s="217">
        <f>F7*C8</f>
        <v>2867916.7972176187</v>
      </c>
    </row>
  </sheetData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0"/>
  <sheetViews>
    <sheetView showGridLines="0" workbookViewId="0">
      <selection activeCell="E42" sqref="E42"/>
    </sheetView>
  </sheetViews>
  <sheetFormatPr defaultColWidth="12.5703125" defaultRowHeight="12.75" x14ac:dyDescent="0.2"/>
  <cols>
    <col min="1" max="2" width="12.5703125" style="216"/>
    <col min="3" max="3" width="61.5703125" style="216" customWidth="1"/>
    <col min="4" max="4" width="12.5703125" style="216"/>
    <col min="5" max="5" width="15" style="216" bestFit="1" customWidth="1"/>
    <col min="6" max="6" width="20.7109375" style="216" bestFit="1" customWidth="1"/>
    <col min="7" max="7" width="14.7109375" style="216" customWidth="1"/>
    <col min="8" max="16384" width="12.5703125" style="216"/>
  </cols>
  <sheetData>
    <row r="2" spans="2:7" x14ac:dyDescent="0.2">
      <c r="B2" s="218" t="s">
        <v>598</v>
      </c>
      <c r="C2" s="218"/>
      <c r="D2" s="218"/>
      <c r="E2" s="218"/>
      <c r="F2" s="218"/>
      <c r="G2" s="218"/>
    </row>
    <row r="3" spans="2:7" x14ac:dyDescent="0.2">
      <c r="B3" s="218" t="s">
        <v>559</v>
      </c>
      <c r="C3" s="218" t="s">
        <v>558</v>
      </c>
      <c r="D3" s="218" t="s">
        <v>557</v>
      </c>
      <c r="E3" s="218" t="s">
        <v>556</v>
      </c>
      <c r="F3" s="218" t="s">
        <v>555</v>
      </c>
      <c r="G3" s="218" t="s">
        <v>9</v>
      </c>
    </row>
    <row r="4" spans="2:7" ht="15" x14ac:dyDescent="0.25">
      <c r="B4" s="222" t="s">
        <v>597</v>
      </c>
      <c r="C4" s="222" t="s">
        <v>596</v>
      </c>
      <c r="D4" s="220">
        <v>40017</v>
      </c>
      <c r="E4" s="219">
        <v>30616347.631999988</v>
      </c>
      <c r="F4" s="218">
        <v>1.6080000000000001</v>
      </c>
      <c r="G4" s="217">
        <f>F4*E4</f>
        <v>49231086.992255986</v>
      </c>
    </row>
    <row r="5" spans="2:7" ht="15" x14ac:dyDescent="0.25">
      <c r="B5" s="222" t="s">
        <v>594</v>
      </c>
      <c r="C5" s="222" t="s">
        <v>595</v>
      </c>
      <c r="D5" s="220">
        <v>41410</v>
      </c>
      <c r="E5" s="219">
        <v>21119291.794</v>
      </c>
      <c r="F5" s="218">
        <v>1.268</v>
      </c>
      <c r="G5" s="217">
        <f>F5*E5</f>
        <v>26779261.994791999</v>
      </c>
    </row>
    <row r="6" spans="2:7" ht="15" x14ac:dyDescent="0.25">
      <c r="B6" s="222" t="s">
        <v>594</v>
      </c>
      <c r="C6" s="222" t="s">
        <v>593</v>
      </c>
      <c r="D6" s="220">
        <v>41410</v>
      </c>
      <c r="E6" s="219">
        <v>33980015.173999995</v>
      </c>
      <c r="F6" s="218">
        <v>1.268</v>
      </c>
      <c r="G6" s="217">
        <f>F6*E6</f>
        <v>43086659.240631998</v>
      </c>
    </row>
    <row r="7" spans="2:7" ht="15" x14ac:dyDescent="0.25">
      <c r="B7" s="222" t="s">
        <v>592</v>
      </c>
      <c r="C7" s="324" t="s">
        <v>591</v>
      </c>
      <c r="D7" s="220">
        <v>42148</v>
      </c>
      <c r="E7" s="219">
        <v>39703524.853199996</v>
      </c>
      <c r="F7" s="218">
        <v>1.1339999999999999</v>
      </c>
      <c r="G7" s="217">
        <f>F7*E7</f>
        <v>45023797.183528788</v>
      </c>
    </row>
    <row r="8" spans="2:7" ht="15" x14ac:dyDescent="0.25">
      <c r="B8" s="224" t="s">
        <v>590</v>
      </c>
      <c r="C8" s="324" t="s">
        <v>589</v>
      </c>
      <c r="D8" s="220">
        <v>42148</v>
      </c>
      <c r="E8" s="219">
        <v>6969138.4484999999</v>
      </c>
      <c r="F8" s="218">
        <v>1.1339999999999999</v>
      </c>
      <c r="G8" s="217">
        <f>F8*E8</f>
        <v>7903003.0005989997</v>
      </c>
    </row>
    <row r="9" spans="2:7" x14ac:dyDescent="0.2">
      <c r="B9" s="218"/>
      <c r="C9" s="218"/>
      <c r="D9" s="218"/>
      <c r="E9" s="217">
        <f>SUM(E4:E8)</f>
        <v>132388317.90169999</v>
      </c>
      <c r="F9" s="218"/>
      <c r="G9" s="217">
        <f>SUM(G4:G8)</f>
        <v>172023808.41180778</v>
      </c>
    </row>
    <row r="10" spans="2:7" x14ac:dyDescent="0.2">
      <c r="B10" s="218" t="s">
        <v>489</v>
      </c>
      <c r="C10" s="446" t="s">
        <v>546</v>
      </c>
      <c r="D10" s="446">
        <v>0.02</v>
      </c>
      <c r="E10" s="218"/>
      <c r="F10" s="218"/>
      <c r="G10" s="217">
        <f>G9*D10</f>
        <v>3440476.1682361555</v>
      </c>
    </row>
  </sheetData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"/>
  <sheetViews>
    <sheetView showGridLines="0" workbookViewId="0">
      <selection activeCell="E13" sqref="E13"/>
    </sheetView>
  </sheetViews>
  <sheetFormatPr defaultRowHeight="15" x14ac:dyDescent="0.25"/>
  <cols>
    <col min="2" max="2" width="35.140625" customWidth="1"/>
    <col min="3" max="3" width="19.28515625" customWidth="1"/>
    <col min="4" max="4" width="14.28515625" bestFit="1" customWidth="1"/>
    <col min="5" max="5" width="20.7109375" bestFit="1" customWidth="1"/>
    <col min="6" max="6" width="20.5703125" customWidth="1"/>
  </cols>
  <sheetData>
    <row r="2" spans="1:6" x14ac:dyDescent="0.25">
      <c r="A2" s="218" t="s">
        <v>559</v>
      </c>
      <c r="B2" s="218" t="s">
        <v>558</v>
      </c>
      <c r="C2" s="218" t="s">
        <v>557</v>
      </c>
      <c r="D2" s="218" t="s">
        <v>556</v>
      </c>
      <c r="E2" s="218" t="s">
        <v>555</v>
      </c>
      <c r="F2" s="218" t="s">
        <v>9</v>
      </c>
    </row>
    <row r="3" spans="1:6" x14ac:dyDescent="0.25">
      <c r="A3" s="225" t="s">
        <v>602</v>
      </c>
      <c r="B3" s="222" t="s">
        <v>601</v>
      </c>
      <c r="C3" s="220">
        <v>41573</v>
      </c>
      <c r="D3" s="219">
        <v>13977401.869999999</v>
      </c>
      <c r="E3" s="7">
        <v>1.2350000000000001</v>
      </c>
      <c r="F3" s="12">
        <f>D3*E3</f>
        <v>17262091.309450001</v>
      </c>
    </row>
    <row r="4" spans="1:6" x14ac:dyDescent="0.25">
      <c r="A4" s="225" t="s">
        <v>600</v>
      </c>
      <c r="B4" s="222" t="s">
        <v>599</v>
      </c>
      <c r="C4" s="220">
        <v>41573</v>
      </c>
      <c r="D4" s="219">
        <v>16480155.34</v>
      </c>
      <c r="E4" s="7">
        <v>1.2350000000000001</v>
      </c>
      <c r="F4" s="12">
        <f>D4*E4</f>
        <v>20352991.844900001</v>
      </c>
    </row>
    <row r="5" spans="1:6" x14ac:dyDescent="0.25">
      <c r="A5" s="7"/>
      <c r="B5" s="7"/>
      <c r="C5" s="7"/>
      <c r="D5" s="12">
        <f>SUM(D3:D4)</f>
        <v>30457557.210000001</v>
      </c>
      <c r="E5" s="7"/>
      <c r="F5" s="12">
        <f>SUM(F3:F4)</f>
        <v>37615083.154349998</v>
      </c>
    </row>
    <row r="6" spans="1:6" x14ac:dyDescent="0.25">
      <c r="A6" s="218" t="s">
        <v>489</v>
      </c>
      <c r="B6" s="446" t="s">
        <v>546</v>
      </c>
      <c r="C6" s="446">
        <v>0.05</v>
      </c>
      <c r="D6" s="218"/>
      <c r="E6" s="218"/>
      <c r="F6" s="217">
        <f>F5*C6</f>
        <v>1880754.1577174999</v>
      </c>
    </row>
  </sheetData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0"/>
  <sheetViews>
    <sheetView showGridLines="0" workbookViewId="0"/>
  </sheetViews>
  <sheetFormatPr defaultColWidth="12.5703125" defaultRowHeight="15" x14ac:dyDescent="0.25"/>
  <cols>
    <col min="1" max="1" width="9.28515625" customWidth="1"/>
    <col min="2" max="2" width="49.28515625" customWidth="1"/>
    <col min="3" max="3" width="23.28515625" bestFit="1" customWidth="1"/>
    <col min="6" max="6" width="14" customWidth="1"/>
    <col min="7" max="7" width="14.5703125" bestFit="1" customWidth="1"/>
    <col min="8" max="8" width="14.140625" customWidth="1"/>
  </cols>
  <sheetData>
    <row r="1" spans="2:8" x14ac:dyDescent="0.25">
      <c r="B1" s="7"/>
      <c r="C1" s="7"/>
      <c r="D1" s="7"/>
      <c r="E1" s="7"/>
      <c r="F1" s="447" t="s">
        <v>10</v>
      </c>
      <c r="G1" s="447" t="s">
        <v>11</v>
      </c>
      <c r="H1" s="447" t="s">
        <v>24</v>
      </c>
    </row>
    <row r="2" spans="2:8" x14ac:dyDescent="0.25">
      <c r="B2" s="7"/>
      <c r="C2" s="7"/>
      <c r="D2" s="7"/>
      <c r="E2" s="7"/>
      <c r="F2" s="15" t="s">
        <v>2</v>
      </c>
      <c r="G2" s="15" t="s">
        <v>2</v>
      </c>
      <c r="H2" s="15" t="s">
        <v>2</v>
      </c>
    </row>
    <row r="3" spans="2:8" x14ac:dyDescent="0.25">
      <c r="B3" s="860" t="s">
        <v>588</v>
      </c>
      <c r="C3" s="860"/>
      <c r="D3" s="860"/>
      <c r="E3" s="860"/>
      <c r="F3" s="435">
        <f>C15*(6/9)+C22+C33+'aferição medidores de vazão'!C6</f>
        <v>1275000</v>
      </c>
      <c r="G3" s="435">
        <f>C15*(3/9)+C21+C32+'aferição medidores de vazão'!C5</f>
        <v>1005000</v>
      </c>
      <c r="H3" s="435">
        <f>F3+G3</f>
        <v>2280000</v>
      </c>
    </row>
    <row r="4" spans="2:8" x14ac:dyDescent="0.25">
      <c r="B4" s="7"/>
      <c r="C4" s="7"/>
      <c r="D4" s="7"/>
      <c r="E4" s="7"/>
      <c r="F4" s="7"/>
      <c r="G4" s="7"/>
      <c r="H4" s="7"/>
    </row>
    <row r="5" spans="2:8" x14ac:dyDescent="0.25">
      <c r="B5" s="7" t="s">
        <v>587</v>
      </c>
      <c r="C5" s="7"/>
      <c r="D5" s="7"/>
      <c r="E5" s="7"/>
      <c r="F5" s="7"/>
      <c r="G5" s="7"/>
      <c r="H5" s="7"/>
    </row>
    <row r="6" spans="2:8" x14ac:dyDescent="0.25">
      <c r="B6" s="10" t="s">
        <v>586</v>
      </c>
      <c r="C6" s="7">
        <v>9</v>
      </c>
      <c r="D6" s="7"/>
      <c r="E6" s="7"/>
      <c r="F6" s="7"/>
      <c r="G6" s="7"/>
      <c r="H6" s="7"/>
    </row>
    <row r="7" spans="2:8" x14ac:dyDescent="0.25">
      <c r="B7" s="7" t="s">
        <v>585</v>
      </c>
      <c r="C7" s="7">
        <v>2</v>
      </c>
      <c r="D7" s="7"/>
      <c r="E7" s="7"/>
      <c r="F7" s="7"/>
      <c r="G7" s="7"/>
      <c r="H7" s="7"/>
    </row>
    <row r="8" spans="2:8" x14ac:dyDescent="0.25">
      <c r="B8" s="7" t="s">
        <v>584</v>
      </c>
      <c r="C8" s="7">
        <f>C7*C6</f>
        <v>18</v>
      </c>
      <c r="D8" s="7"/>
      <c r="E8" s="7"/>
      <c r="F8" s="7"/>
      <c r="G8" s="7"/>
      <c r="H8" s="7"/>
    </row>
    <row r="9" spans="2:8" x14ac:dyDescent="0.25">
      <c r="B9" s="7" t="s">
        <v>583</v>
      </c>
      <c r="C9" s="12">
        <v>50000</v>
      </c>
      <c r="D9" s="7" t="s">
        <v>2</v>
      </c>
      <c r="E9" s="7"/>
      <c r="F9" s="7"/>
      <c r="G9" s="7"/>
      <c r="H9" s="7"/>
    </row>
    <row r="10" spans="2:8" x14ac:dyDescent="0.25">
      <c r="B10" s="7" t="s">
        <v>9</v>
      </c>
      <c r="C10" s="12">
        <f>C9*C8</f>
        <v>900000</v>
      </c>
      <c r="D10" s="7" t="s">
        <v>2</v>
      </c>
      <c r="E10" s="7"/>
      <c r="F10" s="7"/>
      <c r="G10" s="7"/>
      <c r="H10" s="7"/>
    </row>
    <row r="11" spans="2:8" x14ac:dyDescent="0.25">
      <c r="B11" s="7"/>
      <c r="C11" s="7"/>
      <c r="D11" s="7"/>
      <c r="E11" s="7"/>
      <c r="F11" s="7"/>
      <c r="G11" s="7"/>
      <c r="H11" s="7"/>
    </row>
    <row r="12" spans="2:8" x14ac:dyDescent="0.25">
      <c r="B12" s="7" t="s">
        <v>582</v>
      </c>
      <c r="C12" s="12">
        <v>30000</v>
      </c>
      <c r="D12" s="7" t="s">
        <v>2</v>
      </c>
      <c r="E12" s="7"/>
      <c r="F12" s="7"/>
      <c r="G12" s="7"/>
      <c r="H12" s="7"/>
    </row>
    <row r="13" spans="2:8" x14ac:dyDescent="0.25">
      <c r="B13" s="7" t="s">
        <v>9</v>
      </c>
      <c r="C13" s="12">
        <f>C12*C6</f>
        <v>270000</v>
      </c>
      <c r="D13" s="7" t="s">
        <v>2</v>
      </c>
      <c r="E13" s="7"/>
      <c r="F13" s="7"/>
      <c r="G13" s="7"/>
      <c r="H13" s="7"/>
    </row>
    <row r="14" spans="2:8" x14ac:dyDescent="0.25">
      <c r="B14" s="7"/>
      <c r="C14" s="7"/>
      <c r="D14" s="7"/>
      <c r="E14" s="7"/>
      <c r="F14" s="7"/>
      <c r="G14" s="7"/>
      <c r="H14" s="7"/>
    </row>
    <row r="15" spans="2:8" x14ac:dyDescent="0.25">
      <c r="B15" s="7" t="s">
        <v>581</v>
      </c>
      <c r="C15" s="448">
        <f>C13+C10</f>
        <v>1170000</v>
      </c>
      <c r="D15" s="7"/>
      <c r="E15" s="7"/>
      <c r="F15" s="7"/>
      <c r="G15" s="7"/>
      <c r="H15" s="7"/>
    </row>
    <row r="16" spans="2:8" x14ac:dyDescent="0.25">
      <c r="B16" s="100" t="s">
        <v>580</v>
      </c>
      <c r="C16" s="12"/>
      <c r="D16" s="7"/>
      <c r="E16" s="7"/>
      <c r="F16" s="7"/>
      <c r="G16" s="7"/>
      <c r="H16" s="7"/>
    </row>
    <row r="17" spans="2:8" x14ac:dyDescent="0.25">
      <c r="B17" s="7" t="s">
        <v>579</v>
      </c>
      <c r="C17" s="449">
        <v>17</v>
      </c>
      <c r="D17" s="7"/>
      <c r="E17" s="7"/>
      <c r="F17" s="7"/>
      <c r="G17" s="7"/>
      <c r="H17" s="7"/>
    </row>
    <row r="18" spans="2:8" x14ac:dyDescent="0.25">
      <c r="B18" s="7" t="s">
        <v>578</v>
      </c>
      <c r="C18" s="449">
        <v>11</v>
      </c>
      <c r="D18" s="7"/>
      <c r="E18" s="7"/>
      <c r="F18" s="7"/>
      <c r="G18" s="7"/>
      <c r="H18" s="7"/>
    </row>
    <row r="19" spans="2:8" x14ac:dyDescent="0.25">
      <c r="B19" s="7"/>
      <c r="C19" s="12"/>
      <c r="D19" s="7"/>
      <c r="E19" s="7"/>
      <c r="F19" s="7"/>
      <c r="G19" s="7"/>
      <c r="H19" s="7"/>
    </row>
    <row r="20" spans="2:8" x14ac:dyDescent="0.25">
      <c r="B20" s="7" t="s">
        <v>577</v>
      </c>
      <c r="C20" s="450">
        <v>20000</v>
      </c>
      <c r="D20" s="301" t="s">
        <v>576</v>
      </c>
      <c r="E20" s="301"/>
      <c r="F20" s="301" t="s">
        <v>575</v>
      </c>
      <c r="G20" s="7"/>
      <c r="H20" s="7"/>
    </row>
    <row r="21" spans="2:8" x14ac:dyDescent="0.25">
      <c r="B21" s="7" t="s">
        <v>574</v>
      </c>
      <c r="C21" s="12">
        <f>C20*C17</f>
        <v>340000</v>
      </c>
      <c r="D21" s="7" t="s">
        <v>2</v>
      </c>
      <c r="E21" s="7"/>
      <c r="F21" s="7"/>
      <c r="G21" s="7"/>
      <c r="H21" s="7"/>
    </row>
    <row r="22" spans="2:8" x14ac:dyDescent="0.25">
      <c r="B22" s="7" t="s">
        <v>573</v>
      </c>
      <c r="C22" s="12">
        <f>C20*C18</f>
        <v>220000</v>
      </c>
      <c r="D22" s="7" t="s">
        <v>2</v>
      </c>
      <c r="E22" s="7"/>
      <c r="F22" s="447"/>
      <c r="G22" s="447"/>
      <c r="H22" s="447"/>
    </row>
    <row r="23" spans="2:8" x14ac:dyDescent="0.25">
      <c r="B23" s="451" t="s">
        <v>572</v>
      </c>
      <c r="C23" s="452">
        <f>C21+C22</f>
        <v>560000</v>
      </c>
      <c r="D23" s="451" t="s">
        <v>2</v>
      </c>
      <c r="E23" s="7"/>
      <c r="F23" s="7"/>
      <c r="G23" s="7"/>
      <c r="H23" s="7"/>
    </row>
    <row r="24" spans="2:8" x14ac:dyDescent="0.25">
      <c r="B24" s="7"/>
      <c r="C24" s="7"/>
      <c r="D24" s="7"/>
      <c r="E24" s="7"/>
      <c r="F24" s="7"/>
      <c r="G24" s="7"/>
      <c r="H24" s="7"/>
    </row>
    <row r="25" spans="2:8" x14ac:dyDescent="0.25">
      <c r="B25" s="100" t="s">
        <v>571</v>
      </c>
      <c r="C25" s="12"/>
      <c r="D25" s="7"/>
      <c r="E25" s="7"/>
      <c r="F25" s="7"/>
      <c r="G25" s="7"/>
      <c r="H25" s="7"/>
    </row>
    <row r="26" spans="2:8" x14ac:dyDescent="0.25">
      <c r="B26" s="7" t="s">
        <v>570</v>
      </c>
      <c r="C26" s="12">
        <v>35000</v>
      </c>
      <c r="D26" s="7" t="s">
        <v>569</v>
      </c>
      <c r="E26" s="7"/>
      <c r="F26" s="7"/>
      <c r="G26" s="7"/>
      <c r="H26" s="7"/>
    </row>
    <row r="27" spans="2:8" x14ac:dyDescent="0.25">
      <c r="B27" s="7" t="s">
        <v>36</v>
      </c>
      <c r="C27" s="12">
        <v>35000</v>
      </c>
      <c r="D27" s="7" t="s">
        <v>569</v>
      </c>
      <c r="E27" s="7"/>
      <c r="F27" s="7"/>
      <c r="G27" s="7"/>
      <c r="H27" s="7"/>
    </row>
    <row r="28" spans="2:8" x14ac:dyDescent="0.25">
      <c r="B28" s="7" t="s">
        <v>568</v>
      </c>
      <c r="C28" s="12">
        <v>2</v>
      </c>
      <c r="D28" s="7" t="s">
        <v>564</v>
      </c>
      <c r="E28" s="7"/>
      <c r="F28" s="7"/>
      <c r="G28" s="7"/>
      <c r="H28" s="7"/>
    </row>
    <row r="29" spans="2:8" x14ac:dyDescent="0.25">
      <c r="B29" s="7" t="s">
        <v>567</v>
      </c>
      <c r="C29" s="12">
        <v>2</v>
      </c>
      <c r="D29" s="7" t="s">
        <v>564</v>
      </c>
      <c r="E29" s="7"/>
      <c r="F29" s="7"/>
      <c r="G29" s="7"/>
      <c r="H29" s="7"/>
    </row>
    <row r="30" spans="2:8" x14ac:dyDescent="0.25">
      <c r="B30" s="7" t="s">
        <v>566</v>
      </c>
      <c r="C30" s="12">
        <v>2</v>
      </c>
      <c r="D30" s="7" t="s">
        <v>564</v>
      </c>
      <c r="E30" s="7"/>
      <c r="F30" s="7"/>
      <c r="G30" s="7"/>
      <c r="H30" s="7"/>
    </row>
    <row r="31" spans="2:8" x14ac:dyDescent="0.25">
      <c r="B31" s="7" t="s">
        <v>565</v>
      </c>
      <c r="C31" s="12">
        <v>2</v>
      </c>
      <c r="D31" s="7" t="s">
        <v>564</v>
      </c>
      <c r="E31" s="7"/>
      <c r="F31" s="7"/>
      <c r="G31" s="7"/>
      <c r="H31" s="7"/>
    </row>
    <row r="32" spans="2:8" x14ac:dyDescent="0.25">
      <c r="B32" s="7" t="s">
        <v>563</v>
      </c>
      <c r="C32" s="12">
        <f>(C26*C28)+(C27*C30)</f>
        <v>140000</v>
      </c>
      <c r="D32" s="7" t="s">
        <v>2</v>
      </c>
      <c r="E32" s="7"/>
      <c r="F32" s="7"/>
      <c r="G32" s="7"/>
      <c r="H32" s="7"/>
    </row>
    <row r="33" spans="2:8" x14ac:dyDescent="0.25">
      <c r="B33" s="7" t="s">
        <v>562</v>
      </c>
      <c r="C33" s="12">
        <f>(C26*C29)+(C27*C31)</f>
        <v>140000</v>
      </c>
      <c r="D33" s="7" t="s">
        <v>2</v>
      </c>
      <c r="E33" s="7"/>
      <c r="F33" s="7"/>
      <c r="G33" s="7"/>
      <c r="H33" s="7"/>
    </row>
    <row r="34" spans="2:8" x14ac:dyDescent="0.25">
      <c r="B34" s="451" t="s">
        <v>561</v>
      </c>
      <c r="C34" s="452">
        <f>C33+C32</f>
        <v>280000</v>
      </c>
      <c r="D34" s="451" t="s">
        <v>2</v>
      </c>
      <c r="E34" s="7"/>
      <c r="F34" s="7"/>
      <c r="G34" s="7"/>
      <c r="H34" s="7"/>
    </row>
    <row r="35" spans="2:8" x14ac:dyDescent="0.25">
      <c r="B35" s="7"/>
      <c r="C35" s="12"/>
      <c r="D35" s="7"/>
      <c r="E35" s="7"/>
      <c r="F35" s="7"/>
      <c r="G35" s="7"/>
      <c r="H35" s="7"/>
    </row>
    <row r="36" spans="2:8" x14ac:dyDescent="0.25">
      <c r="B36" s="7"/>
      <c r="C36" s="7"/>
      <c r="D36" s="7"/>
      <c r="E36" s="7"/>
      <c r="F36" s="7"/>
      <c r="G36" s="7"/>
      <c r="H36" s="7"/>
    </row>
    <row r="37" spans="2:8" x14ac:dyDescent="0.25">
      <c r="B37" s="7"/>
      <c r="C37" s="12"/>
      <c r="D37" s="7"/>
      <c r="E37" s="7"/>
      <c r="F37" s="7"/>
      <c r="G37" s="7"/>
      <c r="H37" s="7"/>
    </row>
    <row r="38" spans="2:8" x14ac:dyDescent="0.25">
      <c r="B38" s="451" t="s">
        <v>560</v>
      </c>
      <c r="C38" s="452">
        <f>C34+C23+C15</f>
        <v>2010000</v>
      </c>
      <c r="D38" s="451" t="s">
        <v>2</v>
      </c>
      <c r="E38" s="7"/>
      <c r="F38" s="7"/>
      <c r="G38" s="7"/>
      <c r="H38" s="7"/>
    </row>
    <row r="39" spans="2:8" x14ac:dyDescent="0.25">
      <c r="B39" s="451"/>
      <c r="C39" s="452"/>
      <c r="D39" s="7"/>
      <c r="E39" s="7"/>
      <c r="F39" s="7"/>
      <c r="G39" s="7"/>
      <c r="H39" s="7"/>
    </row>
    <row r="40" spans="2:8" x14ac:dyDescent="0.25">
      <c r="D40" s="23"/>
    </row>
  </sheetData>
  <mergeCells count="1">
    <mergeCell ref="B3:E3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7"/>
  <sheetViews>
    <sheetView showGridLines="0" workbookViewId="0">
      <selection activeCell="D7" sqref="B2:D7"/>
    </sheetView>
  </sheetViews>
  <sheetFormatPr defaultRowHeight="15" x14ac:dyDescent="0.25"/>
  <cols>
    <col min="2" max="2" width="67.5703125" bestFit="1" customWidth="1"/>
    <col min="3" max="3" width="11.7109375" customWidth="1"/>
    <col min="4" max="4" width="11.5703125" bestFit="1" customWidth="1"/>
  </cols>
  <sheetData>
    <row r="2" spans="2:4" x14ac:dyDescent="0.25">
      <c r="B2" s="100" t="s">
        <v>26</v>
      </c>
      <c r="C2" s="453"/>
      <c r="D2" s="7"/>
    </row>
    <row r="3" spans="2:4" x14ac:dyDescent="0.25">
      <c r="B3" s="7" t="s">
        <v>27</v>
      </c>
      <c r="C3" s="12">
        <v>45000</v>
      </c>
      <c r="D3" s="7" t="s">
        <v>28</v>
      </c>
    </row>
    <row r="4" spans="2:4" x14ac:dyDescent="0.25">
      <c r="B4" s="7" t="s">
        <v>29</v>
      </c>
      <c r="C4" s="12">
        <v>3</v>
      </c>
      <c r="D4" s="7" t="s">
        <v>30</v>
      </c>
    </row>
    <row r="5" spans="2:4" x14ac:dyDescent="0.25">
      <c r="B5" s="7" t="s">
        <v>31</v>
      </c>
      <c r="C5" s="12">
        <f>C3*C4</f>
        <v>135000</v>
      </c>
      <c r="D5" s="7" t="s">
        <v>2</v>
      </c>
    </row>
    <row r="6" spans="2:4" x14ac:dyDescent="0.25">
      <c r="B6" s="7" t="s">
        <v>32</v>
      </c>
      <c r="C6" s="12">
        <f>C3*C4</f>
        <v>135000</v>
      </c>
      <c r="D6" s="7" t="s">
        <v>2</v>
      </c>
    </row>
    <row r="7" spans="2:4" x14ac:dyDescent="0.25">
      <c r="B7" s="451" t="s">
        <v>33</v>
      </c>
      <c r="C7" s="452">
        <f>C5+C6</f>
        <v>270000</v>
      </c>
      <c r="D7" s="451" t="s">
        <v>2</v>
      </c>
    </row>
  </sheetData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V32"/>
  <sheetViews>
    <sheetView showGridLines="0" workbookViewId="0">
      <selection activeCell="D5" sqref="D5"/>
    </sheetView>
  </sheetViews>
  <sheetFormatPr defaultRowHeight="15" x14ac:dyDescent="0.25"/>
  <cols>
    <col min="2" max="2" width="32.42578125" customWidth="1"/>
    <col min="3" max="3" width="19.5703125" customWidth="1"/>
    <col min="4" max="4" width="10.42578125" customWidth="1"/>
    <col min="5" max="5" width="11.85546875" customWidth="1"/>
    <col min="6" max="6" width="13.7109375" customWidth="1"/>
    <col min="7" max="7" width="14.140625" customWidth="1"/>
    <col min="8" max="8" width="13" customWidth="1"/>
    <col min="9" max="9" width="13.5703125" customWidth="1"/>
    <col min="12" max="12" width="17.28515625" customWidth="1"/>
    <col min="13" max="13" width="18" customWidth="1"/>
  </cols>
  <sheetData>
    <row r="2" spans="2:13" x14ac:dyDescent="0.25">
      <c r="B2" s="295" t="s">
        <v>76</v>
      </c>
      <c r="L2" t="s">
        <v>75</v>
      </c>
      <c r="M2" s="4">
        <f>I5+G12+C23</f>
        <v>1299955.8824414422</v>
      </c>
    </row>
    <row r="3" spans="2:13" ht="49.5" customHeight="1" x14ac:dyDescent="0.25">
      <c r="B3" s="784" t="s">
        <v>41</v>
      </c>
      <c r="C3" s="784" t="s">
        <v>40</v>
      </c>
      <c r="D3" s="784" t="s">
        <v>74</v>
      </c>
      <c r="E3" s="39" t="s">
        <v>73</v>
      </c>
      <c r="F3" s="39" t="s">
        <v>72</v>
      </c>
      <c r="G3" s="39" t="s">
        <v>71</v>
      </c>
      <c r="H3" s="784" t="s">
        <v>70</v>
      </c>
      <c r="I3" s="784" t="s">
        <v>67</v>
      </c>
      <c r="L3" t="s">
        <v>69</v>
      </c>
      <c r="M3" s="4">
        <f>E29</f>
        <v>62147.67</v>
      </c>
    </row>
    <row r="4" spans="2:13" ht="12" customHeight="1" x14ac:dyDescent="0.25">
      <c r="B4" s="784"/>
      <c r="C4" s="784"/>
      <c r="D4" s="784"/>
      <c r="E4" s="38">
        <v>0.73570000000000002</v>
      </c>
      <c r="F4" s="38">
        <v>0.2177</v>
      </c>
      <c r="G4" s="38">
        <v>0.3</v>
      </c>
      <c r="H4" s="784"/>
      <c r="I4" s="784"/>
    </row>
    <row r="5" spans="2:13" x14ac:dyDescent="0.25">
      <c r="B5" s="35" t="s">
        <v>68</v>
      </c>
      <c r="C5" s="35">
        <v>3</v>
      </c>
      <c r="D5" s="37">
        <f>'mão de obra'!D12</f>
        <v>3439.84</v>
      </c>
      <c r="E5" s="33">
        <f>$D$5*E4</f>
        <v>2530.6902880000002</v>
      </c>
      <c r="F5" s="33">
        <f>$D$5*F4</f>
        <v>748.8531680000001</v>
      </c>
      <c r="G5" s="33">
        <f>$D$5*G4</f>
        <v>1031.952</v>
      </c>
      <c r="H5" s="33">
        <f>(SUM(D5:G5)*C5*12)</f>
        <v>279048.07641599997</v>
      </c>
      <c r="I5" s="33">
        <f>H5*1.2515</f>
        <v>349228.667634624</v>
      </c>
    </row>
    <row r="7" spans="2:13" ht="15.75" thickBot="1" x14ac:dyDescent="0.3">
      <c r="B7" s="295" t="s">
        <v>3</v>
      </c>
    </row>
    <row r="8" spans="2:13" x14ac:dyDescent="0.25">
      <c r="B8" s="786" t="s">
        <v>41</v>
      </c>
      <c r="C8" s="785" t="s">
        <v>40</v>
      </c>
      <c r="D8" s="30" t="s">
        <v>39</v>
      </c>
      <c r="E8" s="30" t="s">
        <v>39</v>
      </c>
      <c r="F8" s="30" t="s">
        <v>39</v>
      </c>
      <c r="G8" s="784" t="s">
        <v>67</v>
      </c>
    </row>
    <row r="9" spans="2:13" ht="36" x14ac:dyDescent="0.25">
      <c r="B9" s="786"/>
      <c r="C9" s="786"/>
      <c r="D9" s="29" t="s">
        <v>66</v>
      </c>
      <c r="E9" s="29" t="s">
        <v>37</v>
      </c>
      <c r="F9" s="29" t="s">
        <v>65</v>
      </c>
      <c r="G9" s="784"/>
    </row>
    <row r="10" spans="2:13" x14ac:dyDescent="0.25">
      <c r="B10" s="36" t="s">
        <v>64</v>
      </c>
      <c r="C10" s="35">
        <v>3</v>
      </c>
      <c r="D10" s="34">
        <v>7000</v>
      </c>
      <c r="E10" s="34">
        <f>D10*C10</f>
        <v>21000</v>
      </c>
      <c r="F10" s="34">
        <f>E10*12</f>
        <v>252000</v>
      </c>
      <c r="G10" s="33">
        <f>F10*1.2515</f>
        <v>315378</v>
      </c>
    </row>
    <row r="11" spans="2:13" x14ac:dyDescent="0.25">
      <c r="B11" s="7" t="s">
        <v>63</v>
      </c>
      <c r="C11" s="7"/>
      <c r="D11" s="7"/>
      <c r="E11" s="7"/>
      <c r="F11" s="34">
        <f>3*Veículos!F13/SUM(Veículos!C9:C12)</f>
        <v>28245.477272727272</v>
      </c>
      <c r="G11" s="33">
        <f>F11*1.2515</f>
        <v>35349.214806818185</v>
      </c>
    </row>
    <row r="12" spans="2:13" x14ac:dyDescent="0.25">
      <c r="B12" s="7" t="s">
        <v>13</v>
      </c>
      <c r="C12" s="7"/>
      <c r="D12" s="7"/>
      <c r="E12" s="7"/>
      <c r="F12" s="7"/>
      <c r="G12" s="33">
        <f>SUM(G10:G11)</f>
        <v>350727.21480681817</v>
      </c>
    </row>
    <row r="14" spans="2:13" x14ac:dyDescent="0.25">
      <c r="B14" s="295" t="s">
        <v>62</v>
      </c>
      <c r="C14" s="18"/>
      <c r="D14" s="18"/>
      <c r="E14" s="18"/>
    </row>
    <row r="15" spans="2:13" x14ac:dyDescent="0.25">
      <c r="B15" s="7" t="s">
        <v>61</v>
      </c>
      <c r="C15" s="146">
        <f>20000/3</f>
        <v>6666.666666666667</v>
      </c>
      <c r="D15" s="7" t="s">
        <v>60</v>
      </c>
      <c r="E15" s="7"/>
    </row>
    <row r="16" spans="2:13" x14ac:dyDescent="0.25">
      <c r="B16" s="7" t="s">
        <v>59</v>
      </c>
      <c r="C16" s="7">
        <v>80</v>
      </c>
      <c r="D16" s="7" t="s">
        <v>58</v>
      </c>
      <c r="E16" s="7"/>
      <c r="F16" s="24" t="s">
        <v>57</v>
      </c>
    </row>
    <row r="17" spans="2:22" x14ac:dyDescent="0.25">
      <c r="B17" s="7" t="s">
        <v>56</v>
      </c>
      <c r="C17" s="402">
        <f>(100+200)*2</f>
        <v>600</v>
      </c>
      <c r="D17" s="7" t="s">
        <v>55</v>
      </c>
      <c r="E17" s="7" t="s">
        <v>54</v>
      </c>
      <c r="F17" t="s">
        <v>53</v>
      </c>
    </row>
    <row r="18" spans="2:22" x14ac:dyDescent="0.25">
      <c r="B18" s="7" t="s">
        <v>52</v>
      </c>
      <c r="C18" s="13">
        <f>C17/C16</f>
        <v>7.5</v>
      </c>
      <c r="D18" s="7" t="s">
        <v>51</v>
      </c>
      <c r="E18" s="7"/>
    </row>
    <row r="19" spans="2:22" x14ac:dyDescent="0.25">
      <c r="B19" s="7" t="s">
        <v>50</v>
      </c>
      <c r="C19" s="7">
        <v>1</v>
      </c>
      <c r="D19" s="7" t="s">
        <v>49</v>
      </c>
      <c r="E19" s="7"/>
    </row>
    <row r="20" spans="2:22" x14ac:dyDescent="0.25">
      <c r="B20" s="7" t="s">
        <v>48</v>
      </c>
      <c r="C20" s="437">
        <v>12</v>
      </c>
      <c r="D20" s="7" t="s">
        <v>47</v>
      </c>
      <c r="E20" s="7"/>
    </row>
    <row r="21" spans="2:22" x14ac:dyDescent="0.25">
      <c r="B21" s="7" t="s">
        <v>46</v>
      </c>
      <c r="C21" s="437">
        <f>C19*C20</f>
        <v>12</v>
      </c>
      <c r="D21" s="7" t="s">
        <v>45</v>
      </c>
      <c r="E21" s="7"/>
    </row>
    <row r="22" spans="2:22" x14ac:dyDescent="0.25">
      <c r="B22" s="7" t="s">
        <v>44</v>
      </c>
      <c r="C22" s="146">
        <f>C18*C15</f>
        <v>50000</v>
      </c>
      <c r="D22" s="7" t="s">
        <v>43</v>
      </c>
      <c r="E22" s="7"/>
    </row>
    <row r="23" spans="2:22" x14ac:dyDescent="0.25">
      <c r="B23" s="7" t="s">
        <v>42</v>
      </c>
      <c r="C23" s="146">
        <f>C22*C21</f>
        <v>600000</v>
      </c>
      <c r="D23" s="7" t="s">
        <v>2</v>
      </c>
      <c r="E23" s="7"/>
    </row>
    <row r="25" spans="2:22" x14ac:dyDescent="0.25">
      <c r="U25" s="32"/>
      <c r="V25" s="31"/>
    </row>
    <row r="26" spans="2:22" x14ac:dyDescent="0.25">
      <c r="B26" s="295" t="s">
        <v>4</v>
      </c>
      <c r="C26" s="18"/>
      <c r="D26" s="18"/>
      <c r="E26" s="18"/>
    </row>
    <row r="27" spans="2:22" x14ac:dyDescent="0.25">
      <c r="B27" s="862" t="s">
        <v>41</v>
      </c>
      <c r="C27" s="862" t="s">
        <v>40</v>
      </c>
      <c r="D27" s="454" t="s">
        <v>39</v>
      </c>
      <c r="E27" s="454" t="s">
        <v>39</v>
      </c>
    </row>
    <row r="28" spans="2:22" ht="24" x14ac:dyDescent="0.25">
      <c r="B28" s="862"/>
      <c r="C28" s="862"/>
      <c r="D28" s="454" t="s">
        <v>38</v>
      </c>
      <c r="E28" s="454" t="s">
        <v>37</v>
      </c>
    </row>
    <row r="29" spans="2:22" x14ac:dyDescent="0.25">
      <c r="B29" s="7" t="s">
        <v>36</v>
      </c>
      <c r="C29" s="7">
        <v>3</v>
      </c>
      <c r="D29" s="12">
        <f>C31*C32</f>
        <v>20715.89</v>
      </c>
      <c r="E29" s="12">
        <f>C29*D29</f>
        <v>62147.67</v>
      </c>
    </row>
    <row r="30" spans="2:22" x14ac:dyDescent="0.25">
      <c r="B30" s="7"/>
      <c r="C30" s="7"/>
      <c r="D30" s="7"/>
      <c r="E30" s="7"/>
    </row>
    <row r="31" spans="2:22" x14ac:dyDescent="0.25">
      <c r="B31" s="7" t="s">
        <v>35</v>
      </c>
      <c r="C31" s="7">
        <v>6374.12</v>
      </c>
      <c r="D31" s="7"/>
      <c r="E31" s="7"/>
    </row>
    <row r="32" spans="2:22" x14ac:dyDescent="0.25">
      <c r="B32" s="7" t="s">
        <v>34</v>
      </c>
      <c r="C32" s="7">
        <v>3.25</v>
      </c>
      <c r="D32" s="7"/>
      <c r="E32" s="7"/>
    </row>
  </sheetData>
  <mergeCells count="10">
    <mergeCell ref="H3:H4"/>
    <mergeCell ref="B8:B9"/>
    <mergeCell ref="C8:C9"/>
    <mergeCell ref="I3:I4"/>
    <mergeCell ref="G8:G9"/>
    <mergeCell ref="B27:B28"/>
    <mergeCell ref="C27:C28"/>
    <mergeCell ref="B3:B4"/>
    <mergeCell ref="C3:C4"/>
    <mergeCell ref="D3:D4"/>
  </mergeCells>
  <pageMargins left="0.511811024" right="0.511811024" top="0.78740157499999996" bottom="0.78740157499999996" header="0.31496062000000002" footer="0.31496062000000002"/>
  <pageSetup orientation="portrait" verticalDpi="1200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68"/>
  <sheetViews>
    <sheetView topLeftCell="A7" workbookViewId="0">
      <selection activeCell="I2" sqref="I2"/>
    </sheetView>
  </sheetViews>
  <sheetFormatPr defaultRowHeight="15" x14ac:dyDescent="0.25"/>
  <cols>
    <col min="3" max="3" width="36.85546875" customWidth="1"/>
    <col min="5" max="5" width="9.5703125" bestFit="1" customWidth="1"/>
    <col min="6" max="6" width="11.28515625" customWidth="1"/>
    <col min="7" max="7" width="14.140625" customWidth="1"/>
    <col min="8" max="8" width="12.85546875" customWidth="1"/>
    <col min="9" max="9" width="12.28515625" customWidth="1"/>
    <col min="10" max="10" width="10.85546875" customWidth="1"/>
  </cols>
  <sheetData>
    <row r="1" spans="2:13" x14ac:dyDescent="0.25">
      <c r="B1" s="22"/>
      <c r="C1" s="58"/>
      <c r="D1" s="22"/>
      <c r="E1" s="22"/>
      <c r="F1" s="22"/>
      <c r="G1" s="22"/>
      <c r="H1" s="22"/>
      <c r="I1" s="22"/>
    </row>
    <row r="2" spans="2:13" ht="12.75" customHeight="1" x14ac:dyDescent="0.25">
      <c r="B2" s="22"/>
      <c r="C2" s="58"/>
      <c r="D2" s="22"/>
      <c r="E2" s="22"/>
      <c r="F2" s="22"/>
      <c r="G2" s="22"/>
      <c r="H2" s="22"/>
      <c r="I2" s="22"/>
      <c r="M2" s="635"/>
    </row>
    <row r="3" spans="2:13" ht="27" customHeight="1" thickBot="1" x14ac:dyDescent="0.3">
      <c r="B3" s="863" t="s">
        <v>1096</v>
      </c>
      <c r="C3" s="864"/>
      <c r="D3" s="864"/>
      <c r="E3" s="864"/>
      <c r="F3" s="864"/>
      <c r="G3" s="864"/>
      <c r="H3" s="864"/>
      <c r="I3" s="865"/>
    </row>
    <row r="4" spans="2:13" ht="22.5" customHeight="1" x14ac:dyDescent="0.25">
      <c r="B4" s="800" t="s">
        <v>141</v>
      </c>
      <c r="C4" s="802" t="s">
        <v>140</v>
      </c>
      <c r="D4" s="802" t="s">
        <v>139</v>
      </c>
      <c r="E4" s="75" t="s">
        <v>39</v>
      </c>
      <c r="F4" s="75" t="s">
        <v>39</v>
      </c>
      <c r="G4" s="797" t="s">
        <v>144</v>
      </c>
      <c r="H4" s="797" t="s">
        <v>143</v>
      </c>
      <c r="I4" s="797" t="s">
        <v>142</v>
      </c>
      <c r="J4" s="797"/>
    </row>
    <row r="5" spans="2:13" ht="23.25" thickBot="1" x14ac:dyDescent="0.3">
      <c r="B5" s="801"/>
      <c r="C5" s="803"/>
      <c r="D5" s="803"/>
      <c r="E5" s="69" t="s">
        <v>38</v>
      </c>
      <c r="F5" s="69" t="s">
        <v>138</v>
      </c>
      <c r="G5" s="799"/>
      <c r="H5" s="799"/>
      <c r="I5" s="799"/>
      <c r="J5" s="799"/>
    </row>
    <row r="6" spans="2:13" ht="23.25" thickBot="1" x14ac:dyDescent="0.3">
      <c r="B6" s="455">
        <v>1</v>
      </c>
      <c r="C6" s="70" t="s">
        <v>135</v>
      </c>
      <c r="D6" s="69">
        <v>8</v>
      </c>
      <c r="E6" s="68">
        <v>3000</v>
      </c>
      <c r="F6" s="67">
        <f>D6*E6</f>
        <v>24000</v>
      </c>
      <c r="G6" s="72" t="s">
        <v>133</v>
      </c>
      <c r="H6" s="66">
        <v>5</v>
      </c>
      <c r="I6" s="65">
        <f>F6/H6</f>
        <v>4800</v>
      </c>
      <c r="J6" s="65"/>
    </row>
    <row r="7" spans="2:13" ht="23.25" thickBot="1" x14ac:dyDescent="0.3">
      <c r="B7" s="455">
        <v>2</v>
      </c>
      <c r="C7" s="70" t="s">
        <v>134</v>
      </c>
      <c r="D7" s="69">
        <v>15</v>
      </c>
      <c r="E7" s="68">
        <v>2700</v>
      </c>
      <c r="F7" s="67">
        <f t="shared" ref="F7:F22" si="0">D7*E7</f>
        <v>40500</v>
      </c>
      <c r="G7" s="72" t="s">
        <v>133</v>
      </c>
      <c r="H7" s="66">
        <v>5</v>
      </c>
      <c r="I7" s="65">
        <f t="shared" ref="I7:I22" si="1">F7/H7</f>
        <v>8100</v>
      </c>
      <c r="J7" s="65"/>
    </row>
    <row r="8" spans="2:13" ht="15.75" thickBot="1" x14ac:dyDescent="0.3">
      <c r="B8" s="455">
        <v>3</v>
      </c>
      <c r="C8" s="70" t="s">
        <v>132</v>
      </c>
      <c r="D8" s="69">
        <v>2</v>
      </c>
      <c r="E8" s="68">
        <v>900</v>
      </c>
      <c r="F8" s="67">
        <f t="shared" si="0"/>
        <v>1800</v>
      </c>
      <c r="G8" s="72">
        <v>8443</v>
      </c>
      <c r="H8" s="66">
        <v>10</v>
      </c>
      <c r="I8" s="65">
        <f t="shared" si="1"/>
        <v>180</v>
      </c>
      <c r="J8" s="65"/>
    </row>
    <row r="9" spans="2:13" ht="15.75" thickBot="1" x14ac:dyDescent="0.3">
      <c r="B9" s="455">
        <v>4</v>
      </c>
      <c r="C9" s="70" t="s">
        <v>131</v>
      </c>
      <c r="D9" s="69">
        <v>4</v>
      </c>
      <c r="E9" s="68">
        <v>850</v>
      </c>
      <c r="F9" s="67">
        <f t="shared" si="0"/>
        <v>3400</v>
      </c>
      <c r="G9" s="72">
        <v>9007</v>
      </c>
      <c r="H9" s="66">
        <v>10</v>
      </c>
      <c r="I9" s="65">
        <f t="shared" si="1"/>
        <v>340</v>
      </c>
      <c r="J9" s="65"/>
    </row>
    <row r="10" spans="2:13" ht="15.75" thickBot="1" x14ac:dyDescent="0.3">
      <c r="B10" s="455">
        <v>5</v>
      </c>
      <c r="C10" s="70" t="s">
        <v>130</v>
      </c>
      <c r="D10" s="69">
        <v>84</v>
      </c>
      <c r="E10" s="68">
        <v>287</v>
      </c>
      <c r="F10" s="67">
        <f t="shared" si="0"/>
        <v>24108</v>
      </c>
      <c r="G10" s="72">
        <v>8517</v>
      </c>
      <c r="H10" s="66">
        <v>5</v>
      </c>
      <c r="I10" s="65">
        <f t="shared" si="1"/>
        <v>4821.6000000000004</v>
      </c>
      <c r="J10" s="65"/>
    </row>
    <row r="11" spans="2:13" ht="15.75" thickBot="1" x14ac:dyDescent="0.3">
      <c r="B11" s="455">
        <v>6</v>
      </c>
      <c r="C11" s="70" t="s">
        <v>129</v>
      </c>
      <c r="D11" s="69">
        <v>4</v>
      </c>
      <c r="E11" s="68">
        <v>1500</v>
      </c>
      <c r="F11" s="67">
        <f t="shared" si="0"/>
        <v>6000</v>
      </c>
      <c r="G11" s="72">
        <v>9014</v>
      </c>
      <c r="H11" s="66">
        <v>10</v>
      </c>
      <c r="I11" s="65">
        <f t="shared" si="1"/>
        <v>600</v>
      </c>
      <c r="J11" s="65"/>
    </row>
    <row r="12" spans="2:13" ht="15.75" thickBot="1" x14ac:dyDescent="0.3">
      <c r="B12" s="455">
        <v>7</v>
      </c>
      <c r="C12" s="70" t="s">
        <v>128</v>
      </c>
      <c r="D12" s="69">
        <v>2</v>
      </c>
      <c r="E12" s="68">
        <v>1900</v>
      </c>
      <c r="F12" s="67">
        <f t="shared" si="0"/>
        <v>3800</v>
      </c>
      <c r="G12" s="72">
        <v>8418</v>
      </c>
      <c r="H12" s="66">
        <v>10</v>
      </c>
      <c r="I12" s="65">
        <f t="shared" si="1"/>
        <v>380</v>
      </c>
      <c r="J12" s="65"/>
    </row>
    <row r="13" spans="2:13" ht="15.75" thickBot="1" x14ac:dyDescent="0.3">
      <c r="B13" s="455">
        <v>8</v>
      </c>
      <c r="C13" s="70" t="s">
        <v>127</v>
      </c>
      <c r="D13" s="69">
        <v>2</v>
      </c>
      <c r="E13" s="68">
        <v>1000</v>
      </c>
      <c r="F13" s="67">
        <f t="shared" si="0"/>
        <v>2000</v>
      </c>
      <c r="G13" s="72">
        <v>7321</v>
      </c>
      <c r="H13" s="66">
        <v>10</v>
      </c>
      <c r="I13" s="65">
        <f t="shared" si="1"/>
        <v>200</v>
      </c>
      <c r="J13" s="65"/>
    </row>
    <row r="14" spans="2:13" ht="15.75" thickBot="1" x14ac:dyDescent="0.3">
      <c r="B14" s="455">
        <v>9</v>
      </c>
      <c r="C14" s="70" t="s">
        <v>126</v>
      </c>
      <c r="D14" s="69">
        <v>2</v>
      </c>
      <c r="E14" s="68">
        <v>500</v>
      </c>
      <c r="F14" s="67">
        <f t="shared" si="0"/>
        <v>1000</v>
      </c>
      <c r="G14" s="72">
        <v>8514</v>
      </c>
      <c r="H14" s="66">
        <v>10</v>
      </c>
      <c r="I14" s="65">
        <f t="shared" si="1"/>
        <v>100</v>
      </c>
      <c r="J14" s="65"/>
    </row>
    <row r="15" spans="2:13" ht="15.75" thickBot="1" x14ac:dyDescent="0.3">
      <c r="B15" s="455">
        <v>10</v>
      </c>
      <c r="C15" s="70" t="s">
        <v>125</v>
      </c>
      <c r="D15" s="69">
        <v>5</v>
      </c>
      <c r="E15" s="68">
        <v>1300</v>
      </c>
      <c r="F15" s="67">
        <f t="shared" si="0"/>
        <v>6500</v>
      </c>
      <c r="G15" s="72">
        <v>9403</v>
      </c>
      <c r="H15" s="66">
        <v>10</v>
      </c>
      <c r="I15" s="65">
        <f t="shared" si="1"/>
        <v>650</v>
      </c>
      <c r="J15" s="65"/>
    </row>
    <row r="16" spans="2:13" ht="15.75" thickBot="1" x14ac:dyDescent="0.3">
      <c r="B16" s="455">
        <v>11</v>
      </c>
      <c r="C16" s="70" t="s">
        <v>124</v>
      </c>
      <c r="D16" s="69">
        <v>6</v>
      </c>
      <c r="E16" s="68">
        <v>2100</v>
      </c>
      <c r="F16" s="67">
        <f t="shared" si="0"/>
        <v>12600</v>
      </c>
      <c r="G16" s="72">
        <v>8415</v>
      </c>
      <c r="H16" s="66">
        <v>10</v>
      </c>
      <c r="I16" s="65">
        <f t="shared" si="1"/>
        <v>1260</v>
      </c>
      <c r="J16" s="65"/>
    </row>
    <row r="17" spans="2:10" ht="15.75" thickBot="1" x14ac:dyDescent="0.3">
      <c r="B17" s="455">
        <v>12</v>
      </c>
      <c r="C17" s="70" t="s">
        <v>123</v>
      </c>
      <c r="D17" s="69">
        <v>2</v>
      </c>
      <c r="E17" s="68">
        <v>650</v>
      </c>
      <c r="F17" s="67">
        <f t="shared" si="0"/>
        <v>1300</v>
      </c>
      <c r="G17" s="72">
        <v>9403</v>
      </c>
      <c r="H17" s="66">
        <v>10</v>
      </c>
      <c r="I17" s="65">
        <f t="shared" si="1"/>
        <v>130</v>
      </c>
      <c r="J17" s="65"/>
    </row>
    <row r="18" spans="2:10" ht="15.75" thickBot="1" x14ac:dyDescent="0.3">
      <c r="B18" s="455">
        <v>13</v>
      </c>
      <c r="C18" s="70" t="s">
        <v>122</v>
      </c>
      <c r="D18" s="69">
        <v>20</v>
      </c>
      <c r="E18" s="68">
        <v>250</v>
      </c>
      <c r="F18" s="67">
        <f t="shared" si="0"/>
        <v>5000</v>
      </c>
      <c r="G18" s="72">
        <v>9403</v>
      </c>
      <c r="H18" s="66">
        <v>10</v>
      </c>
      <c r="I18" s="65">
        <f t="shared" si="1"/>
        <v>500</v>
      </c>
      <c r="J18" s="65"/>
    </row>
    <row r="19" spans="2:10" ht="15.75" thickBot="1" x14ac:dyDescent="0.3">
      <c r="B19" s="455">
        <v>14</v>
      </c>
      <c r="C19" s="70" t="s">
        <v>121</v>
      </c>
      <c r="D19" s="69">
        <v>8</v>
      </c>
      <c r="E19" s="68">
        <v>400</v>
      </c>
      <c r="F19" s="67">
        <f t="shared" si="0"/>
        <v>3200</v>
      </c>
      <c r="G19" s="72">
        <v>9403</v>
      </c>
      <c r="H19" s="66">
        <v>10</v>
      </c>
      <c r="I19" s="65">
        <f t="shared" si="1"/>
        <v>320</v>
      </c>
      <c r="J19" s="65"/>
    </row>
    <row r="20" spans="2:10" ht="15.75" thickBot="1" x14ac:dyDescent="0.3">
      <c r="B20" s="455">
        <v>15</v>
      </c>
      <c r="C20" s="70" t="s">
        <v>120</v>
      </c>
      <c r="D20" s="69">
        <v>10</v>
      </c>
      <c r="E20" s="68">
        <v>670</v>
      </c>
      <c r="F20" s="67">
        <f t="shared" si="0"/>
        <v>6700</v>
      </c>
      <c r="G20" s="72">
        <v>9403</v>
      </c>
      <c r="H20" s="66">
        <v>10</v>
      </c>
      <c r="I20" s="65">
        <f t="shared" si="1"/>
        <v>670</v>
      </c>
      <c r="J20" s="65"/>
    </row>
    <row r="21" spans="2:10" ht="15.75" thickBot="1" x14ac:dyDescent="0.3">
      <c r="B21" s="455">
        <v>16</v>
      </c>
      <c r="C21" s="70" t="s">
        <v>119</v>
      </c>
      <c r="D21" s="69">
        <v>8</v>
      </c>
      <c r="E21" s="68">
        <v>750</v>
      </c>
      <c r="F21" s="67">
        <f t="shared" si="0"/>
        <v>6000</v>
      </c>
      <c r="G21" s="72">
        <v>9403</v>
      </c>
      <c r="H21" s="66">
        <v>10</v>
      </c>
      <c r="I21" s="65">
        <f t="shared" si="1"/>
        <v>600</v>
      </c>
      <c r="J21" s="65"/>
    </row>
    <row r="22" spans="2:10" ht="15.75" thickBot="1" x14ac:dyDescent="0.3">
      <c r="B22" s="455">
        <v>17</v>
      </c>
      <c r="C22" s="70" t="s">
        <v>118</v>
      </c>
      <c r="D22" s="69">
        <v>3</v>
      </c>
      <c r="E22" s="68">
        <v>3000</v>
      </c>
      <c r="F22" s="67">
        <f t="shared" si="0"/>
        <v>9000</v>
      </c>
      <c r="G22" s="61"/>
      <c r="H22" s="66">
        <v>10</v>
      </c>
      <c r="I22" s="65">
        <f t="shared" si="1"/>
        <v>900</v>
      </c>
      <c r="J22" s="65"/>
    </row>
    <row r="23" spans="2:10" ht="15.75" thickBot="1" x14ac:dyDescent="0.3">
      <c r="B23" s="789" t="s">
        <v>117</v>
      </c>
      <c r="C23" s="790"/>
      <c r="D23" s="790"/>
      <c r="E23" s="791"/>
      <c r="F23" s="64">
        <f>SUM(F6:F22)</f>
        <v>156908</v>
      </c>
      <c r="G23" s="792" t="s">
        <v>1097</v>
      </c>
      <c r="H23" s="793"/>
      <c r="I23" s="63">
        <f>SUM(I6:I22)</f>
        <v>24551.599999999999</v>
      </c>
      <c r="J23" s="63"/>
    </row>
    <row r="25" spans="2:10" ht="15.75" thickBot="1" x14ac:dyDescent="0.3">
      <c r="B25" s="863" t="s">
        <v>1098</v>
      </c>
      <c r="C25" s="864"/>
      <c r="D25" s="864"/>
      <c r="E25" s="864"/>
      <c r="F25" s="864"/>
      <c r="G25" s="864"/>
      <c r="H25" s="864"/>
      <c r="I25" s="865"/>
    </row>
    <row r="26" spans="2:10" ht="15.75" thickBot="1" x14ac:dyDescent="0.3">
      <c r="B26" s="124">
        <v>1</v>
      </c>
      <c r="C26" s="123" t="s">
        <v>262</v>
      </c>
      <c r="D26" s="122">
        <v>6</v>
      </c>
      <c r="E26" s="121">
        <v>600</v>
      </c>
      <c r="F26" s="120">
        <f>E26*D26</f>
        <v>3600</v>
      </c>
      <c r="G26" s="115">
        <v>82</v>
      </c>
      <c r="H26" s="114">
        <v>5</v>
      </c>
      <c r="I26" s="119">
        <f>F26/H26</f>
        <v>720</v>
      </c>
      <c r="J26" s="65"/>
    </row>
    <row r="27" spans="2:10" ht="15.75" thickBot="1" x14ac:dyDescent="0.3">
      <c r="B27" s="124">
        <v>2</v>
      </c>
      <c r="C27" s="123" t="s">
        <v>261</v>
      </c>
      <c r="D27" s="122">
        <v>6</v>
      </c>
      <c r="E27" s="121">
        <v>575</v>
      </c>
      <c r="F27" s="120">
        <f>E27*D27</f>
        <v>3450</v>
      </c>
      <c r="G27" s="115">
        <v>82</v>
      </c>
      <c r="H27" s="114">
        <v>5</v>
      </c>
      <c r="I27" s="119">
        <f t="shared" ref="I27:I60" si="2">F27/H27</f>
        <v>690</v>
      </c>
      <c r="J27" s="65"/>
    </row>
    <row r="28" spans="2:10" ht="15.75" thickBot="1" x14ac:dyDescent="0.3">
      <c r="B28" s="124">
        <v>3</v>
      </c>
      <c r="C28" s="123" t="s">
        <v>260</v>
      </c>
      <c r="D28" s="122">
        <v>6</v>
      </c>
      <c r="E28" s="121">
        <v>332.25</v>
      </c>
      <c r="F28" s="120">
        <f t="shared" ref="F28:F60" si="3">E28*D28</f>
        <v>1993.5</v>
      </c>
      <c r="G28" s="115"/>
      <c r="H28" s="114">
        <v>5</v>
      </c>
      <c r="I28" s="119">
        <f t="shared" si="2"/>
        <v>398.7</v>
      </c>
      <c r="J28" s="65"/>
    </row>
    <row r="29" spans="2:10" ht="15.75" thickBot="1" x14ac:dyDescent="0.3">
      <c r="B29" s="124">
        <v>4</v>
      </c>
      <c r="C29" s="123" t="s">
        <v>259</v>
      </c>
      <c r="D29" s="122">
        <v>6</v>
      </c>
      <c r="E29" s="121">
        <v>3927</v>
      </c>
      <c r="F29" s="120">
        <f t="shared" si="3"/>
        <v>23562</v>
      </c>
      <c r="G29" s="115"/>
      <c r="H29" s="114">
        <v>5</v>
      </c>
      <c r="I29" s="119">
        <f t="shared" si="2"/>
        <v>4712.3999999999996</v>
      </c>
      <c r="J29" s="65"/>
    </row>
    <row r="30" spans="2:10" ht="15.75" customHeight="1" thickBot="1" x14ac:dyDescent="0.3">
      <c r="B30" s="124">
        <v>5</v>
      </c>
      <c r="C30" s="123" t="s">
        <v>258</v>
      </c>
      <c r="D30" s="122">
        <v>5</v>
      </c>
      <c r="E30" s="121">
        <v>1053.1500000000001</v>
      </c>
      <c r="F30" s="120">
        <f t="shared" si="3"/>
        <v>5265.75</v>
      </c>
      <c r="G30" s="115"/>
      <c r="H30" s="114">
        <v>20</v>
      </c>
      <c r="I30" s="119">
        <f t="shared" si="2"/>
        <v>263.28750000000002</v>
      </c>
      <c r="J30" s="65"/>
    </row>
    <row r="31" spans="2:10" ht="23.25" thickBot="1" x14ac:dyDescent="0.3">
      <c r="B31" s="124">
        <v>6</v>
      </c>
      <c r="C31" s="127" t="s">
        <v>257</v>
      </c>
      <c r="D31" s="126">
        <v>28</v>
      </c>
      <c r="E31" s="120">
        <v>6500</v>
      </c>
      <c r="F31" s="120">
        <f t="shared" si="3"/>
        <v>182000</v>
      </c>
      <c r="G31" s="115">
        <v>89</v>
      </c>
      <c r="H31" s="114">
        <v>20</v>
      </c>
      <c r="I31" s="119">
        <f t="shared" si="2"/>
        <v>9100</v>
      </c>
      <c r="J31" s="65"/>
    </row>
    <row r="32" spans="2:10" ht="15.75" thickBot="1" x14ac:dyDescent="0.3">
      <c r="B32" s="124">
        <v>7</v>
      </c>
      <c r="C32" s="123" t="s">
        <v>256</v>
      </c>
      <c r="D32" s="122">
        <v>6</v>
      </c>
      <c r="E32" s="121">
        <v>332.25</v>
      </c>
      <c r="F32" s="120">
        <f t="shared" si="3"/>
        <v>1993.5</v>
      </c>
      <c r="G32" s="115"/>
      <c r="H32" s="114">
        <v>5</v>
      </c>
      <c r="I32" s="119">
        <f t="shared" si="2"/>
        <v>398.7</v>
      </c>
      <c r="J32" s="65"/>
    </row>
    <row r="33" spans="2:10" ht="15.75" thickBot="1" x14ac:dyDescent="0.3">
      <c r="B33" s="124">
        <v>8</v>
      </c>
      <c r="C33" s="123" t="s">
        <v>255</v>
      </c>
      <c r="D33" s="122">
        <v>6</v>
      </c>
      <c r="E33" s="121">
        <v>3927</v>
      </c>
      <c r="F33" s="120">
        <f t="shared" si="3"/>
        <v>23562</v>
      </c>
      <c r="G33" s="115">
        <v>84</v>
      </c>
      <c r="H33" s="114">
        <v>10</v>
      </c>
      <c r="I33" s="119">
        <f t="shared" si="2"/>
        <v>2356.1999999999998</v>
      </c>
      <c r="J33" s="65"/>
    </row>
    <row r="34" spans="2:10" ht="15.75" thickBot="1" x14ac:dyDescent="0.3">
      <c r="B34" s="124">
        <v>9</v>
      </c>
      <c r="C34" s="123" t="s">
        <v>254</v>
      </c>
      <c r="D34" s="122">
        <v>5</v>
      </c>
      <c r="E34" s="121">
        <v>332.25</v>
      </c>
      <c r="F34" s="120">
        <f t="shared" si="3"/>
        <v>1661.25</v>
      </c>
      <c r="G34" s="115"/>
      <c r="H34" s="114">
        <v>10</v>
      </c>
      <c r="I34" s="119">
        <f t="shared" si="2"/>
        <v>166.125</v>
      </c>
      <c r="J34" s="65"/>
    </row>
    <row r="35" spans="2:10" ht="15.75" thickBot="1" x14ac:dyDescent="0.3">
      <c r="B35" s="124">
        <v>10</v>
      </c>
      <c r="C35" s="123" t="s">
        <v>253</v>
      </c>
      <c r="D35" s="122">
        <v>6</v>
      </c>
      <c r="E35" s="121">
        <v>1315</v>
      </c>
      <c r="F35" s="120">
        <f t="shared" si="3"/>
        <v>7890</v>
      </c>
      <c r="G35" s="115">
        <v>84</v>
      </c>
      <c r="H35" s="114">
        <v>10</v>
      </c>
      <c r="I35" s="119">
        <f t="shared" si="2"/>
        <v>789</v>
      </c>
      <c r="J35" s="65"/>
    </row>
    <row r="36" spans="2:10" ht="15.75" thickBot="1" x14ac:dyDescent="0.3">
      <c r="B36" s="124">
        <v>11</v>
      </c>
      <c r="C36" s="123" t="s">
        <v>252</v>
      </c>
      <c r="D36" s="122">
        <v>6</v>
      </c>
      <c r="E36" s="121">
        <v>307.99</v>
      </c>
      <c r="F36" s="120">
        <f t="shared" si="3"/>
        <v>1847.94</v>
      </c>
      <c r="G36" s="115"/>
      <c r="H36" s="114">
        <v>10</v>
      </c>
      <c r="I36" s="119">
        <f t="shared" si="2"/>
        <v>184.79400000000001</v>
      </c>
      <c r="J36" s="65"/>
    </row>
    <row r="37" spans="2:10" ht="15.75" thickBot="1" x14ac:dyDescent="0.3">
      <c r="B37" s="124">
        <v>12</v>
      </c>
      <c r="C37" s="123" t="s">
        <v>251</v>
      </c>
      <c r="D37" s="122">
        <v>6</v>
      </c>
      <c r="E37" s="121">
        <v>288.8</v>
      </c>
      <c r="F37" s="120">
        <f t="shared" si="3"/>
        <v>1732.8000000000002</v>
      </c>
      <c r="G37" s="115"/>
      <c r="H37" s="114">
        <v>10</v>
      </c>
      <c r="I37" s="119">
        <f t="shared" si="2"/>
        <v>173.28000000000003</v>
      </c>
      <c r="J37" s="65"/>
    </row>
    <row r="38" spans="2:10" ht="23.25" thickBot="1" x14ac:dyDescent="0.3">
      <c r="B38" s="124">
        <v>13</v>
      </c>
      <c r="C38" s="123" t="s">
        <v>250</v>
      </c>
      <c r="D38" s="122">
        <v>5</v>
      </c>
      <c r="E38" s="121">
        <v>1016.41</v>
      </c>
      <c r="F38" s="120">
        <f t="shared" si="3"/>
        <v>5082.05</v>
      </c>
      <c r="G38" s="115">
        <v>84</v>
      </c>
      <c r="H38" s="114">
        <v>10</v>
      </c>
      <c r="I38" s="119">
        <f t="shared" si="2"/>
        <v>508.20500000000004</v>
      </c>
      <c r="J38" s="65"/>
    </row>
    <row r="39" spans="2:10" ht="23.25" thickBot="1" x14ac:dyDescent="0.3">
      <c r="B39" s="124">
        <v>14</v>
      </c>
      <c r="C39" s="123" t="s">
        <v>249</v>
      </c>
      <c r="D39" s="122">
        <v>6</v>
      </c>
      <c r="E39" s="121">
        <v>387.19</v>
      </c>
      <c r="F39" s="120">
        <f t="shared" si="3"/>
        <v>2323.14</v>
      </c>
      <c r="G39" s="115"/>
      <c r="H39" s="114">
        <v>10</v>
      </c>
      <c r="I39" s="119">
        <f t="shared" si="2"/>
        <v>232.31399999999999</v>
      </c>
      <c r="J39" s="65"/>
    </row>
    <row r="40" spans="2:10" ht="15.75" thickBot="1" x14ac:dyDescent="0.3">
      <c r="B40" s="124">
        <v>15</v>
      </c>
      <c r="C40" s="123" t="s">
        <v>248</v>
      </c>
      <c r="D40" s="122">
        <v>5</v>
      </c>
      <c r="E40" s="121">
        <v>1311.15</v>
      </c>
      <c r="F40" s="120">
        <f t="shared" si="3"/>
        <v>6555.75</v>
      </c>
      <c r="G40" s="115">
        <v>84</v>
      </c>
      <c r="H40" s="114">
        <v>10</v>
      </c>
      <c r="I40" s="119">
        <f>F40/H40</f>
        <v>655.57500000000005</v>
      </c>
      <c r="J40" s="65"/>
    </row>
    <row r="41" spans="2:10" ht="23.25" thickBot="1" x14ac:dyDescent="0.3">
      <c r="B41" s="124">
        <v>16</v>
      </c>
      <c r="C41" s="123" t="s">
        <v>247</v>
      </c>
      <c r="D41" s="122">
        <v>6</v>
      </c>
      <c r="E41" s="121">
        <v>3499</v>
      </c>
      <c r="F41" s="120">
        <f t="shared" si="3"/>
        <v>20994</v>
      </c>
      <c r="G41" s="115"/>
      <c r="H41" s="114">
        <v>5</v>
      </c>
      <c r="I41" s="119">
        <f t="shared" si="2"/>
        <v>4198.8</v>
      </c>
      <c r="J41" s="65"/>
    </row>
    <row r="42" spans="2:10" ht="15.75" thickBot="1" x14ac:dyDescent="0.3">
      <c r="B42" s="124">
        <v>17</v>
      </c>
      <c r="C42" s="123" t="s">
        <v>246</v>
      </c>
      <c r="D42" s="122">
        <v>6</v>
      </c>
      <c r="E42" s="121">
        <v>241.2</v>
      </c>
      <c r="F42" s="120">
        <f t="shared" si="3"/>
        <v>1447.1999999999998</v>
      </c>
      <c r="G42" s="115"/>
      <c r="H42" s="114">
        <v>5</v>
      </c>
      <c r="I42" s="119">
        <f t="shared" si="2"/>
        <v>289.43999999999994</v>
      </c>
      <c r="J42" s="65"/>
    </row>
    <row r="43" spans="2:10" ht="15.75" thickBot="1" x14ac:dyDescent="0.3">
      <c r="B43" s="124">
        <v>18</v>
      </c>
      <c r="C43" s="123" t="s">
        <v>245</v>
      </c>
      <c r="D43" s="122">
        <v>6</v>
      </c>
      <c r="E43" s="121">
        <v>566.32000000000005</v>
      </c>
      <c r="F43" s="120">
        <f t="shared" si="3"/>
        <v>3397.92</v>
      </c>
      <c r="G43" s="115">
        <v>82</v>
      </c>
      <c r="H43" s="114">
        <v>5</v>
      </c>
      <c r="I43" s="119">
        <f t="shared" si="2"/>
        <v>679.58400000000006</v>
      </c>
      <c r="J43" s="65"/>
    </row>
    <row r="44" spans="2:10" ht="15.75" thickBot="1" x14ac:dyDescent="0.3">
      <c r="B44" s="124">
        <v>19</v>
      </c>
      <c r="C44" s="123" t="s">
        <v>244</v>
      </c>
      <c r="D44" s="122">
        <v>6</v>
      </c>
      <c r="E44" s="121">
        <v>79</v>
      </c>
      <c r="F44" s="120">
        <f t="shared" si="3"/>
        <v>474</v>
      </c>
      <c r="G44" s="115">
        <v>84</v>
      </c>
      <c r="H44" s="114">
        <v>10</v>
      </c>
      <c r="I44" s="119">
        <f t="shared" si="2"/>
        <v>47.4</v>
      </c>
      <c r="J44" s="65"/>
    </row>
    <row r="45" spans="2:10" ht="15.75" thickBot="1" x14ac:dyDescent="0.3">
      <c r="B45" s="124">
        <v>20</v>
      </c>
      <c r="C45" s="123" t="s">
        <v>243</v>
      </c>
      <c r="D45" s="122">
        <v>5</v>
      </c>
      <c r="E45" s="121">
        <v>384.8</v>
      </c>
      <c r="F45" s="120">
        <f t="shared" si="3"/>
        <v>1924</v>
      </c>
      <c r="G45" s="115">
        <v>84</v>
      </c>
      <c r="H45" s="114">
        <v>10</v>
      </c>
      <c r="I45" s="119">
        <f t="shared" si="2"/>
        <v>192.4</v>
      </c>
      <c r="J45" s="65"/>
    </row>
    <row r="46" spans="2:10" ht="15.75" thickBot="1" x14ac:dyDescent="0.3">
      <c r="B46" s="124">
        <v>21</v>
      </c>
      <c r="C46" s="123" t="s">
        <v>242</v>
      </c>
      <c r="D46" s="122">
        <v>6</v>
      </c>
      <c r="E46" s="121">
        <v>8325</v>
      </c>
      <c r="F46" s="120">
        <f t="shared" si="3"/>
        <v>49950</v>
      </c>
      <c r="G46" s="115"/>
      <c r="H46" s="114">
        <v>5</v>
      </c>
      <c r="I46" s="119">
        <f t="shared" si="2"/>
        <v>9990</v>
      </c>
      <c r="J46" s="65"/>
    </row>
    <row r="47" spans="2:10" ht="15.75" thickBot="1" x14ac:dyDescent="0.3">
      <c r="B47" s="124">
        <v>22</v>
      </c>
      <c r="C47" s="123" t="s">
        <v>241</v>
      </c>
      <c r="D47" s="122">
        <v>6</v>
      </c>
      <c r="E47" s="121">
        <v>2953</v>
      </c>
      <c r="F47" s="120">
        <f t="shared" si="3"/>
        <v>17718</v>
      </c>
      <c r="G47" s="115"/>
      <c r="H47" s="114">
        <v>5</v>
      </c>
      <c r="I47" s="119">
        <f t="shared" si="2"/>
        <v>3543.6</v>
      </c>
      <c r="J47" s="65"/>
    </row>
    <row r="48" spans="2:10" ht="15.75" thickBot="1" x14ac:dyDescent="0.3">
      <c r="B48" s="124">
        <v>23</v>
      </c>
      <c r="C48" s="123" t="s">
        <v>240</v>
      </c>
      <c r="D48" s="122">
        <v>6</v>
      </c>
      <c r="E48" s="121">
        <v>18466.29</v>
      </c>
      <c r="F48" s="120">
        <f t="shared" si="3"/>
        <v>110797.74</v>
      </c>
      <c r="G48" s="115"/>
      <c r="H48" s="114">
        <v>5</v>
      </c>
      <c r="I48" s="119">
        <f t="shared" si="2"/>
        <v>22159.548000000003</v>
      </c>
      <c r="J48" s="65"/>
    </row>
    <row r="49" spans="2:10" ht="15.75" thickBot="1" x14ac:dyDescent="0.3">
      <c r="B49" s="124">
        <v>24</v>
      </c>
      <c r="C49" s="123" t="s">
        <v>239</v>
      </c>
      <c r="D49" s="122">
        <v>6</v>
      </c>
      <c r="E49" s="121">
        <v>972.91</v>
      </c>
      <c r="F49" s="120">
        <f t="shared" si="3"/>
        <v>5837.46</v>
      </c>
      <c r="G49" s="115">
        <v>82</v>
      </c>
      <c r="H49" s="114">
        <v>5</v>
      </c>
      <c r="I49" s="119">
        <f t="shared" si="2"/>
        <v>1167.492</v>
      </c>
      <c r="J49" s="65"/>
    </row>
    <row r="50" spans="2:10" ht="15.75" thickBot="1" x14ac:dyDescent="0.3">
      <c r="B50" s="124">
        <v>25</v>
      </c>
      <c r="C50" s="123" t="s">
        <v>238</v>
      </c>
      <c r="D50" s="122">
        <v>5</v>
      </c>
      <c r="E50" s="121">
        <v>317.14</v>
      </c>
      <c r="F50" s="120">
        <f t="shared" si="3"/>
        <v>1585.6999999999998</v>
      </c>
      <c r="G50" s="115"/>
      <c r="H50" s="114">
        <v>5</v>
      </c>
      <c r="I50" s="119">
        <f t="shared" si="2"/>
        <v>317.14</v>
      </c>
      <c r="J50" s="65"/>
    </row>
    <row r="51" spans="2:10" ht="15.75" thickBot="1" x14ac:dyDescent="0.3">
      <c r="B51" s="124">
        <v>26</v>
      </c>
      <c r="C51" s="123" t="s">
        <v>237</v>
      </c>
      <c r="D51" s="122">
        <v>28</v>
      </c>
      <c r="E51" s="121">
        <v>8000</v>
      </c>
      <c r="F51" s="120">
        <f t="shared" si="3"/>
        <v>224000</v>
      </c>
      <c r="G51" s="115">
        <v>84</v>
      </c>
      <c r="H51" s="114">
        <v>10</v>
      </c>
      <c r="I51" s="119">
        <f t="shared" si="2"/>
        <v>22400</v>
      </c>
      <c r="J51" s="65"/>
    </row>
    <row r="52" spans="2:10" ht="15.75" thickBot="1" x14ac:dyDescent="0.3">
      <c r="B52" s="124">
        <v>27</v>
      </c>
      <c r="C52" s="123" t="s">
        <v>236</v>
      </c>
      <c r="D52" s="122">
        <v>6</v>
      </c>
      <c r="E52" s="121">
        <v>979.99</v>
      </c>
      <c r="F52" s="120">
        <f t="shared" si="3"/>
        <v>5879.9400000000005</v>
      </c>
      <c r="G52" s="115"/>
      <c r="H52" s="114">
        <v>5</v>
      </c>
      <c r="I52" s="119">
        <f t="shared" si="2"/>
        <v>1175.9880000000001</v>
      </c>
      <c r="J52" s="65"/>
    </row>
    <row r="53" spans="2:10" ht="15.75" thickBot="1" x14ac:dyDescent="0.3">
      <c r="B53" s="124">
        <v>28</v>
      </c>
      <c r="C53" s="123" t="s">
        <v>235</v>
      </c>
      <c r="D53" s="122">
        <v>6</v>
      </c>
      <c r="E53" s="121">
        <v>603.99</v>
      </c>
      <c r="F53" s="120">
        <f t="shared" si="3"/>
        <v>3623.94</v>
      </c>
      <c r="G53" s="115"/>
      <c r="H53" s="114">
        <v>5</v>
      </c>
      <c r="I53" s="119">
        <f t="shared" si="2"/>
        <v>724.78800000000001</v>
      </c>
      <c r="J53" s="65"/>
    </row>
    <row r="54" spans="2:10" ht="15.75" thickBot="1" x14ac:dyDescent="0.3">
      <c r="B54" s="124">
        <v>29</v>
      </c>
      <c r="C54" s="123" t="s">
        <v>234</v>
      </c>
      <c r="D54" s="122">
        <v>6</v>
      </c>
      <c r="E54" s="121">
        <v>1100</v>
      </c>
      <c r="F54" s="120">
        <f t="shared" si="3"/>
        <v>6600</v>
      </c>
      <c r="G54" s="115">
        <v>90</v>
      </c>
      <c r="H54" s="114">
        <v>10</v>
      </c>
      <c r="I54" s="119">
        <f>F54/H54</f>
        <v>660</v>
      </c>
      <c r="J54" s="65"/>
    </row>
    <row r="55" spans="2:10" ht="15.75" thickBot="1" x14ac:dyDescent="0.3">
      <c r="B55" s="124">
        <v>30</v>
      </c>
      <c r="C55" s="123" t="s">
        <v>233</v>
      </c>
      <c r="D55" s="122">
        <v>6</v>
      </c>
      <c r="E55" s="121">
        <v>209.9</v>
      </c>
      <c r="F55" s="120">
        <f t="shared" si="3"/>
        <v>1259.4000000000001</v>
      </c>
      <c r="G55" s="115">
        <v>90</v>
      </c>
      <c r="H55" s="114">
        <v>10</v>
      </c>
      <c r="I55" s="119">
        <f t="shared" si="2"/>
        <v>125.94000000000001</v>
      </c>
      <c r="J55" s="65"/>
    </row>
    <row r="56" spans="2:10" ht="15.75" thickBot="1" x14ac:dyDescent="0.3">
      <c r="B56" s="124">
        <v>31</v>
      </c>
      <c r="C56" s="123" t="s">
        <v>232</v>
      </c>
      <c r="D56" s="122">
        <v>6</v>
      </c>
      <c r="E56" s="121">
        <v>420</v>
      </c>
      <c r="F56" s="120">
        <f t="shared" si="3"/>
        <v>2520</v>
      </c>
      <c r="G56" s="115">
        <v>90</v>
      </c>
      <c r="H56" s="114">
        <v>10</v>
      </c>
      <c r="I56" s="119">
        <f t="shared" si="2"/>
        <v>252</v>
      </c>
      <c r="J56" s="65"/>
    </row>
    <row r="57" spans="2:10" ht="15.75" thickBot="1" x14ac:dyDescent="0.3">
      <c r="B57" s="124">
        <v>32</v>
      </c>
      <c r="C57" s="123" t="s">
        <v>231</v>
      </c>
      <c r="D57" s="122">
        <v>5</v>
      </c>
      <c r="E57" s="121">
        <v>1214.72</v>
      </c>
      <c r="F57" s="120">
        <f t="shared" si="3"/>
        <v>6073.6</v>
      </c>
      <c r="G57" s="115">
        <v>84</v>
      </c>
      <c r="H57" s="114">
        <v>10</v>
      </c>
      <c r="I57" s="119">
        <f t="shared" si="2"/>
        <v>607.36</v>
      </c>
      <c r="J57" s="65"/>
    </row>
    <row r="58" spans="2:10" ht="15.75" thickBot="1" x14ac:dyDescent="0.3">
      <c r="B58" s="124">
        <v>33</v>
      </c>
      <c r="C58" s="123" t="s">
        <v>230</v>
      </c>
      <c r="D58" s="122">
        <v>6</v>
      </c>
      <c r="E58" s="121">
        <v>169.1</v>
      </c>
      <c r="F58" s="120">
        <f t="shared" si="3"/>
        <v>1014.5999999999999</v>
      </c>
      <c r="G58" s="115">
        <v>90</v>
      </c>
      <c r="H58" s="114">
        <v>10</v>
      </c>
      <c r="I58" s="119">
        <f t="shared" si="2"/>
        <v>101.46</v>
      </c>
      <c r="J58" s="65"/>
    </row>
    <row r="59" spans="2:10" ht="23.25" thickBot="1" x14ac:dyDescent="0.3">
      <c r="B59" s="124">
        <v>34</v>
      </c>
      <c r="C59" s="123" t="s">
        <v>229</v>
      </c>
      <c r="D59" s="122">
        <v>6</v>
      </c>
      <c r="E59" s="121">
        <v>1857.99</v>
      </c>
      <c r="F59" s="120">
        <f t="shared" si="3"/>
        <v>11147.94</v>
      </c>
      <c r="G59" s="115">
        <v>84</v>
      </c>
      <c r="H59" s="114">
        <v>10</v>
      </c>
      <c r="I59" s="119">
        <f t="shared" si="2"/>
        <v>1114.7940000000001</v>
      </c>
      <c r="J59" s="65"/>
    </row>
    <row r="60" spans="2:10" ht="15.75" thickBot="1" x14ac:dyDescent="0.3">
      <c r="B60" s="124">
        <v>35</v>
      </c>
      <c r="C60" s="123" t="s">
        <v>228</v>
      </c>
      <c r="D60" s="122">
        <v>6</v>
      </c>
      <c r="E60" s="121">
        <v>1081.79</v>
      </c>
      <c r="F60" s="120">
        <f t="shared" si="3"/>
        <v>6490.74</v>
      </c>
      <c r="G60" s="115">
        <v>84</v>
      </c>
      <c r="H60" s="114">
        <v>10</v>
      </c>
      <c r="I60" s="119">
        <f t="shared" si="2"/>
        <v>649.07399999999996</v>
      </c>
      <c r="J60" s="65"/>
    </row>
    <row r="61" spans="2:10" ht="15.75" thickBot="1" x14ac:dyDescent="0.3">
      <c r="B61" s="824" t="s">
        <v>227</v>
      </c>
      <c r="C61" s="825"/>
      <c r="D61" s="825"/>
      <c r="E61" s="826"/>
      <c r="F61" s="118">
        <f>SUM(F26:F60)</f>
        <v>755255.85999999975</v>
      </c>
      <c r="G61" s="792" t="s">
        <v>1097</v>
      </c>
      <c r="H61" s="793"/>
      <c r="I61" s="117">
        <f>SUM(I26:I60)</f>
        <v>91745.388500000001</v>
      </c>
      <c r="J61" s="117"/>
    </row>
    <row r="62" spans="2:10" x14ac:dyDescent="0.25">
      <c r="B62" s="92" t="s">
        <v>114</v>
      </c>
      <c r="C62" s="112" t="s">
        <v>225</v>
      </c>
      <c r="D62" s="14"/>
      <c r="E62" s="110"/>
      <c r="F62" s="109"/>
      <c r="G62" s="14"/>
      <c r="H62" s="108"/>
      <c r="I62" s="107"/>
    </row>
    <row r="64" spans="2:10" ht="15.75" thickBot="1" x14ac:dyDescent="0.3">
      <c r="B64" s="863" t="s">
        <v>1099</v>
      </c>
      <c r="C64" s="864"/>
      <c r="D64" s="864"/>
      <c r="E64" s="864"/>
      <c r="F64" s="864"/>
      <c r="G64" s="864"/>
      <c r="H64" s="864"/>
      <c r="I64" s="865"/>
    </row>
    <row r="65" spans="2:10" ht="23.25" thickBot="1" x14ac:dyDescent="0.3">
      <c r="B65" s="124">
        <v>1</v>
      </c>
      <c r="C65" s="123" t="s">
        <v>1100</v>
      </c>
      <c r="D65" s="122">
        <v>9</v>
      </c>
      <c r="E65" s="121">
        <v>500000</v>
      </c>
      <c r="F65" s="120">
        <f>E65*D65</f>
        <v>4500000</v>
      </c>
      <c r="G65" s="115" t="s">
        <v>422</v>
      </c>
      <c r="H65" s="114">
        <v>20</v>
      </c>
      <c r="I65" s="119">
        <v>0</v>
      </c>
    </row>
    <row r="66" spans="2:10" ht="15.75" thickBot="1" x14ac:dyDescent="0.3">
      <c r="G66" s="792" t="s">
        <v>1097</v>
      </c>
      <c r="H66" s="793"/>
      <c r="I66" s="117">
        <f>I65</f>
        <v>0</v>
      </c>
    </row>
    <row r="67" spans="2:10" ht="15.75" thickBot="1" x14ac:dyDescent="0.3"/>
    <row r="68" spans="2:10" ht="15.75" thickBot="1" x14ac:dyDescent="0.3">
      <c r="C68" t="s">
        <v>1101</v>
      </c>
      <c r="I68" s="117">
        <f>I66+I61+I23</f>
        <v>116296.98850000001</v>
      </c>
      <c r="J68" s="117"/>
    </row>
  </sheetData>
  <mergeCells count="15">
    <mergeCell ref="J4:J5"/>
    <mergeCell ref="B3:I3"/>
    <mergeCell ref="B4:B5"/>
    <mergeCell ref="C4:C5"/>
    <mergeCell ref="D4:D5"/>
    <mergeCell ref="G4:G5"/>
    <mergeCell ref="H4:H5"/>
    <mergeCell ref="I4:I5"/>
    <mergeCell ref="G66:H66"/>
    <mergeCell ref="B23:E23"/>
    <mergeCell ref="G23:H23"/>
    <mergeCell ref="B25:I25"/>
    <mergeCell ref="B61:E61"/>
    <mergeCell ref="G61:H61"/>
    <mergeCell ref="B64:I64"/>
  </mergeCells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J26" sqref="J26"/>
    </sheetView>
  </sheetViews>
  <sheetFormatPr defaultRowHeight="15" x14ac:dyDescent="0.25"/>
  <cols>
    <col min="5" max="5" width="51.28515625" customWidth="1"/>
    <col min="8" max="8" width="11" customWidth="1"/>
    <col min="9" max="9" width="12.85546875" customWidth="1"/>
    <col min="10" max="10" width="16" customWidth="1"/>
    <col min="11" max="11" width="16.42578125" customWidth="1"/>
  </cols>
  <sheetData/>
  <pageMargins left="0.511811024" right="0.511811024" top="0.78740157499999996" bottom="0.78740157499999996" header="0.31496062000000002" footer="0.31496062000000002"/>
  <pageSetup paperSize="9" orientation="portrait" verticalDpi="12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"/>
  <sheetViews>
    <sheetView showGridLines="0" topLeftCell="A58" zoomScale="140" zoomScaleNormal="140" workbookViewId="0">
      <selection activeCell="G45" sqref="G45"/>
    </sheetView>
  </sheetViews>
  <sheetFormatPr defaultRowHeight="15" x14ac:dyDescent="0.25"/>
  <cols>
    <col min="2" max="2" width="31.85546875" customWidth="1"/>
    <col min="3" max="3" width="15" bestFit="1" customWidth="1"/>
  </cols>
  <sheetData>
    <row r="8" spans="2:2" x14ac:dyDescent="0.25">
      <c r="B8" t="s">
        <v>25</v>
      </c>
    </row>
  </sheetData>
  <pageMargins left="0.511811024" right="0.511811024" top="0.78740157499999996" bottom="0.78740157499999996" header="0.31496062000000002" footer="0.3149606200000000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showGridLines="0" zoomScale="120" zoomScaleNormal="120" workbookViewId="0">
      <selection activeCell="C3" sqref="C3"/>
    </sheetView>
  </sheetViews>
  <sheetFormatPr defaultRowHeight="15" x14ac:dyDescent="0.25"/>
  <cols>
    <col min="1" max="1" width="68.42578125" bestFit="1" customWidth="1"/>
    <col min="2" max="2" width="13.85546875" bestFit="1" customWidth="1"/>
    <col min="3" max="3" width="17.85546875" bestFit="1" customWidth="1"/>
    <col min="5" max="5" width="33.28515625" bestFit="1" customWidth="1"/>
    <col min="6" max="6" width="15.140625" bestFit="1" customWidth="1"/>
    <col min="7" max="7" width="12.7109375" bestFit="1" customWidth="1"/>
    <col min="9" max="9" width="33.28515625" bestFit="1" customWidth="1"/>
    <col min="10" max="10" width="14.28515625" bestFit="1" customWidth="1"/>
  </cols>
  <sheetData>
    <row r="1" spans="1:7" x14ac:dyDescent="0.25">
      <c r="A1" s="6" t="s">
        <v>1252</v>
      </c>
      <c r="B1" s="6"/>
      <c r="C1" s="18"/>
    </row>
    <row r="2" spans="1:7" x14ac:dyDescent="0.25">
      <c r="A2" s="866" t="s">
        <v>1088</v>
      </c>
      <c r="B2" s="866" t="s">
        <v>1087</v>
      </c>
      <c r="C2" s="866"/>
    </row>
    <row r="3" spans="1:7" x14ac:dyDescent="0.25">
      <c r="A3" s="866"/>
      <c r="B3" s="404" t="s">
        <v>1086</v>
      </c>
      <c r="C3" s="7" t="s">
        <v>1085</v>
      </c>
      <c r="D3" s="18"/>
      <c r="E3" s="18"/>
    </row>
    <row r="4" spans="1:7" x14ac:dyDescent="0.25">
      <c r="A4" s="1" t="s">
        <v>1084</v>
      </c>
      <c r="B4" s="404"/>
      <c r="C4" s="7"/>
      <c r="D4" s="18"/>
      <c r="E4" s="1" t="s">
        <v>21</v>
      </c>
      <c r="F4" s="28">
        <f>SUM(F5:F8)</f>
        <v>16151218.372282468</v>
      </c>
    </row>
    <row r="5" spans="1:7" ht="18.75" customHeight="1" x14ac:dyDescent="0.25">
      <c r="A5" s="1" t="s">
        <v>1256</v>
      </c>
      <c r="B5" s="407">
        <f>'salarios e encargos ajustada'!H82</f>
        <v>12353939.005795175</v>
      </c>
      <c r="C5" s="456">
        <v>11624786.626428055</v>
      </c>
      <c r="D5" s="18"/>
      <c r="E5" s="7" t="s">
        <v>14</v>
      </c>
      <c r="F5" s="27">
        <f>'Anexo 5_Desp Adm'!B5</f>
        <v>12353939.005795175</v>
      </c>
    </row>
    <row r="6" spans="1:7" x14ac:dyDescent="0.25">
      <c r="A6" s="1" t="s">
        <v>15</v>
      </c>
      <c r="B6" s="407">
        <v>1540381.96</v>
      </c>
      <c r="C6" s="456">
        <v>1390141.4566440743</v>
      </c>
      <c r="D6" s="18"/>
      <c r="E6" s="7" t="s">
        <v>15</v>
      </c>
      <c r="F6" s="27">
        <f>'Anexo 5_Desp Adm'!B6</f>
        <v>1540381.96</v>
      </c>
      <c r="G6" s="403"/>
    </row>
    <row r="7" spans="1:7" x14ac:dyDescent="0.25">
      <c r="A7" s="1" t="s">
        <v>1083</v>
      </c>
      <c r="B7" s="407">
        <f>SUM(B8:B19)</f>
        <v>2230807.3969095857</v>
      </c>
      <c r="C7" s="456">
        <f>SUM(C8:C19)</f>
        <v>2757349.2637394555</v>
      </c>
      <c r="D7" s="18"/>
      <c r="E7" s="7" t="s">
        <v>1090</v>
      </c>
      <c r="F7" s="27">
        <f>'Anexo 5_Desp Adm'!B7</f>
        <v>2230807.3969095857</v>
      </c>
      <c r="G7" t="s">
        <v>1089</v>
      </c>
    </row>
    <row r="8" spans="1:7" x14ac:dyDescent="0.25">
      <c r="A8" s="7" t="s">
        <v>1082</v>
      </c>
      <c r="B8" s="405">
        <v>166768.29</v>
      </c>
      <c r="C8" s="402">
        <v>301057.01</v>
      </c>
      <c r="D8" s="18"/>
      <c r="E8" s="7" t="s">
        <v>1102</v>
      </c>
      <c r="F8" s="27">
        <f>'Anexo 5_Desp Adm'!B20</f>
        <v>26090.00957770797</v>
      </c>
      <c r="G8" s="4"/>
    </row>
    <row r="9" spans="1:7" x14ac:dyDescent="0.25">
      <c r="A9" s="7" t="s">
        <v>1081</v>
      </c>
      <c r="B9" s="405">
        <v>127474</v>
      </c>
      <c r="C9" s="402">
        <v>127473.98</v>
      </c>
      <c r="D9" s="18"/>
      <c r="E9" s="18"/>
    </row>
    <row r="10" spans="1:7" x14ac:dyDescent="0.25">
      <c r="A10" s="7" t="s">
        <v>1080</v>
      </c>
      <c r="B10" s="405">
        <f>0.025*'salarios e encargos ajustada'!H82</f>
        <v>308848.47514487937</v>
      </c>
      <c r="C10" s="402">
        <v>300000</v>
      </c>
      <c r="D10" s="18"/>
      <c r="E10" s="18"/>
    </row>
    <row r="11" spans="1:7" x14ac:dyDescent="0.25">
      <c r="A11" s="307" t="s">
        <v>1079</v>
      </c>
      <c r="B11" s="405">
        <v>43802.15</v>
      </c>
      <c r="C11" s="402">
        <v>48669.049736432724</v>
      </c>
      <c r="D11" s="18"/>
      <c r="E11" s="18"/>
    </row>
    <row r="12" spans="1:7" x14ac:dyDescent="0.25">
      <c r="A12" s="307" t="s">
        <v>1078</v>
      </c>
      <c r="B12" s="405">
        <v>12479</v>
      </c>
      <c r="C12" s="402">
        <v>292014.29841859598</v>
      </c>
      <c r="D12" s="18"/>
      <c r="E12" s="18"/>
    </row>
    <row r="13" spans="1:7" x14ac:dyDescent="0.25">
      <c r="A13" s="307" t="s">
        <v>1077</v>
      </c>
      <c r="B13" s="405">
        <v>667175.68000000005</v>
      </c>
      <c r="C13" s="402">
        <v>766020.53157142852</v>
      </c>
      <c r="D13" s="18"/>
      <c r="E13" s="18"/>
    </row>
    <row r="14" spans="1:7" x14ac:dyDescent="0.25">
      <c r="A14" s="307" t="s">
        <v>1076</v>
      </c>
      <c r="B14" s="405">
        <v>9969.32</v>
      </c>
      <c r="C14" s="402">
        <v>6041.8520800000006</v>
      </c>
      <c r="D14" s="18"/>
      <c r="E14" s="18"/>
      <c r="F14" s="25"/>
    </row>
    <row r="15" spans="1:7" x14ac:dyDescent="0.25">
      <c r="A15" s="307" t="s">
        <v>1075</v>
      </c>
      <c r="B15" s="405">
        <v>322703.24</v>
      </c>
      <c r="C15" s="402">
        <v>272195.64336829248</v>
      </c>
      <c r="D15" s="18"/>
      <c r="E15" s="18"/>
    </row>
    <row r="16" spans="1:7" x14ac:dyDescent="0.25">
      <c r="A16" s="307" t="s">
        <v>1074</v>
      </c>
      <c r="B16" s="405">
        <v>8005.3</v>
      </c>
      <c r="C16" s="402">
        <v>80294.9568</v>
      </c>
      <c r="D16" s="18"/>
      <c r="E16" s="18"/>
    </row>
    <row r="17" spans="1:5" x14ac:dyDescent="0.25">
      <c r="A17" s="307" t="s">
        <v>1276</v>
      </c>
      <c r="B17" s="405">
        <v>243534.3</v>
      </c>
      <c r="C17" s="402">
        <v>243534.3</v>
      </c>
      <c r="D17" s="18"/>
      <c r="E17" s="18"/>
    </row>
    <row r="18" spans="1:5" x14ac:dyDescent="0.25">
      <c r="A18" s="307" t="s">
        <v>1275</v>
      </c>
      <c r="B18" s="405">
        <v>56378.23</v>
      </c>
      <c r="C18" s="402">
        <v>56378.23</v>
      </c>
      <c r="D18" s="18"/>
      <c r="E18" s="18"/>
    </row>
    <row r="19" spans="1:5" x14ac:dyDescent="0.25">
      <c r="A19" s="307" t="s">
        <v>1073</v>
      </c>
      <c r="B19" s="405">
        <v>263669.41176470602</v>
      </c>
      <c r="C19" s="402">
        <v>263669.41176470602</v>
      </c>
      <c r="D19" s="18"/>
      <c r="E19" s="18"/>
    </row>
    <row r="20" spans="1:5" x14ac:dyDescent="0.25">
      <c r="A20" s="8" t="s">
        <v>1103</v>
      </c>
      <c r="B20" s="407">
        <f>'auditoria contabilidade'!B5</f>
        <v>26090.00957770797</v>
      </c>
      <c r="C20" s="456">
        <f>B20</f>
        <v>26090.00957770797</v>
      </c>
      <c r="D20" s="18"/>
      <c r="E20" s="18"/>
    </row>
    <row r="21" spans="1:5" x14ac:dyDescent="0.25">
      <c r="A21" s="1" t="s">
        <v>9</v>
      </c>
      <c r="B21" s="406">
        <f>B5+B6+B7+B20</f>
        <v>16151218.372282468</v>
      </c>
      <c r="C21" s="406">
        <f>C5+C6+C7+C20</f>
        <v>15798367.356389293</v>
      </c>
      <c r="D21" s="196"/>
      <c r="E21" s="145"/>
    </row>
    <row r="22" spans="1:5" x14ac:dyDescent="0.25">
      <c r="A22" s="49"/>
      <c r="B22" s="196"/>
      <c r="C22" s="18"/>
      <c r="D22" s="18"/>
      <c r="E22" s="18"/>
    </row>
  </sheetData>
  <mergeCells count="2">
    <mergeCell ref="B2:C2"/>
    <mergeCell ref="A2:A3"/>
  </mergeCells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80" zoomScaleNormal="80" workbookViewId="0">
      <selection activeCell="C7" sqref="C7"/>
    </sheetView>
  </sheetViews>
  <sheetFormatPr defaultRowHeight="15" x14ac:dyDescent="0.25"/>
  <cols>
    <col min="1" max="1" width="44.85546875" bestFit="1" customWidth="1"/>
    <col min="2" max="2" width="62.85546875" bestFit="1" customWidth="1"/>
    <col min="3" max="3" width="23.28515625" bestFit="1" customWidth="1"/>
    <col min="5" max="5" width="32.5703125" customWidth="1"/>
    <col min="6" max="6" width="55.42578125" bestFit="1" customWidth="1"/>
    <col min="7" max="7" width="16.85546875" bestFit="1" customWidth="1"/>
    <col min="8" max="8" width="20" bestFit="1" customWidth="1"/>
    <col min="9" max="9" width="14.7109375" bestFit="1" customWidth="1"/>
    <col min="11" max="11" width="12" bestFit="1" customWidth="1"/>
    <col min="12" max="12" width="14.28515625" bestFit="1" customWidth="1"/>
  </cols>
  <sheetData>
    <row r="1" spans="1:6" x14ac:dyDescent="0.25">
      <c r="D1" s="57"/>
    </row>
    <row r="2" spans="1:6" s="56" customFormat="1" ht="21" x14ac:dyDescent="0.35">
      <c r="A2" s="726" t="s">
        <v>104</v>
      </c>
      <c r="B2" s="726"/>
      <c r="C2" s="726"/>
      <c r="F2" s="598"/>
    </row>
    <row r="3" spans="1:6" ht="15.75" thickBot="1" x14ac:dyDescent="0.3">
      <c r="C3" s="50"/>
      <c r="F3" s="50"/>
    </row>
    <row r="4" spans="1:6" ht="15.75" x14ac:dyDescent="0.25">
      <c r="A4" s="338" t="s">
        <v>101</v>
      </c>
      <c r="B4" s="339"/>
      <c r="C4" s="340" t="s">
        <v>2</v>
      </c>
      <c r="F4" s="50"/>
    </row>
    <row r="5" spans="1:6" ht="21.75" thickBot="1" x14ac:dyDescent="0.4">
      <c r="A5" s="341" t="s">
        <v>100</v>
      </c>
      <c r="B5" s="342"/>
      <c r="C5" s="343">
        <f>SUM(C7:C24)</f>
        <v>63507592.623958379</v>
      </c>
      <c r="E5" s="412" t="s">
        <v>103</v>
      </c>
      <c r="F5" s="56"/>
    </row>
    <row r="6" spans="1:6" ht="15.75" thickBot="1" x14ac:dyDescent="0.3">
      <c r="A6" s="44"/>
      <c r="B6" s="18"/>
      <c r="C6" s="43"/>
      <c r="E6" t="s">
        <v>102</v>
      </c>
    </row>
    <row r="7" spans="1:6" ht="15.75" thickBot="1" x14ac:dyDescent="0.3">
      <c r="A7" s="44"/>
      <c r="B7" s="18" t="s">
        <v>99</v>
      </c>
      <c r="C7" s="43">
        <f>'mão de obra'!J23</f>
        <v>25946543.103100918</v>
      </c>
      <c r="D7" t="s">
        <v>77</v>
      </c>
      <c r="E7" s="55">
        <v>37887108.689999998</v>
      </c>
      <c r="F7" s="51">
        <f t="shared" ref="F7:F25" si="0">E7/$E$25</f>
        <v>0.43746823860463441</v>
      </c>
    </row>
    <row r="8" spans="1:6" ht="15.75" thickBot="1" x14ac:dyDescent="0.3">
      <c r="A8" s="44"/>
      <c r="B8" s="18" t="s">
        <v>3</v>
      </c>
      <c r="C8" s="43">
        <f>Veículos!F14</f>
        <v>5318934</v>
      </c>
      <c r="D8" t="s">
        <v>77</v>
      </c>
      <c r="E8" s="53">
        <v>5549334</v>
      </c>
      <c r="F8" s="51">
        <f t="shared" si="0"/>
        <v>6.4076079023933835E-2</v>
      </c>
    </row>
    <row r="9" spans="1:6" ht="15.75" thickBot="1" x14ac:dyDescent="0.3">
      <c r="A9" s="44"/>
      <c r="B9" s="18" t="s">
        <v>4</v>
      </c>
      <c r="C9" s="43">
        <f>Equipamentos!G57</f>
        <v>3619000</v>
      </c>
      <c r="D9" t="s">
        <v>77</v>
      </c>
      <c r="E9" s="53">
        <v>599508</v>
      </c>
      <c r="F9" s="51">
        <f t="shared" si="0"/>
        <v>6.92229409573843E-3</v>
      </c>
    </row>
    <row r="10" spans="1:6" ht="15.75" thickBot="1" x14ac:dyDescent="0.3">
      <c r="A10" s="44"/>
      <c r="B10" s="18" t="s">
        <v>98</v>
      </c>
      <c r="C10" s="43">
        <f>amoxarifado!D4</f>
        <v>693250</v>
      </c>
      <c r="D10" t="s">
        <v>77</v>
      </c>
      <c r="E10" s="53">
        <v>3619000</v>
      </c>
      <c r="F10" s="51">
        <f t="shared" si="0"/>
        <v>4.1787236087720898E-2</v>
      </c>
    </row>
    <row r="11" spans="1:6" ht="15.75" thickBot="1" x14ac:dyDescent="0.3">
      <c r="A11" s="44"/>
      <c r="B11" s="18" t="s">
        <v>97</v>
      </c>
      <c r="C11" s="43">
        <f>Ferramentas!D6</f>
        <v>48264.41</v>
      </c>
      <c r="D11" t="s">
        <v>77</v>
      </c>
      <c r="E11" s="53">
        <v>141164.56</v>
      </c>
      <c r="F11" s="51">
        <f t="shared" si="0"/>
        <v>1.6299742459074998E-3</v>
      </c>
    </row>
    <row r="12" spans="1:6" ht="15.75" thickBot="1" x14ac:dyDescent="0.3">
      <c r="A12" s="44"/>
      <c r="B12" s="18" t="s">
        <v>96</v>
      </c>
      <c r="C12" s="43">
        <f>'Materiais de consumo'!D4</f>
        <v>599508</v>
      </c>
      <c r="D12" t="s">
        <v>77</v>
      </c>
      <c r="E12" s="53">
        <v>718023.6</v>
      </c>
      <c r="F12" s="51">
        <f t="shared" si="0"/>
        <v>8.2907492925546489E-3</v>
      </c>
    </row>
    <row r="13" spans="1:6" ht="15.75" thickBot="1" x14ac:dyDescent="0.3">
      <c r="A13" s="44"/>
      <c r="B13" s="18" t="s">
        <v>95</v>
      </c>
      <c r="C13" s="43">
        <f>0.2515*SUM(C7:C12)</f>
        <v>9110713.1275448799</v>
      </c>
      <c r="D13" t="s">
        <v>77</v>
      </c>
      <c r="E13" s="53">
        <v>12201305.92</v>
      </c>
      <c r="F13" s="51">
        <f t="shared" si="0"/>
        <v>0.14088390468569953</v>
      </c>
    </row>
    <row r="14" spans="1:6" ht="15.75" thickBot="1" x14ac:dyDescent="0.3">
      <c r="A14" s="44"/>
      <c r="B14" s="18" t="s">
        <v>94</v>
      </c>
      <c r="C14" s="43">
        <f>incendio!H6</f>
        <v>450000</v>
      </c>
      <c r="D14" t="s">
        <v>77</v>
      </c>
      <c r="E14" s="53">
        <v>26090.01</v>
      </c>
      <c r="F14" s="51">
        <f t="shared" si="0"/>
        <v>3.012515632497925E-4</v>
      </c>
    </row>
    <row r="15" spans="1:6" ht="15.75" thickBot="1" x14ac:dyDescent="0.3">
      <c r="A15" s="44"/>
      <c r="B15" s="18" t="s">
        <v>93</v>
      </c>
      <c r="C15" s="43">
        <f>automação!H4</f>
        <v>859552.22661190142</v>
      </c>
      <c r="D15" t="s">
        <v>77</v>
      </c>
      <c r="E15" s="54">
        <v>0</v>
      </c>
      <c r="F15" s="51">
        <f t="shared" si="0"/>
        <v>0</v>
      </c>
    </row>
    <row r="16" spans="1:6" ht="15.75" thickBot="1" x14ac:dyDescent="0.3">
      <c r="A16" s="44"/>
      <c r="B16" s="18" t="s">
        <v>92</v>
      </c>
      <c r="C16" s="43">
        <f>helicoptero!H4</f>
        <v>1174000</v>
      </c>
      <c r="D16" t="s">
        <v>77</v>
      </c>
      <c r="E16" s="53">
        <v>1125000</v>
      </c>
      <c r="F16" s="51">
        <f t="shared" si="0"/>
        <v>1.298995319112628E-2</v>
      </c>
    </row>
    <row r="17" spans="1:7" ht="15.75" thickBot="1" x14ac:dyDescent="0.3">
      <c r="A17" s="44"/>
      <c r="B17" s="18" t="s">
        <v>91</v>
      </c>
      <c r="C17" s="43">
        <f>drone!H2</f>
        <v>176100</v>
      </c>
      <c r="D17" t="s">
        <v>77</v>
      </c>
      <c r="E17" s="53">
        <v>1730895.29</v>
      </c>
      <c r="F17" s="51">
        <f t="shared" si="0"/>
        <v>1.99859989296364E-2</v>
      </c>
    </row>
    <row r="18" spans="1:7" ht="15.75" thickBot="1" x14ac:dyDescent="0.3">
      <c r="A18" s="44"/>
      <c r="B18" s="18" t="s">
        <v>90</v>
      </c>
      <c r="C18" s="43">
        <f>geomembranas!H3</f>
        <v>4507377.8368926942</v>
      </c>
      <c r="D18" t="s">
        <v>77</v>
      </c>
      <c r="E18" s="53">
        <v>5101309.5199999996</v>
      </c>
      <c r="F18" s="51">
        <f t="shared" si="0"/>
        <v>5.8902908336219438E-2</v>
      </c>
    </row>
    <row r="19" spans="1:7" ht="15.75" thickBot="1" x14ac:dyDescent="0.3">
      <c r="A19" s="44"/>
      <c r="B19" s="18" t="s">
        <v>5</v>
      </c>
      <c r="C19" s="43">
        <f>'linhas transmissão'!F8</f>
        <v>2867916.7972176187</v>
      </c>
      <c r="D19" t="s">
        <v>77</v>
      </c>
      <c r="E19" s="53">
        <v>1530392.86</v>
      </c>
      <c r="F19" s="51">
        <f t="shared" si="0"/>
        <v>1.7670872547052335E-2</v>
      </c>
    </row>
    <row r="20" spans="1:7" ht="15.75" thickBot="1" x14ac:dyDescent="0.3">
      <c r="A20" s="44"/>
      <c r="B20" s="18" t="s">
        <v>89</v>
      </c>
      <c r="C20" s="43">
        <f>subestações!G10</f>
        <v>3440476.1682361555</v>
      </c>
      <c r="D20" t="s">
        <v>77</v>
      </c>
      <c r="E20" s="53">
        <v>1964440.79</v>
      </c>
      <c r="F20" s="51">
        <f t="shared" si="0"/>
        <v>2.268266125230145E-2</v>
      </c>
    </row>
    <row r="21" spans="1:7" ht="15.75" thickBot="1" x14ac:dyDescent="0.3">
      <c r="A21" s="44"/>
      <c r="B21" s="18" t="s">
        <v>88</v>
      </c>
      <c r="C21" s="43">
        <f>'baixa tensão'!F6</f>
        <v>1880754.1577174999</v>
      </c>
      <c r="D21" t="s">
        <v>77</v>
      </c>
      <c r="E21" s="53">
        <v>2564941.29</v>
      </c>
      <c r="F21" s="51">
        <f t="shared" si="0"/>
        <v>2.9616415373410719E-2</v>
      </c>
    </row>
    <row r="22" spans="1:7" ht="15.75" thickBot="1" x14ac:dyDescent="0.3">
      <c r="A22" s="44"/>
      <c r="B22" s="49" t="s">
        <v>87</v>
      </c>
      <c r="C22" s="43">
        <f>'aferição medidores de vazão'!C7</f>
        <v>270000</v>
      </c>
      <c r="D22" t="s">
        <v>77</v>
      </c>
      <c r="E22" s="53">
        <v>4873553.42</v>
      </c>
      <c r="F22" s="51">
        <f t="shared" si="0"/>
        <v>5.6273094044669687E-2</v>
      </c>
    </row>
    <row r="23" spans="1:7" ht="15.75" thickBot="1" x14ac:dyDescent="0.3">
      <c r="A23" s="44"/>
      <c r="B23" s="18" t="s">
        <v>84</v>
      </c>
      <c r="C23" s="43">
        <f>'apoio rio Piranhas'!M2</f>
        <v>1299955.8824414422</v>
      </c>
      <c r="D23" t="s">
        <v>77</v>
      </c>
      <c r="E23" s="53">
        <v>2436776.71</v>
      </c>
      <c r="F23" s="51">
        <f t="shared" si="0"/>
        <v>2.8136547022334844E-2</v>
      </c>
      <c r="G23" s="51"/>
    </row>
    <row r="24" spans="1:7" ht="15.75" thickBot="1" x14ac:dyDescent="0.3">
      <c r="A24" s="42"/>
      <c r="B24" s="41" t="s">
        <v>86</v>
      </c>
      <c r="C24" s="40">
        <f>SUM(C7:C23)*2%</f>
        <v>1245246.9141952624</v>
      </c>
      <c r="D24" t="s">
        <v>77</v>
      </c>
      <c r="E24" s="52">
        <v>4654000</v>
      </c>
      <c r="F24" s="51">
        <f t="shared" si="0"/>
        <v>5.3737993023557078E-2</v>
      </c>
      <c r="G24" s="51"/>
    </row>
    <row r="25" spans="1:7" ht="15.75" thickBot="1" x14ac:dyDescent="0.3">
      <c r="C25" s="50"/>
      <c r="E25" s="344">
        <f>SUM(E7:E24)-117451.75</f>
        <v>86605392.910000011</v>
      </c>
      <c r="F25" s="51">
        <f t="shared" si="0"/>
        <v>1</v>
      </c>
      <c r="G25" s="51"/>
    </row>
    <row r="26" spans="1:7" ht="15.75" thickBot="1" x14ac:dyDescent="0.3"/>
    <row r="27" spans="1:7" x14ac:dyDescent="0.25">
      <c r="A27" s="47" t="s">
        <v>85</v>
      </c>
      <c r="B27" s="46" t="s">
        <v>81</v>
      </c>
      <c r="C27" s="45">
        <f>Ferramentas!D7</f>
        <v>755255.85999999975</v>
      </c>
      <c r="D27" s="18" t="s">
        <v>77</v>
      </c>
    </row>
    <row r="28" spans="1:7" x14ac:dyDescent="0.25">
      <c r="A28" s="44"/>
      <c r="B28" s="18" t="s">
        <v>80</v>
      </c>
      <c r="C28" s="43">
        <f>amoxarifado!D7</f>
        <v>156908</v>
      </c>
      <c r="D28" s="18" t="s">
        <v>77</v>
      </c>
    </row>
    <row r="29" spans="1:7" x14ac:dyDescent="0.25">
      <c r="A29" s="44"/>
      <c r="B29" s="18" t="s">
        <v>79</v>
      </c>
      <c r="C29" s="43">
        <f>incendio!B6</f>
        <v>4500000</v>
      </c>
      <c r="D29" s="18" t="s">
        <v>77</v>
      </c>
    </row>
    <row r="30" spans="1:7" x14ac:dyDescent="0.25">
      <c r="A30" s="44"/>
      <c r="B30" s="18" t="s">
        <v>83</v>
      </c>
      <c r="C30" s="43">
        <f>C29*19.6%</f>
        <v>882000</v>
      </c>
      <c r="D30" s="18" t="s">
        <v>77</v>
      </c>
    </row>
    <row r="31" spans="1:7" x14ac:dyDescent="0.25">
      <c r="A31" s="44"/>
      <c r="B31" s="18" t="s">
        <v>78</v>
      </c>
      <c r="C31" s="43">
        <f>'materiais sobressalentes'!C38</f>
        <v>2010000</v>
      </c>
      <c r="D31" s="18" t="s">
        <v>77</v>
      </c>
      <c r="F31" s="50"/>
    </row>
    <row r="32" spans="1:7" ht="15.75" thickBot="1" x14ac:dyDescent="0.3">
      <c r="A32" s="44"/>
      <c r="B32" s="49" t="s">
        <v>1154</v>
      </c>
      <c r="C32" s="43">
        <f>'apoio rio Piranhas'!M3</f>
        <v>62147.67</v>
      </c>
      <c r="D32" s="49" t="s">
        <v>77</v>
      </c>
    </row>
    <row r="33" spans="1:4" ht="15.75" thickBot="1" x14ac:dyDescent="0.3">
      <c r="A33" s="42"/>
      <c r="B33" s="335" t="s">
        <v>146</v>
      </c>
      <c r="C33" s="336">
        <f>SUM(C27:C32)</f>
        <v>8366311.5299999993</v>
      </c>
      <c r="D33" s="18"/>
    </row>
    <row r="34" spans="1:4" ht="15.75" thickBot="1" x14ac:dyDescent="0.3">
      <c r="A34" s="44"/>
      <c r="B34" s="18"/>
      <c r="C34" s="48"/>
      <c r="D34" s="18"/>
    </row>
    <row r="35" spans="1:4" x14ac:dyDescent="0.25">
      <c r="A35" s="47" t="s">
        <v>82</v>
      </c>
      <c r="B35" s="46" t="s">
        <v>81</v>
      </c>
      <c r="C35" s="45">
        <f>Depreciação!I61</f>
        <v>91745.388500000001</v>
      </c>
      <c r="D35" s="18" t="s">
        <v>77</v>
      </c>
    </row>
    <row r="36" spans="1:4" x14ac:dyDescent="0.25">
      <c r="A36" s="44"/>
      <c r="B36" s="18" t="s">
        <v>80</v>
      </c>
      <c r="C36" s="43">
        <f>Depreciação!I23</f>
        <v>24551.599999999999</v>
      </c>
      <c r="D36" s="18" t="s">
        <v>77</v>
      </c>
    </row>
    <row r="37" spans="1:4" x14ac:dyDescent="0.25">
      <c r="A37" s="44"/>
      <c r="B37" s="18" t="s">
        <v>79</v>
      </c>
      <c r="C37" s="43">
        <f>Depreciação!I66</f>
        <v>0</v>
      </c>
      <c r="D37" s="18" t="s">
        <v>77</v>
      </c>
    </row>
    <row r="38" spans="1:4" ht="15.75" thickBot="1" x14ac:dyDescent="0.3">
      <c r="A38" s="44"/>
      <c r="B38" s="18" t="s">
        <v>78</v>
      </c>
      <c r="C38" s="43">
        <v>0</v>
      </c>
      <c r="D38" s="18" t="s">
        <v>77</v>
      </c>
    </row>
    <row r="39" spans="1:4" ht="15.75" thickBot="1" x14ac:dyDescent="0.3">
      <c r="A39" s="42"/>
      <c r="B39" s="337" t="s">
        <v>146</v>
      </c>
      <c r="C39" s="336">
        <f>SUM(C35:C38)</f>
        <v>116296.98850000001</v>
      </c>
      <c r="D39" s="18"/>
    </row>
    <row r="40" spans="1:4" x14ac:dyDescent="0.25">
      <c r="D40" s="18"/>
    </row>
  </sheetData>
  <mergeCells count="1">
    <mergeCell ref="A2:C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2"/>
  <sheetViews>
    <sheetView showGridLines="0" topLeftCell="A22" workbookViewId="0">
      <selection activeCell="Q53" sqref="Q53"/>
    </sheetView>
  </sheetViews>
  <sheetFormatPr defaultColWidth="9.140625" defaultRowHeight="12.75" x14ac:dyDescent="0.2"/>
  <cols>
    <col min="1" max="1" width="3.42578125" style="345" customWidth="1"/>
    <col min="2" max="2" width="20" style="345" customWidth="1"/>
    <col min="3" max="3" width="9.140625" style="345" customWidth="1"/>
    <col min="4" max="4" width="4.5703125" style="345" customWidth="1"/>
    <col min="5" max="5" width="5.42578125" style="345" customWidth="1"/>
    <col min="6" max="6" width="10.140625" style="345" customWidth="1"/>
    <col min="7" max="7" width="10.28515625" style="345" customWidth="1"/>
    <col min="8" max="8" width="11.85546875" style="345" customWidth="1"/>
    <col min="9" max="9" width="24.85546875" style="345" bestFit="1" customWidth="1"/>
    <col min="10" max="10" width="9.140625" style="345"/>
    <col min="11" max="11" width="17" style="345" customWidth="1"/>
    <col min="12" max="16384" width="9.140625" style="345"/>
  </cols>
  <sheetData>
    <row r="1" spans="1:11" x14ac:dyDescent="0.2">
      <c r="F1" s="362" t="s">
        <v>901</v>
      </c>
      <c r="G1" s="361">
        <v>0.30570000000000003</v>
      </c>
      <c r="H1" s="603"/>
    </row>
    <row r="2" spans="1:11" ht="15" customHeight="1" x14ac:dyDescent="0.2">
      <c r="A2" s="216"/>
      <c r="B2" s="876" t="s">
        <v>900</v>
      </c>
      <c r="C2" s="873" t="s">
        <v>74</v>
      </c>
      <c r="D2" s="877" t="s">
        <v>899</v>
      </c>
      <c r="E2" s="873" t="s">
        <v>898</v>
      </c>
      <c r="F2" s="873" t="s">
        <v>897</v>
      </c>
      <c r="G2" s="873" t="s">
        <v>896</v>
      </c>
      <c r="H2" s="870" t="s">
        <v>1255</v>
      </c>
    </row>
    <row r="3" spans="1:11" x14ac:dyDescent="0.2">
      <c r="A3" s="216"/>
      <c r="B3" s="876"/>
      <c r="C3" s="875" t="s">
        <v>895</v>
      </c>
      <c r="D3" s="877"/>
      <c r="E3" s="874"/>
      <c r="F3" s="874"/>
      <c r="G3" s="874"/>
      <c r="H3" s="871"/>
      <c r="J3" s="602"/>
    </row>
    <row r="4" spans="1:11" ht="21.75" customHeight="1" x14ac:dyDescent="0.25">
      <c r="A4" s="216"/>
      <c r="B4" s="876"/>
      <c r="C4" s="360" t="s">
        <v>894</v>
      </c>
      <c r="D4" s="877"/>
      <c r="E4" s="875"/>
      <c r="F4" s="875"/>
      <c r="G4" s="875"/>
      <c r="H4" s="872"/>
      <c r="J4" s="867" t="s">
        <v>1254</v>
      </c>
      <c r="K4" s="867"/>
    </row>
    <row r="5" spans="1:11" x14ac:dyDescent="0.2">
      <c r="A5" s="218" t="s">
        <v>893</v>
      </c>
      <c r="B5" s="868" t="s">
        <v>892</v>
      </c>
      <c r="C5" s="869"/>
      <c r="D5" s="869"/>
      <c r="E5" s="869"/>
      <c r="F5" s="869"/>
      <c r="G5" s="869"/>
      <c r="H5" s="869"/>
    </row>
    <row r="6" spans="1:11" x14ac:dyDescent="0.2">
      <c r="A6" s="218" t="s">
        <v>832</v>
      </c>
      <c r="B6" s="356" t="s">
        <v>891</v>
      </c>
      <c r="C6" s="359">
        <v>31755.15</v>
      </c>
      <c r="D6" s="358">
        <v>1</v>
      </c>
      <c r="E6" s="357">
        <f>1/6</f>
        <v>0.16666666666666666</v>
      </c>
      <c r="F6" s="348">
        <f t="shared" ref="F6:F11" si="0">C6*(1+$G$1)*D6*E6</f>
        <v>6910.4498925000007</v>
      </c>
      <c r="G6" s="348">
        <f t="shared" ref="G6:G11" si="1">F6*12</f>
        <v>82925.398710000009</v>
      </c>
      <c r="H6" s="616">
        <f>G6</f>
        <v>82925.398710000009</v>
      </c>
      <c r="I6" s="601"/>
    </row>
    <row r="7" spans="1:11" x14ac:dyDescent="0.2">
      <c r="A7" s="218" t="s">
        <v>832</v>
      </c>
      <c r="B7" s="218" t="s">
        <v>890</v>
      </c>
      <c r="C7" s="348">
        <v>16603.560000000001</v>
      </c>
      <c r="D7" s="354">
        <v>1</v>
      </c>
      <c r="E7" s="353">
        <v>1</v>
      </c>
      <c r="F7" s="348">
        <f t="shared" si="0"/>
        <v>21679.268292000004</v>
      </c>
      <c r="G7" s="348">
        <f t="shared" si="1"/>
        <v>260151.21950400004</v>
      </c>
      <c r="H7" s="617">
        <f>G7+C7*(1+1/3)</f>
        <v>282289.29950400005</v>
      </c>
      <c r="I7" s="602"/>
      <c r="K7" s="602"/>
    </row>
    <row r="8" spans="1:11" x14ac:dyDescent="0.2">
      <c r="A8" s="218" t="s">
        <v>832</v>
      </c>
      <c r="B8" s="218" t="s">
        <v>856</v>
      </c>
      <c r="C8" s="348">
        <v>5812</v>
      </c>
      <c r="D8" s="354">
        <v>3</v>
      </c>
      <c r="E8" s="353">
        <v>0.3</v>
      </c>
      <c r="F8" s="348">
        <f t="shared" si="0"/>
        <v>6829.8555600000009</v>
      </c>
      <c r="G8" s="348">
        <f t="shared" si="1"/>
        <v>81958.266720000014</v>
      </c>
      <c r="H8" s="617">
        <f t="shared" ref="H8:H59" si="2">G8+C8*(1+1/3)</f>
        <v>89707.600053333343</v>
      </c>
    </row>
    <row r="9" spans="1:11" x14ac:dyDescent="0.2">
      <c r="A9" s="218" t="s">
        <v>832</v>
      </c>
      <c r="B9" s="218" t="s">
        <v>836</v>
      </c>
      <c r="C9" s="619">
        <v>4004.67</v>
      </c>
      <c r="D9" s="354">
        <v>1</v>
      </c>
      <c r="E9" s="353">
        <v>0.3</v>
      </c>
      <c r="F9" s="348">
        <f t="shared" si="0"/>
        <v>1568.6692857</v>
      </c>
      <c r="G9" s="348">
        <f t="shared" si="1"/>
        <v>18824.031428400001</v>
      </c>
      <c r="H9" s="617">
        <f t="shared" si="2"/>
        <v>24163.591428400003</v>
      </c>
    </row>
    <row r="10" spans="1:11" x14ac:dyDescent="0.2">
      <c r="A10" s="218" t="s">
        <v>832</v>
      </c>
      <c r="B10" s="218" t="s">
        <v>867</v>
      </c>
      <c r="C10" s="619">
        <v>1849.95</v>
      </c>
      <c r="D10" s="354">
        <v>1</v>
      </c>
      <c r="E10" s="353">
        <v>0.3</v>
      </c>
      <c r="F10" s="348">
        <f t="shared" si="0"/>
        <v>724.64391450000005</v>
      </c>
      <c r="G10" s="348">
        <f t="shared" si="1"/>
        <v>8695.7269740000011</v>
      </c>
      <c r="H10" s="617">
        <f t="shared" si="2"/>
        <v>11162.326974000001</v>
      </c>
    </row>
    <row r="11" spans="1:11" x14ac:dyDescent="0.2">
      <c r="A11" s="218" t="s">
        <v>832</v>
      </c>
      <c r="B11" s="218" t="s">
        <v>889</v>
      </c>
      <c r="C11" s="349">
        <v>13076.26</v>
      </c>
      <c r="D11" s="354">
        <v>1</v>
      </c>
      <c r="E11" s="353">
        <v>1</v>
      </c>
      <c r="F11" s="348">
        <f t="shared" si="0"/>
        <v>17073.672682</v>
      </c>
      <c r="G11" s="348">
        <f t="shared" si="1"/>
        <v>204884.07218399999</v>
      </c>
      <c r="H11" s="617">
        <f t="shared" si="2"/>
        <v>222319.08551733333</v>
      </c>
    </row>
    <row r="12" spans="1:11" x14ac:dyDescent="0.2">
      <c r="A12" s="218" t="s">
        <v>832</v>
      </c>
      <c r="B12" s="868" t="s">
        <v>888</v>
      </c>
      <c r="C12" s="869"/>
      <c r="D12" s="869"/>
      <c r="E12" s="869"/>
      <c r="F12" s="869"/>
      <c r="G12" s="869"/>
      <c r="H12" s="869"/>
    </row>
    <row r="13" spans="1:11" x14ac:dyDescent="0.2">
      <c r="A13" s="218" t="s">
        <v>832</v>
      </c>
      <c r="B13" s="356" t="s">
        <v>887</v>
      </c>
      <c r="C13" s="620">
        <v>20755.22</v>
      </c>
      <c r="D13" s="354">
        <v>1</v>
      </c>
      <c r="E13" s="353">
        <v>0.5</v>
      </c>
      <c r="F13" s="348">
        <f t="shared" ref="F13:F44" si="3">C13*(1+$G$1)*D13*E13</f>
        <v>13550.045377000002</v>
      </c>
      <c r="G13" s="348">
        <f t="shared" ref="G13:G44" si="4">F13*12</f>
        <v>162600.54452400003</v>
      </c>
      <c r="H13" s="616">
        <f>G13</f>
        <v>162600.54452400003</v>
      </c>
    </row>
    <row r="14" spans="1:11" x14ac:dyDescent="0.2">
      <c r="A14" s="218" t="s">
        <v>832</v>
      </c>
      <c r="B14" s="218" t="s">
        <v>836</v>
      </c>
      <c r="C14" s="348">
        <v>4004.67</v>
      </c>
      <c r="D14" s="354">
        <v>2</v>
      </c>
      <c r="E14" s="353">
        <v>0.4</v>
      </c>
      <c r="F14" s="348">
        <f t="shared" si="3"/>
        <v>4183.1180952000004</v>
      </c>
      <c r="G14" s="348">
        <f t="shared" si="4"/>
        <v>50197.417142400009</v>
      </c>
      <c r="H14" s="617">
        <f t="shared" si="2"/>
        <v>55536.977142400006</v>
      </c>
    </row>
    <row r="15" spans="1:11" x14ac:dyDescent="0.2">
      <c r="A15" s="218" t="s">
        <v>832</v>
      </c>
      <c r="B15" s="218" t="s">
        <v>880</v>
      </c>
      <c r="C15" s="619">
        <v>9950.4</v>
      </c>
      <c r="D15" s="354">
        <v>2</v>
      </c>
      <c r="E15" s="353">
        <v>1</v>
      </c>
      <c r="F15" s="348">
        <f t="shared" si="3"/>
        <v>25984.474560000002</v>
      </c>
      <c r="G15" s="348">
        <f t="shared" si="4"/>
        <v>311813.69472000003</v>
      </c>
      <c r="H15" s="617">
        <f t="shared" si="2"/>
        <v>325080.89472000004</v>
      </c>
    </row>
    <row r="16" spans="1:11" x14ac:dyDescent="0.2">
      <c r="A16" s="218" t="s">
        <v>832</v>
      </c>
      <c r="B16" s="218" t="s">
        <v>886</v>
      </c>
      <c r="C16" s="622">
        <v>12447.18</v>
      </c>
      <c r="D16" s="354">
        <v>3</v>
      </c>
      <c r="E16" s="353">
        <v>1</v>
      </c>
      <c r="F16" s="348">
        <f t="shared" si="3"/>
        <v>48756.848778000007</v>
      </c>
      <c r="G16" s="348">
        <f t="shared" si="4"/>
        <v>585082.18533600005</v>
      </c>
      <c r="H16" s="617">
        <f t="shared" si="2"/>
        <v>601678.42533600004</v>
      </c>
    </row>
    <row r="17" spans="1:8" x14ac:dyDescent="0.2">
      <c r="A17" s="218" t="s">
        <v>832</v>
      </c>
      <c r="B17" s="218" t="s">
        <v>878</v>
      </c>
      <c r="C17" s="348">
        <v>9950.4</v>
      </c>
      <c r="D17" s="354">
        <v>1</v>
      </c>
      <c r="E17" s="353">
        <v>1</v>
      </c>
      <c r="F17" s="348">
        <f t="shared" si="3"/>
        <v>12992.237280000001</v>
      </c>
      <c r="G17" s="348">
        <f t="shared" si="4"/>
        <v>155906.84736000001</v>
      </c>
      <c r="H17" s="617">
        <f t="shared" si="2"/>
        <v>169174.04736000003</v>
      </c>
    </row>
    <row r="18" spans="1:8" x14ac:dyDescent="0.2">
      <c r="A18" s="218" t="s">
        <v>832</v>
      </c>
      <c r="B18" s="218" t="s">
        <v>877</v>
      </c>
      <c r="C18" s="348">
        <v>9950.4</v>
      </c>
      <c r="D18" s="354">
        <v>1</v>
      </c>
      <c r="E18" s="353">
        <v>1</v>
      </c>
      <c r="F18" s="348">
        <f t="shared" si="3"/>
        <v>12992.237280000001</v>
      </c>
      <c r="G18" s="348">
        <f t="shared" si="4"/>
        <v>155906.84736000001</v>
      </c>
      <c r="H18" s="617">
        <f t="shared" si="2"/>
        <v>169174.04736000003</v>
      </c>
    </row>
    <row r="19" spans="1:8" x14ac:dyDescent="0.2">
      <c r="A19" s="218" t="s">
        <v>832</v>
      </c>
      <c r="B19" s="218" t="s">
        <v>885</v>
      </c>
      <c r="C19" s="621">
        <v>12447.18</v>
      </c>
      <c r="D19" s="354">
        <v>4</v>
      </c>
      <c r="E19" s="353">
        <v>1</v>
      </c>
      <c r="F19" s="348">
        <f t="shared" si="3"/>
        <v>65009.131704000007</v>
      </c>
      <c r="G19" s="348">
        <f t="shared" si="4"/>
        <v>780109.58044800011</v>
      </c>
      <c r="H19" s="617">
        <f t="shared" si="2"/>
        <v>796705.8204480001</v>
      </c>
    </row>
    <row r="20" spans="1:8" x14ac:dyDescent="0.2">
      <c r="A20" s="218" t="s">
        <v>860</v>
      </c>
      <c r="B20" s="218" t="s">
        <v>885</v>
      </c>
      <c r="C20" s="622">
        <v>12447.18</v>
      </c>
      <c r="D20" s="354">
        <v>1</v>
      </c>
      <c r="E20" s="353">
        <v>1</v>
      </c>
      <c r="F20" s="348">
        <f t="shared" si="3"/>
        <v>16252.282926000002</v>
      </c>
      <c r="G20" s="348">
        <f t="shared" si="4"/>
        <v>195027.39511200003</v>
      </c>
      <c r="H20" s="617">
        <f t="shared" si="2"/>
        <v>211623.63511200002</v>
      </c>
    </row>
    <row r="21" spans="1:8" x14ac:dyDescent="0.2">
      <c r="A21" s="218" t="s">
        <v>860</v>
      </c>
      <c r="B21" s="218" t="s">
        <v>882</v>
      </c>
      <c r="C21" s="348">
        <v>9950.4</v>
      </c>
      <c r="D21" s="354">
        <v>1</v>
      </c>
      <c r="E21" s="353">
        <v>1</v>
      </c>
      <c r="F21" s="348">
        <f t="shared" si="3"/>
        <v>12992.237280000001</v>
      </c>
      <c r="G21" s="348">
        <f t="shared" si="4"/>
        <v>155906.84736000001</v>
      </c>
      <c r="H21" s="617">
        <f t="shared" si="2"/>
        <v>169174.04736000003</v>
      </c>
    </row>
    <row r="22" spans="1:8" x14ac:dyDescent="0.2">
      <c r="A22" s="218" t="s">
        <v>860</v>
      </c>
      <c r="B22" s="218" t="s">
        <v>881</v>
      </c>
      <c r="C22" s="622">
        <v>7954.45</v>
      </c>
      <c r="D22" s="354">
        <v>1</v>
      </c>
      <c r="E22" s="353">
        <v>1</v>
      </c>
      <c r="F22" s="348">
        <f t="shared" si="3"/>
        <v>10386.125365</v>
      </c>
      <c r="G22" s="348">
        <f t="shared" si="4"/>
        <v>124633.50438</v>
      </c>
      <c r="H22" s="617">
        <f t="shared" si="2"/>
        <v>135239.43771333332</v>
      </c>
    </row>
    <row r="23" spans="1:8" x14ac:dyDescent="0.2">
      <c r="A23" s="218" t="s">
        <v>860</v>
      </c>
      <c r="B23" s="218" t="s">
        <v>884</v>
      </c>
      <c r="C23" s="622">
        <v>12447.18</v>
      </c>
      <c r="D23" s="354">
        <v>1</v>
      </c>
      <c r="E23" s="353">
        <v>1</v>
      </c>
      <c r="F23" s="348">
        <f t="shared" si="3"/>
        <v>16252.282926000002</v>
      </c>
      <c r="G23" s="348">
        <f t="shared" si="4"/>
        <v>195027.39511200003</v>
      </c>
      <c r="H23" s="617">
        <f t="shared" si="2"/>
        <v>211623.63511200002</v>
      </c>
    </row>
    <row r="24" spans="1:8" x14ac:dyDescent="0.2">
      <c r="A24" s="218" t="s">
        <v>860</v>
      </c>
      <c r="B24" s="218" t="s">
        <v>883</v>
      </c>
      <c r="C24" s="348">
        <v>9950.4</v>
      </c>
      <c r="D24" s="354">
        <v>1</v>
      </c>
      <c r="E24" s="353">
        <v>1</v>
      </c>
      <c r="F24" s="348">
        <f t="shared" si="3"/>
        <v>12992.237280000001</v>
      </c>
      <c r="G24" s="348">
        <f t="shared" si="4"/>
        <v>155906.84736000001</v>
      </c>
      <c r="H24" s="617">
        <f t="shared" si="2"/>
        <v>169174.04736000003</v>
      </c>
    </row>
    <row r="25" spans="1:8" x14ac:dyDescent="0.2">
      <c r="A25" s="218" t="s">
        <v>860</v>
      </c>
      <c r="B25" s="218" t="s">
        <v>870</v>
      </c>
      <c r="C25" s="619">
        <v>3508.29</v>
      </c>
      <c r="D25" s="354">
        <v>2</v>
      </c>
      <c r="E25" s="353">
        <v>1</v>
      </c>
      <c r="F25" s="348">
        <f t="shared" si="3"/>
        <v>9161.548506000001</v>
      </c>
      <c r="G25" s="348">
        <f t="shared" si="4"/>
        <v>109938.58207200002</v>
      </c>
      <c r="H25" s="617">
        <f t="shared" si="2"/>
        <v>114616.30207200002</v>
      </c>
    </row>
    <row r="26" spans="1:8" x14ac:dyDescent="0.2">
      <c r="A26" s="218" t="s">
        <v>860</v>
      </c>
      <c r="B26" s="218" t="s">
        <v>882</v>
      </c>
      <c r="C26" s="348">
        <v>9950.4</v>
      </c>
      <c r="D26" s="354">
        <v>1</v>
      </c>
      <c r="E26" s="353">
        <v>1</v>
      </c>
      <c r="F26" s="348">
        <f t="shared" si="3"/>
        <v>12992.237280000001</v>
      </c>
      <c r="G26" s="348">
        <f t="shared" si="4"/>
        <v>155906.84736000001</v>
      </c>
      <c r="H26" s="617">
        <f t="shared" si="2"/>
        <v>169174.04736000003</v>
      </c>
    </row>
    <row r="27" spans="1:8" x14ac:dyDescent="0.2">
      <c r="A27" s="218" t="s">
        <v>860</v>
      </c>
      <c r="B27" s="218" t="s">
        <v>881</v>
      </c>
      <c r="C27" s="622">
        <v>7954.45</v>
      </c>
      <c r="D27" s="354">
        <v>1</v>
      </c>
      <c r="E27" s="353">
        <v>1</v>
      </c>
      <c r="F27" s="348">
        <f t="shared" si="3"/>
        <v>10386.125365</v>
      </c>
      <c r="G27" s="348">
        <f t="shared" si="4"/>
        <v>124633.50438</v>
      </c>
      <c r="H27" s="617">
        <f t="shared" si="2"/>
        <v>135239.43771333332</v>
      </c>
    </row>
    <row r="28" spans="1:8" x14ac:dyDescent="0.2">
      <c r="A28" s="218" t="s">
        <v>860</v>
      </c>
      <c r="B28" s="218" t="s">
        <v>880</v>
      </c>
      <c r="C28" s="348">
        <v>9950.4</v>
      </c>
      <c r="D28" s="354">
        <v>2</v>
      </c>
      <c r="E28" s="353">
        <v>1</v>
      </c>
      <c r="F28" s="348">
        <f t="shared" si="3"/>
        <v>25984.474560000002</v>
      </c>
      <c r="G28" s="348">
        <f t="shared" si="4"/>
        <v>311813.69472000003</v>
      </c>
      <c r="H28" s="617">
        <f t="shared" si="2"/>
        <v>325080.89472000004</v>
      </c>
    </row>
    <row r="29" spans="1:8" x14ac:dyDescent="0.2">
      <c r="A29" s="218" t="s">
        <v>860</v>
      </c>
      <c r="B29" s="218" t="s">
        <v>879</v>
      </c>
      <c r="C29" s="622">
        <v>7954.45</v>
      </c>
      <c r="D29" s="354">
        <v>1</v>
      </c>
      <c r="E29" s="353">
        <v>1</v>
      </c>
      <c r="F29" s="348">
        <f t="shared" si="3"/>
        <v>10386.125365</v>
      </c>
      <c r="G29" s="348">
        <f t="shared" si="4"/>
        <v>124633.50438</v>
      </c>
      <c r="H29" s="617">
        <f t="shared" si="2"/>
        <v>135239.43771333332</v>
      </c>
    </row>
    <row r="30" spans="1:8" x14ac:dyDescent="0.2">
      <c r="A30" s="218" t="s">
        <v>860</v>
      </c>
      <c r="B30" s="218" t="s">
        <v>878</v>
      </c>
      <c r="C30" s="348">
        <v>9950.4</v>
      </c>
      <c r="D30" s="354">
        <v>1</v>
      </c>
      <c r="E30" s="353">
        <v>1</v>
      </c>
      <c r="F30" s="348">
        <f t="shared" si="3"/>
        <v>12992.237280000001</v>
      </c>
      <c r="G30" s="348">
        <f t="shared" si="4"/>
        <v>155906.84736000001</v>
      </c>
      <c r="H30" s="617">
        <f t="shared" si="2"/>
        <v>169174.04736000003</v>
      </c>
    </row>
    <row r="31" spans="1:8" x14ac:dyDescent="0.2">
      <c r="A31" s="218" t="s">
        <v>860</v>
      </c>
      <c r="B31" s="218" t="s">
        <v>877</v>
      </c>
      <c r="C31" s="348">
        <v>9950.4</v>
      </c>
      <c r="D31" s="354">
        <v>1</v>
      </c>
      <c r="E31" s="353">
        <v>1</v>
      </c>
      <c r="F31" s="348">
        <f t="shared" si="3"/>
        <v>12992.237280000001</v>
      </c>
      <c r="G31" s="348">
        <f t="shared" si="4"/>
        <v>155906.84736000001</v>
      </c>
      <c r="H31" s="617">
        <f t="shared" si="2"/>
        <v>169174.04736000003</v>
      </c>
    </row>
    <row r="32" spans="1:8" x14ac:dyDescent="0.2">
      <c r="A32" s="218" t="s">
        <v>860</v>
      </c>
      <c r="B32" s="218" t="s">
        <v>876</v>
      </c>
      <c r="C32" s="348">
        <v>9950.4</v>
      </c>
      <c r="D32" s="354">
        <v>2</v>
      </c>
      <c r="E32" s="353">
        <v>1</v>
      </c>
      <c r="F32" s="348">
        <f t="shared" si="3"/>
        <v>25984.474560000002</v>
      </c>
      <c r="G32" s="348">
        <f t="shared" si="4"/>
        <v>311813.69472000003</v>
      </c>
      <c r="H32" s="617">
        <f t="shared" si="2"/>
        <v>325080.89472000004</v>
      </c>
    </row>
    <row r="33" spans="1:8" x14ac:dyDescent="0.2">
      <c r="A33" s="218" t="s">
        <v>860</v>
      </c>
      <c r="B33" s="218" t="s">
        <v>875</v>
      </c>
      <c r="C33" s="619">
        <v>7954.45</v>
      </c>
      <c r="D33" s="354">
        <v>2</v>
      </c>
      <c r="E33" s="353">
        <v>1</v>
      </c>
      <c r="F33" s="348">
        <f t="shared" si="3"/>
        <v>20772.25073</v>
      </c>
      <c r="G33" s="348">
        <f t="shared" si="4"/>
        <v>249267.00876</v>
      </c>
      <c r="H33" s="617">
        <f t="shared" si="2"/>
        <v>259872.94209333332</v>
      </c>
    </row>
    <row r="34" spans="1:8" x14ac:dyDescent="0.2">
      <c r="A34" s="218" t="s">
        <v>860</v>
      </c>
      <c r="B34" s="218" t="s">
        <v>874</v>
      </c>
      <c r="C34" s="619">
        <v>3002.98</v>
      </c>
      <c r="D34" s="351">
        <v>2</v>
      </c>
      <c r="E34" s="353">
        <v>1</v>
      </c>
      <c r="F34" s="348">
        <f t="shared" si="3"/>
        <v>7841.9819720000005</v>
      </c>
      <c r="G34" s="348">
        <f t="shared" si="4"/>
        <v>94103.783664000002</v>
      </c>
      <c r="H34" s="617">
        <f t="shared" si="2"/>
        <v>98107.75699733333</v>
      </c>
    </row>
    <row r="35" spans="1:8" x14ac:dyDescent="0.2">
      <c r="A35" s="218" t="s">
        <v>860</v>
      </c>
      <c r="B35" s="218" t="s">
        <v>873</v>
      </c>
      <c r="C35" s="348">
        <v>3002.98</v>
      </c>
      <c r="D35" s="351">
        <v>4</v>
      </c>
      <c r="E35" s="353">
        <v>1</v>
      </c>
      <c r="F35" s="348">
        <f t="shared" si="3"/>
        <v>15683.963944000001</v>
      </c>
      <c r="G35" s="348">
        <f t="shared" si="4"/>
        <v>188207.567328</v>
      </c>
      <c r="H35" s="617">
        <f t="shared" si="2"/>
        <v>192211.54066133333</v>
      </c>
    </row>
    <row r="36" spans="1:8" x14ac:dyDescent="0.2">
      <c r="A36" s="218" t="s">
        <v>860</v>
      </c>
      <c r="B36" s="218" t="s">
        <v>872</v>
      </c>
      <c r="C36" s="348">
        <v>3002.98</v>
      </c>
      <c r="D36" s="351">
        <v>2</v>
      </c>
      <c r="E36" s="353">
        <v>1</v>
      </c>
      <c r="F36" s="348">
        <f t="shared" si="3"/>
        <v>7841.9819720000005</v>
      </c>
      <c r="G36" s="348">
        <f t="shared" si="4"/>
        <v>94103.783664000002</v>
      </c>
      <c r="H36" s="617">
        <f t="shared" si="2"/>
        <v>98107.75699733333</v>
      </c>
    </row>
    <row r="37" spans="1:8" x14ac:dyDescent="0.2">
      <c r="A37" s="218" t="s">
        <v>860</v>
      </c>
      <c r="B37" s="218" t="s">
        <v>871</v>
      </c>
      <c r="C37" s="348">
        <v>9950.4</v>
      </c>
      <c r="D37" s="354">
        <v>1</v>
      </c>
      <c r="E37" s="353">
        <v>0.4</v>
      </c>
      <c r="F37" s="348">
        <f t="shared" si="3"/>
        <v>5196.8949120000007</v>
      </c>
      <c r="G37" s="348">
        <f t="shared" si="4"/>
        <v>62362.738944000012</v>
      </c>
      <c r="H37" s="617">
        <f t="shared" si="2"/>
        <v>75629.938944000009</v>
      </c>
    </row>
    <row r="38" spans="1:8" x14ac:dyDescent="0.2">
      <c r="A38" s="218" t="s">
        <v>860</v>
      </c>
      <c r="B38" s="218" t="s">
        <v>870</v>
      </c>
      <c r="C38" s="348">
        <v>3508.26</v>
      </c>
      <c r="D38" s="354">
        <v>1</v>
      </c>
      <c r="E38" s="353">
        <v>1</v>
      </c>
      <c r="F38" s="348">
        <f t="shared" si="3"/>
        <v>4580.7350820000001</v>
      </c>
      <c r="G38" s="348">
        <f t="shared" si="4"/>
        <v>54968.820984000005</v>
      </c>
      <c r="H38" s="617">
        <f t="shared" si="2"/>
        <v>59646.500984000006</v>
      </c>
    </row>
    <row r="39" spans="1:8" x14ac:dyDescent="0.2">
      <c r="A39" s="218" t="s">
        <v>860</v>
      </c>
      <c r="B39" s="218" t="s">
        <v>869</v>
      </c>
      <c r="C39" s="622">
        <v>12447.18</v>
      </c>
      <c r="D39" s="354">
        <v>1</v>
      </c>
      <c r="E39" s="353">
        <v>1</v>
      </c>
      <c r="F39" s="348">
        <f t="shared" si="3"/>
        <v>16252.282926000002</v>
      </c>
      <c r="G39" s="348">
        <f t="shared" si="4"/>
        <v>195027.39511200003</v>
      </c>
      <c r="H39" s="617">
        <f t="shared" si="2"/>
        <v>211623.63511200002</v>
      </c>
    </row>
    <row r="40" spans="1:8" x14ac:dyDescent="0.2">
      <c r="A40" s="218" t="s">
        <v>860</v>
      </c>
      <c r="B40" s="218" t="s">
        <v>868</v>
      </c>
      <c r="C40" s="348">
        <v>3002.98</v>
      </c>
      <c r="D40" s="354">
        <v>4</v>
      </c>
      <c r="E40" s="353">
        <v>1</v>
      </c>
      <c r="F40" s="348">
        <f t="shared" si="3"/>
        <v>15683.963944000001</v>
      </c>
      <c r="G40" s="348">
        <f t="shared" si="4"/>
        <v>188207.567328</v>
      </c>
      <c r="H40" s="617">
        <f t="shared" si="2"/>
        <v>192211.54066133333</v>
      </c>
    </row>
    <row r="41" spans="1:8" x14ac:dyDescent="0.2">
      <c r="A41" s="218" t="s">
        <v>860</v>
      </c>
      <c r="B41" s="218" t="s">
        <v>867</v>
      </c>
      <c r="C41" s="619">
        <v>1849.95</v>
      </c>
      <c r="D41" s="354">
        <v>4</v>
      </c>
      <c r="E41" s="353">
        <v>1</v>
      </c>
      <c r="F41" s="348">
        <f t="shared" si="3"/>
        <v>9661.9188600000016</v>
      </c>
      <c r="G41" s="348">
        <f t="shared" si="4"/>
        <v>115943.02632000002</v>
      </c>
      <c r="H41" s="617">
        <f t="shared" si="2"/>
        <v>118409.62632000002</v>
      </c>
    </row>
    <row r="42" spans="1:8" x14ac:dyDescent="0.2">
      <c r="A42" s="218" t="s">
        <v>860</v>
      </c>
      <c r="B42" s="218" t="s">
        <v>866</v>
      </c>
      <c r="C42" s="619">
        <v>4004.67</v>
      </c>
      <c r="D42" s="354">
        <v>2</v>
      </c>
      <c r="E42" s="353">
        <v>1</v>
      </c>
      <c r="F42" s="348">
        <f t="shared" si="3"/>
        <v>10457.795238000001</v>
      </c>
      <c r="G42" s="348">
        <f t="shared" si="4"/>
        <v>125493.54285600001</v>
      </c>
      <c r="H42" s="617">
        <f t="shared" si="2"/>
        <v>130833.10285600001</v>
      </c>
    </row>
    <row r="43" spans="1:8" x14ac:dyDescent="0.2">
      <c r="A43" s="218" t="s">
        <v>860</v>
      </c>
      <c r="B43" s="218" t="s">
        <v>834</v>
      </c>
      <c r="C43" s="348">
        <v>9950.4</v>
      </c>
      <c r="D43" s="354">
        <v>2</v>
      </c>
      <c r="E43" s="353">
        <v>1</v>
      </c>
      <c r="F43" s="348">
        <f t="shared" si="3"/>
        <v>25984.474560000002</v>
      </c>
      <c r="G43" s="348">
        <f t="shared" si="4"/>
        <v>311813.69472000003</v>
      </c>
      <c r="H43" s="617">
        <f t="shared" si="2"/>
        <v>325080.89472000004</v>
      </c>
    </row>
    <row r="44" spans="1:8" x14ac:dyDescent="0.2">
      <c r="A44" s="218" t="s">
        <v>860</v>
      </c>
      <c r="B44" s="218" t="s">
        <v>836</v>
      </c>
      <c r="C44" s="348">
        <v>3002.98</v>
      </c>
      <c r="D44" s="354">
        <v>1</v>
      </c>
      <c r="E44" s="353">
        <v>1</v>
      </c>
      <c r="F44" s="348">
        <f t="shared" si="3"/>
        <v>3920.9909860000002</v>
      </c>
      <c r="G44" s="348">
        <f t="shared" si="4"/>
        <v>47051.891832000001</v>
      </c>
      <c r="H44" s="617">
        <f t="shared" si="2"/>
        <v>51055.865165333336</v>
      </c>
    </row>
    <row r="45" spans="1:8" x14ac:dyDescent="0.2">
      <c r="A45" s="218" t="s">
        <v>832</v>
      </c>
      <c r="B45" s="868" t="s">
        <v>865</v>
      </c>
      <c r="C45" s="869"/>
      <c r="D45" s="869"/>
      <c r="E45" s="869"/>
      <c r="F45" s="869"/>
      <c r="G45" s="869"/>
      <c r="H45" s="869"/>
    </row>
    <row r="46" spans="1:8" x14ac:dyDescent="0.2">
      <c r="A46" s="218" t="s">
        <v>832</v>
      </c>
      <c r="B46" s="218" t="s">
        <v>864</v>
      </c>
      <c r="C46" s="348">
        <v>20755.22</v>
      </c>
      <c r="D46" s="351">
        <v>1</v>
      </c>
      <c r="E46" s="353">
        <v>0.5</v>
      </c>
      <c r="F46" s="348">
        <f t="shared" ref="F46:F51" si="5">C46*(1+$G$1)*D46*E46</f>
        <v>13550.045377000002</v>
      </c>
      <c r="G46" s="348">
        <f t="shared" ref="G46:G51" si="6">F46*12</f>
        <v>162600.54452400003</v>
      </c>
      <c r="H46" s="616">
        <f>G46</f>
        <v>162600.54452400003</v>
      </c>
    </row>
    <row r="47" spans="1:8" x14ac:dyDescent="0.2">
      <c r="A47" s="218" t="s">
        <v>832</v>
      </c>
      <c r="B47" s="218" t="s">
        <v>863</v>
      </c>
      <c r="C47" s="619">
        <v>16603.560000000001</v>
      </c>
      <c r="D47" s="351">
        <v>1</v>
      </c>
      <c r="E47" s="353">
        <v>0.5</v>
      </c>
      <c r="F47" s="348">
        <f t="shared" si="5"/>
        <v>10839.634146000002</v>
      </c>
      <c r="G47" s="348">
        <f t="shared" si="6"/>
        <v>130075.60975200002</v>
      </c>
      <c r="H47" s="617">
        <f t="shared" si="2"/>
        <v>152213.68975200003</v>
      </c>
    </row>
    <row r="48" spans="1:8" x14ac:dyDescent="0.2">
      <c r="A48" s="218" t="s">
        <v>832</v>
      </c>
      <c r="B48" s="218" t="s">
        <v>862</v>
      </c>
      <c r="C48" s="348">
        <v>9950.4</v>
      </c>
      <c r="D48" s="351">
        <v>2</v>
      </c>
      <c r="E48" s="353">
        <v>1</v>
      </c>
      <c r="F48" s="348">
        <f t="shared" si="5"/>
        <v>25984.474560000002</v>
      </c>
      <c r="G48" s="348">
        <f t="shared" si="6"/>
        <v>311813.69472000003</v>
      </c>
      <c r="H48" s="617">
        <f t="shared" si="2"/>
        <v>325080.89472000004</v>
      </c>
    </row>
    <row r="49" spans="1:8" x14ac:dyDescent="0.2">
      <c r="A49" s="218" t="s">
        <v>860</v>
      </c>
      <c r="B49" s="218" t="s">
        <v>862</v>
      </c>
      <c r="C49" s="348">
        <v>9950.4</v>
      </c>
      <c r="D49" s="351">
        <v>1</v>
      </c>
      <c r="E49" s="353">
        <v>1</v>
      </c>
      <c r="F49" s="348">
        <f t="shared" si="5"/>
        <v>12992.237280000001</v>
      </c>
      <c r="G49" s="348">
        <f t="shared" si="6"/>
        <v>155906.84736000001</v>
      </c>
      <c r="H49" s="617">
        <f t="shared" si="2"/>
        <v>169174.04736000003</v>
      </c>
    </row>
    <row r="50" spans="1:8" x14ac:dyDescent="0.2">
      <c r="A50" s="218" t="s">
        <v>860</v>
      </c>
      <c r="B50" s="218" t="s">
        <v>861</v>
      </c>
      <c r="C50" s="348">
        <v>9950.4</v>
      </c>
      <c r="D50" s="351">
        <v>1</v>
      </c>
      <c r="E50" s="353">
        <v>1</v>
      </c>
      <c r="F50" s="348">
        <f t="shared" si="5"/>
        <v>12992.237280000001</v>
      </c>
      <c r="G50" s="348">
        <f t="shared" si="6"/>
        <v>155906.84736000001</v>
      </c>
      <c r="H50" s="617">
        <f t="shared" si="2"/>
        <v>169174.04736000003</v>
      </c>
    </row>
    <row r="51" spans="1:8" x14ac:dyDescent="0.2">
      <c r="A51" s="218" t="s">
        <v>860</v>
      </c>
      <c r="B51" s="218" t="s">
        <v>859</v>
      </c>
      <c r="C51" s="619">
        <v>7461.53</v>
      </c>
      <c r="D51" s="351">
        <v>1</v>
      </c>
      <c r="E51" s="353">
        <v>1</v>
      </c>
      <c r="F51" s="348">
        <f t="shared" si="5"/>
        <v>9742.5197210000006</v>
      </c>
      <c r="G51" s="348">
        <f t="shared" si="6"/>
        <v>116910.23665200001</v>
      </c>
      <c r="H51" s="617">
        <f t="shared" si="2"/>
        <v>126858.94331866667</v>
      </c>
    </row>
    <row r="52" spans="1:8" x14ac:dyDescent="0.2">
      <c r="A52" s="218" t="s">
        <v>832</v>
      </c>
      <c r="B52" s="868" t="s">
        <v>858</v>
      </c>
      <c r="C52" s="869"/>
      <c r="D52" s="869"/>
      <c r="E52" s="869"/>
      <c r="F52" s="869"/>
      <c r="G52" s="869"/>
      <c r="H52" s="869"/>
    </row>
    <row r="53" spans="1:8" x14ac:dyDescent="0.2">
      <c r="A53" s="218" t="s">
        <v>832</v>
      </c>
      <c r="B53" s="218" t="s">
        <v>857</v>
      </c>
      <c r="C53" s="348">
        <v>20755.22</v>
      </c>
      <c r="D53" s="354">
        <v>1</v>
      </c>
      <c r="E53" s="353">
        <v>1</v>
      </c>
      <c r="F53" s="348">
        <f t="shared" ref="F53:F59" si="7">C53*(1+$G$1)*D53*E53</f>
        <v>27100.090754000004</v>
      </c>
      <c r="G53" s="348">
        <f t="shared" ref="G53:G59" si="8">F53*12</f>
        <v>325201.08904800005</v>
      </c>
      <c r="H53" s="616">
        <f>G53</f>
        <v>325201.08904800005</v>
      </c>
    </row>
    <row r="54" spans="1:8" x14ac:dyDescent="0.2">
      <c r="A54" s="218" t="s">
        <v>832</v>
      </c>
      <c r="B54" s="218" t="s">
        <v>856</v>
      </c>
      <c r="C54" s="348">
        <v>5812</v>
      </c>
      <c r="D54" s="354">
        <v>1</v>
      </c>
      <c r="E54" s="353">
        <v>1</v>
      </c>
      <c r="F54" s="348">
        <f t="shared" si="7"/>
        <v>7588.7284000000009</v>
      </c>
      <c r="G54" s="348">
        <f t="shared" si="8"/>
        <v>91064.740800000014</v>
      </c>
      <c r="H54" s="617">
        <f t="shared" si="2"/>
        <v>98814.074133333343</v>
      </c>
    </row>
    <row r="55" spans="1:8" x14ac:dyDescent="0.2">
      <c r="A55" s="218" t="s">
        <v>832</v>
      </c>
      <c r="B55" s="218" t="s">
        <v>836</v>
      </c>
      <c r="C55" s="348">
        <v>3002.98</v>
      </c>
      <c r="D55" s="354">
        <v>1</v>
      </c>
      <c r="E55" s="353">
        <v>1</v>
      </c>
      <c r="F55" s="348">
        <f t="shared" si="7"/>
        <v>3920.9909860000002</v>
      </c>
      <c r="G55" s="348">
        <f t="shared" si="8"/>
        <v>47051.891832000001</v>
      </c>
      <c r="H55" s="617">
        <f t="shared" si="2"/>
        <v>51055.865165333336</v>
      </c>
    </row>
    <row r="56" spans="1:8" x14ac:dyDescent="0.2">
      <c r="A56" s="218" t="s">
        <v>832</v>
      </c>
      <c r="B56" s="218" t="s">
        <v>855</v>
      </c>
      <c r="C56" s="622">
        <v>12447.18</v>
      </c>
      <c r="D56" s="354">
        <v>1</v>
      </c>
      <c r="E56" s="353">
        <v>1</v>
      </c>
      <c r="F56" s="348">
        <f t="shared" si="7"/>
        <v>16252.282926000002</v>
      </c>
      <c r="G56" s="348">
        <f t="shared" si="8"/>
        <v>195027.39511200003</v>
      </c>
      <c r="H56" s="617">
        <f t="shared" si="2"/>
        <v>211623.63511200002</v>
      </c>
    </row>
    <row r="57" spans="1:8" x14ac:dyDescent="0.2">
      <c r="A57" s="218" t="s">
        <v>832</v>
      </c>
      <c r="B57" s="218" t="s">
        <v>854</v>
      </c>
      <c r="C57" s="348">
        <v>9950.4</v>
      </c>
      <c r="D57" s="354">
        <v>1</v>
      </c>
      <c r="E57" s="353">
        <v>1</v>
      </c>
      <c r="F57" s="348">
        <f t="shared" si="7"/>
        <v>12992.237280000001</v>
      </c>
      <c r="G57" s="348">
        <f t="shared" si="8"/>
        <v>155906.84736000001</v>
      </c>
      <c r="H57" s="617">
        <f t="shared" si="2"/>
        <v>169174.04736000003</v>
      </c>
    </row>
    <row r="58" spans="1:8" x14ac:dyDescent="0.2">
      <c r="A58" s="218" t="s">
        <v>832</v>
      </c>
      <c r="B58" s="218" t="s">
        <v>853</v>
      </c>
      <c r="C58" s="622">
        <v>12447.18</v>
      </c>
      <c r="D58" s="354">
        <v>1</v>
      </c>
      <c r="E58" s="353">
        <v>1</v>
      </c>
      <c r="F58" s="348">
        <f t="shared" si="7"/>
        <v>16252.282926000002</v>
      </c>
      <c r="G58" s="348">
        <f t="shared" si="8"/>
        <v>195027.39511200003</v>
      </c>
      <c r="H58" s="617">
        <f t="shared" si="2"/>
        <v>211623.63511200002</v>
      </c>
    </row>
    <row r="59" spans="1:8" x14ac:dyDescent="0.2">
      <c r="A59" s="218" t="s">
        <v>832</v>
      </c>
      <c r="B59" s="218" t="s">
        <v>852</v>
      </c>
      <c r="C59" s="348">
        <v>9950.4</v>
      </c>
      <c r="D59" s="351">
        <v>1</v>
      </c>
      <c r="E59" s="353">
        <v>1</v>
      </c>
      <c r="F59" s="348">
        <f t="shared" si="7"/>
        <v>12992.237280000001</v>
      </c>
      <c r="G59" s="348">
        <f t="shared" si="8"/>
        <v>155906.84736000001</v>
      </c>
      <c r="H59" s="617">
        <f t="shared" si="2"/>
        <v>169174.04736000003</v>
      </c>
    </row>
    <row r="60" spans="1:8" x14ac:dyDescent="0.2">
      <c r="A60" s="218" t="s">
        <v>832</v>
      </c>
      <c r="B60" s="868" t="s">
        <v>851</v>
      </c>
      <c r="C60" s="869"/>
      <c r="D60" s="869"/>
      <c r="E60" s="869"/>
      <c r="F60" s="869"/>
      <c r="G60" s="869"/>
      <c r="H60" s="869"/>
    </row>
    <row r="61" spans="1:8" x14ac:dyDescent="0.2">
      <c r="A61" s="218" t="s">
        <v>832</v>
      </c>
      <c r="B61" s="356" t="s">
        <v>850</v>
      </c>
      <c r="C61" s="355">
        <v>16603.560000000001</v>
      </c>
      <c r="D61" s="354">
        <v>1</v>
      </c>
      <c r="E61" s="353">
        <v>1</v>
      </c>
      <c r="F61" s="348">
        <f>C61*(1+$G$1)*D61*E61</f>
        <v>21679.268292000004</v>
      </c>
      <c r="G61" s="348">
        <f>F61*12</f>
        <v>260151.21950400004</v>
      </c>
      <c r="H61" s="617">
        <f t="shared" ref="H61:H62" si="9">G61+C61*(1+1/3)</f>
        <v>282289.29950400005</v>
      </c>
    </row>
    <row r="62" spans="1:8" x14ac:dyDescent="0.2">
      <c r="A62" s="218" t="s">
        <v>832</v>
      </c>
      <c r="B62" s="218" t="s">
        <v>849</v>
      </c>
      <c r="C62" s="619">
        <v>7954.45</v>
      </c>
      <c r="D62" s="354">
        <v>1</v>
      </c>
      <c r="E62" s="353">
        <v>1</v>
      </c>
      <c r="F62" s="348">
        <f>C62*(1+$G$1)*D62*E62</f>
        <v>10386.125365</v>
      </c>
      <c r="G62" s="348">
        <f>F62*12</f>
        <v>124633.50438</v>
      </c>
      <c r="H62" s="617">
        <f t="shared" si="9"/>
        <v>135239.43771333332</v>
      </c>
    </row>
    <row r="63" spans="1:8" x14ac:dyDescent="0.2">
      <c r="A63" s="218" t="s">
        <v>832</v>
      </c>
      <c r="B63" s="868" t="s">
        <v>848</v>
      </c>
      <c r="C63" s="869"/>
      <c r="D63" s="869"/>
      <c r="E63" s="869"/>
      <c r="F63" s="869"/>
      <c r="G63" s="869"/>
      <c r="H63" s="869"/>
    </row>
    <row r="64" spans="1:8" x14ac:dyDescent="0.2">
      <c r="A64" s="218" t="s">
        <v>832</v>
      </c>
      <c r="B64" s="218" t="s">
        <v>847</v>
      </c>
      <c r="C64" s="348">
        <v>20755.22</v>
      </c>
      <c r="D64" s="354">
        <v>1</v>
      </c>
      <c r="E64" s="353">
        <v>0.3</v>
      </c>
      <c r="F64" s="348">
        <f t="shared" ref="F64:F81" si="10">C64*(1+$G$1)*D64*E64</f>
        <v>8130.0272262000008</v>
      </c>
      <c r="G64" s="348">
        <f t="shared" ref="G64:G81" si="11">F64*12</f>
        <v>97560.326714400013</v>
      </c>
      <c r="H64" s="616">
        <f>G64</f>
        <v>97560.326714400013</v>
      </c>
    </row>
    <row r="65" spans="1:8" x14ac:dyDescent="0.2">
      <c r="A65" s="218" t="s">
        <v>832</v>
      </c>
      <c r="B65" s="218" t="s">
        <v>846</v>
      </c>
      <c r="C65" s="348">
        <v>4004.67</v>
      </c>
      <c r="D65" s="354">
        <v>2</v>
      </c>
      <c r="E65" s="353">
        <v>0.3</v>
      </c>
      <c r="F65" s="348">
        <f t="shared" si="10"/>
        <v>3137.3385714000001</v>
      </c>
      <c r="G65" s="348">
        <f t="shared" si="11"/>
        <v>37648.062856800003</v>
      </c>
      <c r="H65" s="617">
        <f t="shared" ref="H65:H81" si="12">G65+C65*(1+1/3)</f>
        <v>42987.622856800001</v>
      </c>
    </row>
    <row r="66" spans="1:8" x14ac:dyDescent="0.2">
      <c r="A66" s="218" t="s">
        <v>832</v>
      </c>
      <c r="B66" s="352" t="s">
        <v>845</v>
      </c>
      <c r="C66" s="355">
        <v>16603.560000000001</v>
      </c>
      <c r="D66" s="351">
        <v>1</v>
      </c>
      <c r="E66" s="350">
        <v>1</v>
      </c>
      <c r="F66" s="349">
        <f t="shared" si="10"/>
        <v>21679.268292000004</v>
      </c>
      <c r="G66" s="348">
        <f t="shared" si="11"/>
        <v>260151.21950400004</v>
      </c>
      <c r="H66" s="617">
        <f t="shared" si="12"/>
        <v>282289.29950400005</v>
      </c>
    </row>
    <row r="67" spans="1:8" x14ac:dyDescent="0.2">
      <c r="A67" s="218" t="s">
        <v>832</v>
      </c>
      <c r="B67" s="352" t="s">
        <v>844</v>
      </c>
      <c r="C67" s="623">
        <v>8479.8799999999992</v>
      </c>
      <c r="D67" s="351">
        <v>1</v>
      </c>
      <c r="E67" s="350">
        <v>1</v>
      </c>
      <c r="F67" s="349">
        <f t="shared" si="10"/>
        <v>11072.179316</v>
      </c>
      <c r="G67" s="348">
        <f t="shared" si="11"/>
        <v>132866.15179199999</v>
      </c>
      <c r="H67" s="617">
        <f t="shared" si="12"/>
        <v>144172.65845866664</v>
      </c>
    </row>
    <row r="68" spans="1:8" x14ac:dyDescent="0.2">
      <c r="A68" s="218" t="s">
        <v>832</v>
      </c>
      <c r="B68" s="352" t="s">
        <v>843</v>
      </c>
      <c r="C68" s="348">
        <v>3002.98</v>
      </c>
      <c r="D68" s="351">
        <v>2</v>
      </c>
      <c r="E68" s="350">
        <v>1</v>
      </c>
      <c r="F68" s="349">
        <f t="shared" si="10"/>
        <v>7841.9819720000005</v>
      </c>
      <c r="G68" s="348">
        <f t="shared" si="11"/>
        <v>94103.783664000002</v>
      </c>
      <c r="H68" s="617">
        <f t="shared" si="12"/>
        <v>98107.75699733333</v>
      </c>
    </row>
    <row r="69" spans="1:8" x14ac:dyDescent="0.2">
      <c r="A69" s="218" t="s">
        <v>832</v>
      </c>
      <c r="B69" s="352" t="s">
        <v>842</v>
      </c>
      <c r="C69" s="355">
        <v>16603.560000000001</v>
      </c>
      <c r="D69" s="351">
        <v>1</v>
      </c>
      <c r="E69" s="350">
        <v>0.6</v>
      </c>
      <c r="F69" s="349">
        <f t="shared" si="10"/>
        <v>13007.560975200002</v>
      </c>
      <c r="G69" s="348">
        <f t="shared" si="11"/>
        <v>156090.73170240002</v>
      </c>
      <c r="H69" s="617">
        <f t="shared" si="12"/>
        <v>178228.81170240004</v>
      </c>
    </row>
    <row r="70" spans="1:8" x14ac:dyDescent="0.2">
      <c r="A70" s="218" t="s">
        <v>832</v>
      </c>
      <c r="B70" s="352" t="s">
        <v>834</v>
      </c>
      <c r="C70" s="349">
        <v>8479.8799999999992</v>
      </c>
      <c r="D70" s="351">
        <v>2</v>
      </c>
      <c r="E70" s="350">
        <v>1</v>
      </c>
      <c r="F70" s="349">
        <f t="shared" si="10"/>
        <v>22144.358631999999</v>
      </c>
      <c r="G70" s="348">
        <f t="shared" si="11"/>
        <v>265732.30358399998</v>
      </c>
      <c r="H70" s="617">
        <f t="shared" si="12"/>
        <v>277038.81025066663</v>
      </c>
    </row>
    <row r="71" spans="1:8" x14ac:dyDescent="0.2">
      <c r="A71" s="218" t="s">
        <v>832</v>
      </c>
      <c r="B71" s="352" t="s">
        <v>841</v>
      </c>
      <c r="C71" s="623">
        <v>3756.51</v>
      </c>
      <c r="D71" s="351">
        <v>1</v>
      </c>
      <c r="E71" s="350">
        <v>1</v>
      </c>
      <c r="F71" s="349">
        <f t="shared" si="10"/>
        <v>4904.8751070000008</v>
      </c>
      <c r="G71" s="348">
        <f t="shared" si="11"/>
        <v>58858.501284000013</v>
      </c>
      <c r="H71" s="617">
        <f t="shared" si="12"/>
        <v>63867.181284000013</v>
      </c>
    </row>
    <row r="72" spans="1:8" x14ac:dyDescent="0.2">
      <c r="A72" s="218" t="s">
        <v>832</v>
      </c>
      <c r="B72" s="352" t="s">
        <v>840</v>
      </c>
      <c r="C72" s="348">
        <v>3002.98</v>
      </c>
      <c r="D72" s="351">
        <v>1</v>
      </c>
      <c r="E72" s="350">
        <v>1</v>
      </c>
      <c r="F72" s="349">
        <f t="shared" si="10"/>
        <v>3920.9909860000002</v>
      </c>
      <c r="G72" s="348">
        <f t="shared" si="11"/>
        <v>47051.891832000001</v>
      </c>
      <c r="H72" s="617">
        <f t="shared" si="12"/>
        <v>51055.865165333336</v>
      </c>
    </row>
    <row r="73" spans="1:8" x14ac:dyDescent="0.2">
      <c r="A73" s="218" t="s">
        <v>832</v>
      </c>
      <c r="B73" s="352" t="s">
        <v>839</v>
      </c>
      <c r="C73" s="623">
        <v>4407.9799999999996</v>
      </c>
      <c r="D73" s="351">
        <v>1</v>
      </c>
      <c r="E73" s="350">
        <v>1</v>
      </c>
      <c r="F73" s="349">
        <f t="shared" si="10"/>
        <v>5755.4994859999997</v>
      </c>
      <c r="G73" s="348">
        <f t="shared" si="11"/>
        <v>69065.993831999993</v>
      </c>
      <c r="H73" s="617">
        <f t="shared" si="12"/>
        <v>74943.300498666664</v>
      </c>
    </row>
    <row r="74" spans="1:8" x14ac:dyDescent="0.2">
      <c r="A74" s="218" t="s">
        <v>832</v>
      </c>
      <c r="B74" s="352" t="s">
        <v>838</v>
      </c>
      <c r="C74" s="349">
        <v>3756.51</v>
      </c>
      <c r="D74" s="351">
        <v>1</v>
      </c>
      <c r="E74" s="350">
        <v>0.2</v>
      </c>
      <c r="F74" s="349">
        <f t="shared" si="10"/>
        <v>980.97502140000017</v>
      </c>
      <c r="G74" s="348">
        <f t="shared" si="11"/>
        <v>11771.700256800003</v>
      </c>
      <c r="H74" s="617">
        <f t="shared" si="12"/>
        <v>16780.380256800003</v>
      </c>
    </row>
    <row r="75" spans="1:8" x14ac:dyDescent="0.2">
      <c r="A75" s="218" t="s">
        <v>832</v>
      </c>
      <c r="B75" s="352" t="s">
        <v>837</v>
      </c>
      <c r="C75" s="355">
        <v>16603.560000000001</v>
      </c>
      <c r="D75" s="351">
        <v>1</v>
      </c>
      <c r="E75" s="350">
        <v>0.06</v>
      </c>
      <c r="F75" s="349">
        <f t="shared" si="10"/>
        <v>1300.7560975200001</v>
      </c>
      <c r="G75" s="348">
        <f t="shared" si="11"/>
        <v>15609.073170240001</v>
      </c>
      <c r="H75" s="617">
        <f t="shared" si="12"/>
        <v>37747.153170240003</v>
      </c>
    </row>
    <row r="76" spans="1:8" x14ac:dyDescent="0.2">
      <c r="A76" s="218" t="s">
        <v>832</v>
      </c>
      <c r="B76" s="352" t="s">
        <v>834</v>
      </c>
      <c r="C76" s="349">
        <v>7461.53</v>
      </c>
      <c r="D76" s="351">
        <v>2</v>
      </c>
      <c r="E76" s="350">
        <v>1</v>
      </c>
      <c r="F76" s="349">
        <f t="shared" si="10"/>
        <v>19485.039442000001</v>
      </c>
      <c r="G76" s="348">
        <f t="shared" si="11"/>
        <v>233820.47330400001</v>
      </c>
      <c r="H76" s="617">
        <f t="shared" si="12"/>
        <v>243769.17997066668</v>
      </c>
    </row>
    <row r="77" spans="1:8" x14ac:dyDescent="0.2">
      <c r="A77" s="218" t="s">
        <v>832</v>
      </c>
      <c r="B77" s="352" t="s">
        <v>836</v>
      </c>
      <c r="C77" s="348">
        <v>3002.98</v>
      </c>
      <c r="D77" s="351">
        <v>1</v>
      </c>
      <c r="E77" s="350">
        <v>1</v>
      </c>
      <c r="F77" s="349">
        <f t="shared" si="10"/>
        <v>3920.9909860000002</v>
      </c>
      <c r="G77" s="348">
        <f t="shared" si="11"/>
        <v>47051.891832000001</v>
      </c>
      <c r="H77" s="617">
        <f t="shared" si="12"/>
        <v>51055.865165333336</v>
      </c>
    </row>
    <row r="78" spans="1:8" x14ac:dyDescent="0.2">
      <c r="A78" s="218" t="s">
        <v>832</v>
      </c>
      <c r="B78" s="352" t="s">
        <v>835</v>
      </c>
      <c r="C78" s="355">
        <v>16603.560000000001</v>
      </c>
      <c r="D78" s="351">
        <v>1</v>
      </c>
      <c r="E78" s="350">
        <v>0.6</v>
      </c>
      <c r="F78" s="349">
        <f t="shared" si="10"/>
        <v>13007.560975200002</v>
      </c>
      <c r="G78" s="348">
        <f t="shared" si="11"/>
        <v>156090.73170240002</v>
      </c>
      <c r="H78" s="617">
        <f t="shared" si="12"/>
        <v>178228.81170240004</v>
      </c>
    </row>
    <row r="79" spans="1:8" x14ac:dyDescent="0.2">
      <c r="A79" s="218" t="s">
        <v>832</v>
      </c>
      <c r="B79" s="352" t="s">
        <v>834</v>
      </c>
      <c r="C79" s="349">
        <v>7461.53</v>
      </c>
      <c r="D79" s="351">
        <v>1</v>
      </c>
      <c r="E79" s="350">
        <v>1</v>
      </c>
      <c r="F79" s="349">
        <f t="shared" si="10"/>
        <v>9742.5197210000006</v>
      </c>
      <c r="G79" s="348">
        <f t="shared" si="11"/>
        <v>116910.23665200001</v>
      </c>
      <c r="H79" s="617">
        <f t="shared" si="12"/>
        <v>126858.94331866667</v>
      </c>
    </row>
    <row r="80" spans="1:8" x14ac:dyDescent="0.2">
      <c r="A80" s="218" t="s">
        <v>832</v>
      </c>
      <c r="B80" s="352" t="s">
        <v>833</v>
      </c>
      <c r="C80" s="349">
        <v>8479.8799999999992</v>
      </c>
      <c r="D80" s="351">
        <v>2</v>
      </c>
      <c r="E80" s="350">
        <v>1</v>
      </c>
      <c r="F80" s="349">
        <f t="shared" si="10"/>
        <v>22144.358631999999</v>
      </c>
      <c r="G80" s="348">
        <f t="shared" si="11"/>
        <v>265732.30358399998</v>
      </c>
      <c r="H80" s="617">
        <f t="shared" si="12"/>
        <v>277038.81025066663</v>
      </c>
    </row>
    <row r="81" spans="1:9" x14ac:dyDescent="0.2">
      <c r="A81" s="218" t="s">
        <v>832</v>
      </c>
      <c r="B81" s="352" t="s">
        <v>831</v>
      </c>
      <c r="C81" s="623">
        <v>3305.4</v>
      </c>
      <c r="D81" s="351">
        <v>2</v>
      </c>
      <c r="E81" s="350">
        <v>1</v>
      </c>
      <c r="F81" s="349">
        <f t="shared" si="10"/>
        <v>8631.72156</v>
      </c>
      <c r="G81" s="348">
        <f t="shared" si="11"/>
        <v>103580.65872000001</v>
      </c>
      <c r="H81" s="617">
        <f t="shared" si="12"/>
        <v>107987.85872</v>
      </c>
    </row>
    <row r="82" spans="1:9" x14ac:dyDescent="0.2">
      <c r="F82" s="347" t="s">
        <v>146</v>
      </c>
      <c r="G82" s="346">
        <f>SUM(G6:G11,G13:G44,G46:G51,G53:G59,G61:G62,G64:G81)</f>
        <v>11615542.912461841</v>
      </c>
      <c r="H82" s="618">
        <f>SUM(H6:H11,H13:H44,H46:H51,H53:H59,H61:H62,H64:H81)</f>
        <v>12353939.005795175</v>
      </c>
      <c r="I82" s="602"/>
    </row>
  </sheetData>
  <mergeCells count="14">
    <mergeCell ref="J4:K4"/>
    <mergeCell ref="B60:H60"/>
    <mergeCell ref="B63:H63"/>
    <mergeCell ref="H2:H4"/>
    <mergeCell ref="B5:H5"/>
    <mergeCell ref="B12:H12"/>
    <mergeCell ref="B45:H45"/>
    <mergeCell ref="B52:H52"/>
    <mergeCell ref="E2:E4"/>
    <mergeCell ref="F2:F4"/>
    <mergeCell ref="G2:G4"/>
    <mergeCell ref="B2:B4"/>
    <mergeCell ref="C2:C3"/>
    <mergeCell ref="D2:D4"/>
  </mergeCells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17"/>
  <sheetViews>
    <sheetView showGridLines="0" topLeftCell="A36" workbookViewId="0">
      <selection activeCell="P68" sqref="P68"/>
    </sheetView>
  </sheetViews>
  <sheetFormatPr defaultRowHeight="15" x14ac:dyDescent="0.25"/>
  <cols>
    <col min="2" max="2" width="11.140625" customWidth="1"/>
    <col min="3" max="3" width="46" customWidth="1"/>
    <col min="4" max="4" width="11.5703125" customWidth="1"/>
    <col min="6" max="6" width="10.85546875" customWidth="1"/>
    <col min="7" max="7" width="11.140625" customWidth="1"/>
    <col min="9" max="9" width="45.42578125" customWidth="1"/>
    <col min="10" max="10" width="22.140625" customWidth="1"/>
    <col min="11" max="11" width="5.28515625" customWidth="1"/>
    <col min="12" max="12" width="53.140625" customWidth="1"/>
    <col min="13" max="13" width="19.85546875" customWidth="1"/>
  </cols>
  <sheetData>
    <row r="2" spans="2:12" x14ac:dyDescent="0.25">
      <c r="B2" s="334"/>
      <c r="C2" s="397" t="s">
        <v>1072</v>
      </c>
      <c r="D2" s="397"/>
      <c r="E2" s="397"/>
      <c r="F2" s="334"/>
      <c r="G2" s="334"/>
      <c r="H2" s="334"/>
      <c r="I2" s="334"/>
    </row>
    <row r="5" spans="2:12" x14ac:dyDescent="0.25">
      <c r="B5" s="2" t="s">
        <v>1071</v>
      </c>
      <c r="C5" s="2"/>
      <c r="E5" s="397" t="s">
        <v>1070</v>
      </c>
      <c r="F5" s="397"/>
      <c r="H5" s="2" t="s">
        <v>1069</v>
      </c>
      <c r="I5" s="2"/>
      <c r="J5" s="2"/>
    </row>
    <row r="6" spans="2:12" ht="15.75" thickBot="1" x14ac:dyDescent="0.3"/>
    <row r="7" spans="2:12" x14ac:dyDescent="0.25">
      <c r="B7" s="396" t="s">
        <v>1068</v>
      </c>
      <c r="C7" s="625" t="s">
        <v>1067</v>
      </c>
      <c r="E7" s="395" t="s">
        <v>1068</v>
      </c>
      <c r="F7" s="394" t="s">
        <v>1067</v>
      </c>
      <c r="H7" s="395" t="s">
        <v>1068</v>
      </c>
      <c r="I7" s="394" t="s">
        <v>1067</v>
      </c>
    </row>
    <row r="8" spans="2:12" x14ac:dyDescent="0.25">
      <c r="B8" s="392" t="s">
        <v>1066</v>
      </c>
      <c r="C8" s="628">
        <v>7461.53</v>
      </c>
      <c r="E8" s="392" t="s">
        <v>1065</v>
      </c>
      <c r="F8" s="393">
        <v>3002.98</v>
      </c>
      <c r="H8" s="392" t="s">
        <v>1064</v>
      </c>
      <c r="I8" s="393">
        <v>1387.25</v>
      </c>
    </row>
    <row r="9" spans="2:12" x14ac:dyDescent="0.25">
      <c r="B9" s="392" t="s">
        <v>1063</v>
      </c>
      <c r="C9" s="628">
        <v>7703.96</v>
      </c>
      <c r="E9" s="392" t="s">
        <v>1062</v>
      </c>
      <c r="F9" s="393">
        <v>3100.6</v>
      </c>
      <c r="H9" s="392" t="s">
        <v>1061</v>
      </c>
      <c r="I9" s="393">
        <v>1432.31</v>
      </c>
    </row>
    <row r="10" spans="2:12" x14ac:dyDescent="0.25">
      <c r="B10" s="392" t="s">
        <v>1060</v>
      </c>
      <c r="C10" s="628">
        <v>7954.45</v>
      </c>
      <c r="E10" s="392" t="s">
        <v>1059</v>
      </c>
      <c r="F10" s="393">
        <v>3201.4</v>
      </c>
      <c r="H10" s="392" t="s">
        <v>1058</v>
      </c>
      <c r="I10" s="393">
        <v>1478.87</v>
      </c>
    </row>
    <row r="11" spans="2:12" x14ac:dyDescent="0.25">
      <c r="B11" s="392" t="s">
        <v>1057</v>
      </c>
      <c r="C11" s="628">
        <v>8212.9500000000007</v>
      </c>
      <c r="E11" s="392" t="s">
        <v>1056</v>
      </c>
      <c r="F11" s="393">
        <v>3305.4</v>
      </c>
      <c r="H11" s="392" t="s">
        <v>1055</v>
      </c>
      <c r="I11" s="393">
        <v>1526.91</v>
      </c>
    </row>
    <row r="12" spans="2:12" x14ac:dyDescent="0.25">
      <c r="B12" s="392" t="s">
        <v>1054</v>
      </c>
      <c r="C12" s="626">
        <v>8479.8799999999992</v>
      </c>
      <c r="E12" s="392" t="s">
        <v>1053</v>
      </c>
      <c r="F12" s="393">
        <v>3412.83</v>
      </c>
      <c r="H12" s="392" t="s">
        <v>1052</v>
      </c>
      <c r="I12" s="393">
        <v>1576.56</v>
      </c>
    </row>
    <row r="13" spans="2:12" x14ac:dyDescent="0.25">
      <c r="B13" s="392" t="s">
        <v>1051</v>
      </c>
      <c r="C13" s="628">
        <v>8755.51</v>
      </c>
      <c r="E13" s="392" t="s">
        <v>1050</v>
      </c>
      <c r="F13" s="393">
        <v>3523.75</v>
      </c>
      <c r="H13" s="392" t="s">
        <v>1049</v>
      </c>
      <c r="I13" s="393">
        <v>1627.78</v>
      </c>
    </row>
    <row r="14" spans="2:12" ht="15.75" thickBot="1" x14ac:dyDescent="0.3">
      <c r="B14" s="392" t="s">
        <v>1048</v>
      </c>
      <c r="C14" s="628">
        <v>9040.0400000000009</v>
      </c>
      <c r="E14" s="392" t="s">
        <v>1047</v>
      </c>
      <c r="F14" s="393">
        <v>3638.32</v>
      </c>
      <c r="H14" s="392" t="s">
        <v>1046</v>
      </c>
      <c r="I14" s="393">
        <v>1680.67</v>
      </c>
    </row>
    <row r="15" spans="2:12" ht="15.75" thickBot="1" x14ac:dyDescent="0.3">
      <c r="B15" s="392" t="s">
        <v>1045</v>
      </c>
      <c r="C15" s="628">
        <v>9333.8799999999992</v>
      </c>
      <c r="E15" s="392" t="s">
        <v>1044</v>
      </c>
      <c r="F15" s="393">
        <v>3756.51</v>
      </c>
      <c r="H15" s="392" t="s">
        <v>1043</v>
      </c>
      <c r="I15" s="393">
        <v>1735.31</v>
      </c>
      <c r="L15" s="376"/>
    </row>
    <row r="16" spans="2:12" x14ac:dyDescent="0.25">
      <c r="B16" s="392" t="s">
        <v>1042</v>
      </c>
      <c r="C16" s="628">
        <v>9637.2099999999991</v>
      </c>
      <c r="E16" s="392" t="s">
        <v>1041</v>
      </c>
      <c r="F16" s="393">
        <v>3878.62</v>
      </c>
      <c r="H16" s="392" t="s">
        <v>1040</v>
      </c>
      <c r="I16" s="393">
        <v>1791.71</v>
      </c>
    </row>
    <row r="17" spans="2:12" x14ac:dyDescent="0.25">
      <c r="B17" s="392" t="s">
        <v>1039</v>
      </c>
      <c r="C17" s="628">
        <v>9950.4</v>
      </c>
      <c r="E17" s="392" t="s">
        <v>1038</v>
      </c>
      <c r="F17" s="393">
        <v>4004.67</v>
      </c>
      <c r="H17" s="392" t="s">
        <v>1037</v>
      </c>
      <c r="I17" s="393">
        <v>1849.95</v>
      </c>
    </row>
    <row r="18" spans="2:12" x14ac:dyDescent="0.25">
      <c r="B18" s="392" t="s">
        <v>1036</v>
      </c>
      <c r="C18" s="628">
        <v>10273.81</v>
      </c>
      <c r="E18" s="392" t="s">
        <v>1035</v>
      </c>
      <c r="F18" s="393">
        <v>4134.83</v>
      </c>
      <c r="H18" s="392" t="s">
        <v>1034</v>
      </c>
      <c r="I18" s="393">
        <v>1910.07</v>
      </c>
    </row>
    <row r="19" spans="2:12" x14ac:dyDescent="0.25">
      <c r="B19" s="392" t="s">
        <v>1033</v>
      </c>
      <c r="C19" s="628">
        <v>10607.67</v>
      </c>
      <c r="E19" s="392" t="s">
        <v>1032</v>
      </c>
      <c r="F19" s="393">
        <v>4269.2299999999996</v>
      </c>
      <c r="H19" s="392" t="s">
        <v>1031</v>
      </c>
      <c r="I19" s="393">
        <v>1972.15</v>
      </c>
    </row>
    <row r="20" spans="2:12" x14ac:dyDescent="0.25">
      <c r="B20" s="392" t="s">
        <v>1030</v>
      </c>
      <c r="C20" s="628">
        <v>10952.45</v>
      </c>
      <c r="E20" s="392" t="s">
        <v>1029</v>
      </c>
      <c r="F20" s="393">
        <v>4407.9799999999996</v>
      </c>
      <c r="H20" s="392" t="s">
        <v>1028</v>
      </c>
      <c r="I20" s="393">
        <v>2036.26</v>
      </c>
    </row>
    <row r="21" spans="2:12" x14ac:dyDescent="0.25">
      <c r="B21" s="392" t="s">
        <v>1027</v>
      </c>
      <c r="C21" s="628">
        <v>11308.38</v>
      </c>
      <c r="E21" s="392" t="s">
        <v>1026</v>
      </c>
      <c r="F21" s="393">
        <v>4551.2</v>
      </c>
      <c r="H21" s="392" t="s">
        <v>1025</v>
      </c>
      <c r="I21" s="393">
        <v>2102.42</v>
      </c>
    </row>
    <row r="22" spans="2:12" x14ac:dyDescent="0.25">
      <c r="B22" s="392" t="s">
        <v>1024</v>
      </c>
      <c r="C22" s="628">
        <v>11675.86</v>
      </c>
      <c r="E22" s="392" t="s">
        <v>1023</v>
      </c>
      <c r="F22" s="393">
        <v>4699.1499999999996</v>
      </c>
      <c r="H22" s="392" t="s">
        <v>1022</v>
      </c>
      <c r="I22" s="393">
        <v>2170.7600000000002</v>
      </c>
    </row>
    <row r="23" spans="2:12" ht="15.75" thickBot="1" x14ac:dyDescent="0.3">
      <c r="B23" s="392" t="s">
        <v>1021</v>
      </c>
      <c r="C23" s="628">
        <v>12055.36</v>
      </c>
      <c r="E23" s="392" t="s">
        <v>1020</v>
      </c>
      <c r="F23" s="393">
        <v>4851.88</v>
      </c>
      <c r="H23" s="392" t="s">
        <v>1019</v>
      </c>
      <c r="I23" s="393">
        <v>2241.31</v>
      </c>
    </row>
    <row r="24" spans="2:12" ht="15.75" thickBot="1" x14ac:dyDescent="0.3">
      <c r="B24" s="392" t="s">
        <v>1018</v>
      </c>
      <c r="C24" s="628">
        <v>12447.18</v>
      </c>
      <c r="E24" s="392" t="s">
        <v>1017</v>
      </c>
      <c r="F24" s="393">
        <v>5009.55</v>
      </c>
      <c r="H24" s="392" t="s">
        <v>1016</v>
      </c>
      <c r="I24" s="393">
        <v>2314.15</v>
      </c>
      <c r="K24" s="399"/>
      <c r="L24" s="398"/>
    </row>
    <row r="25" spans="2:12" x14ac:dyDescent="0.25">
      <c r="B25" s="392" t="s">
        <v>1015</v>
      </c>
      <c r="C25" s="628">
        <v>12851.68</v>
      </c>
      <c r="E25" s="392" t="s">
        <v>1014</v>
      </c>
      <c r="F25" s="393">
        <v>5172.37</v>
      </c>
      <c r="H25" s="392" t="s">
        <v>1013</v>
      </c>
      <c r="I25" s="393">
        <v>2389.33</v>
      </c>
    </row>
    <row r="26" spans="2:12" x14ac:dyDescent="0.25">
      <c r="B26" s="392" t="s">
        <v>1012</v>
      </c>
      <c r="C26" s="628">
        <v>13269.38</v>
      </c>
      <c r="E26" s="392" t="s">
        <v>1011</v>
      </c>
      <c r="F26" s="393">
        <v>5340.49</v>
      </c>
      <c r="H26" s="392" t="s">
        <v>1010</v>
      </c>
      <c r="I26" s="393">
        <v>2466.9899999999998</v>
      </c>
    </row>
    <row r="27" spans="2:12" x14ac:dyDescent="0.25">
      <c r="B27" s="392" t="s">
        <v>1009</v>
      </c>
      <c r="C27" s="628">
        <v>13700.64</v>
      </c>
      <c r="E27" s="392" t="s">
        <v>1008</v>
      </c>
      <c r="F27" s="393">
        <v>5514.07</v>
      </c>
      <c r="H27" s="392" t="s">
        <v>1007</v>
      </c>
      <c r="I27" s="393">
        <v>2547.17</v>
      </c>
    </row>
    <row r="28" spans="2:12" x14ac:dyDescent="0.25">
      <c r="B28" s="392" t="s">
        <v>1006</v>
      </c>
      <c r="C28" s="628">
        <v>14145.9</v>
      </c>
      <c r="E28" s="392" t="s">
        <v>1005</v>
      </c>
      <c r="F28" s="393">
        <v>5693.29</v>
      </c>
      <c r="H28" s="392" t="s">
        <v>1004</v>
      </c>
      <c r="I28" s="393">
        <v>2629.96</v>
      </c>
    </row>
    <row r="29" spans="2:12" ht="15.75" thickBot="1" x14ac:dyDescent="0.3">
      <c r="B29" s="392" t="s">
        <v>1003</v>
      </c>
      <c r="C29" s="628">
        <v>14605.65</v>
      </c>
      <c r="E29" s="392" t="s">
        <v>1002</v>
      </c>
      <c r="F29" s="393">
        <v>5878.29</v>
      </c>
      <c r="H29" s="391" t="s">
        <v>1001</v>
      </c>
      <c r="I29" s="629">
        <v>2715.44</v>
      </c>
    </row>
    <row r="30" spans="2:12" x14ac:dyDescent="0.25">
      <c r="B30" s="392" t="s">
        <v>1000</v>
      </c>
      <c r="C30" s="628">
        <v>15080.33</v>
      </c>
      <c r="E30" s="392" t="s">
        <v>999</v>
      </c>
      <c r="F30" s="393">
        <v>6069.34</v>
      </c>
    </row>
    <row r="31" spans="2:12" x14ac:dyDescent="0.25">
      <c r="B31" s="392" t="s">
        <v>998</v>
      </c>
      <c r="C31" s="628">
        <v>15570.41</v>
      </c>
      <c r="E31" s="392" t="s">
        <v>997</v>
      </c>
      <c r="F31" s="393">
        <v>6266.61</v>
      </c>
    </row>
    <row r="32" spans="2:12" x14ac:dyDescent="0.25">
      <c r="B32" s="392" t="s">
        <v>996</v>
      </c>
      <c r="C32" s="628">
        <v>16076.47</v>
      </c>
      <c r="E32" s="392" t="s">
        <v>995</v>
      </c>
      <c r="F32" s="393">
        <v>6470.28</v>
      </c>
    </row>
    <row r="33" spans="2:13" x14ac:dyDescent="0.25">
      <c r="B33" s="392" t="s">
        <v>994</v>
      </c>
      <c r="C33" s="628">
        <v>16598.95</v>
      </c>
      <c r="E33" s="392" t="s">
        <v>993</v>
      </c>
      <c r="F33" s="393">
        <v>6680.54</v>
      </c>
    </row>
    <row r="34" spans="2:13" x14ac:dyDescent="0.25">
      <c r="B34" s="392" t="s">
        <v>992</v>
      </c>
      <c r="C34" s="628">
        <v>17138.43</v>
      </c>
      <c r="E34" s="392" t="s">
        <v>991</v>
      </c>
      <c r="F34" s="393">
        <v>6897.67</v>
      </c>
    </row>
    <row r="35" spans="2:13" ht="15.75" thickBot="1" x14ac:dyDescent="0.3">
      <c r="B35" s="391" t="s">
        <v>990</v>
      </c>
      <c r="C35" s="627">
        <v>17695.419999999998</v>
      </c>
      <c r="E35" s="391" t="s">
        <v>989</v>
      </c>
      <c r="F35" s="629">
        <v>7121.84</v>
      </c>
    </row>
    <row r="36" spans="2:13" x14ac:dyDescent="0.25">
      <c r="B36" t="s">
        <v>1262</v>
      </c>
    </row>
    <row r="37" spans="2:13" x14ac:dyDescent="0.25">
      <c r="B37" t="s">
        <v>909</v>
      </c>
    </row>
    <row r="40" spans="2:13" x14ac:dyDescent="0.25">
      <c r="C40" s="2" t="s">
        <v>988</v>
      </c>
      <c r="D40" s="2"/>
      <c r="E40" s="2"/>
    </row>
    <row r="43" spans="2:13" ht="15.75" thickBot="1" x14ac:dyDescent="0.3">
      <c r="I43" t="s">
        <v>987</v>
      </c>
    </row>
    <row r="44" spans="2:13" ht="15.75" thickBot="1" x14ac:dyDescent="0.3">
      <c r="B44" s="369" t="s">
        <v>908</v>
      </c>
      <c r="C44" s="368" t="s">
        <v>907</v>
      </c>
      <c r="D44" s="368" t="s">
        <v>906</v>
      </c>
      <c r="E44" s="368" t="s">
        <v>905</v>
      </c>
      <c r="F44" s="367" t="s">
        <v>904</v>
      </c>
      <c r="I44" s="712" t="s">
        <v>8</v>
      </c>
      <c r="J44" s="878" t="s">
        <v>40</v>
      </c>
      <c r="K44" s="879"/>
      <c r="L44" s="880" t="s">
        <v>986</v>
      </c>
      <c r="M44" s="712" t="s">
        <v>985</v>
      </c>
    </row>
    <row r="45" spans="2:13" ht="15.75" thickBot="1" x14ac:dyDescent="0.3">
      <c r="B45" s="887" t="s">
        <v>984</v>
      </c>
      <c r="C45" s="373" t="s">
        <v>927</v>
      </c>
      <c r="D45" s="372" t="s">
        <v>902</v>
      </c>
      <c r="E45" s="372">
        <v>2</v>
      </c>
      <c r="F45" s="882">
        <v>20755.22</v>
      </c>
      <c r="I45" s="713"/>
      <c r="J45" s="878" t="s">
        <v>983</v>
      </c>
      <c r="K45" s="879"/>
      <c r="L45" s="881"/>
      <c r="M45" s="713"/>
    </row>
    <row r="46" spans="2:13" x14ac:dyDescent="0.25">
      <c r="B46" s="888"/>
      <c r="C46" s="7" t="s">
        <v>926</v>
      </c>
      <c r="D46" s="15" t="s">
        <v>902</v>
      </c>
      <c r="E46" s="15">
        <v>1</v>
      </c>
      <c r="F46" s="883"/>
      <c r="I46" s="389" t="s">
        <v>982</v>
      </c>
      <c r="J46" s="631">
        <v>1744</v>
      </c>
      <c r="K46" s="48"/>
      <c r="L46" s="626" t="s">
        <v>1267</v>
      </c>
      <c r="M46" s="389" t="s">
        <v>1266</v>
      </c>
    </row>
    <row r="47" spans="2:13" ht="15.75" thickBot="1" x14ac:dyDescent="0.3">
      <c r="B47" s="889"/>
      <c r="C47" s="371" t="s">
        <v>925</v>
      </c>
      <c r="D47" s="370" t="s">
        <v>902</v>
      </c>
      <c r="E47" s="370">
        <v>8</v>
      </c>
      <c r="F47" s="884"/>
      <c r="H47" s="18"/>
      <c r="I47" s="389" t="s">
        <v>981</v>
      </c>
      <c r="J47" s="44">
        <v>410</v>
      </c>
      <c r="K47" s="48"/>
      <c r="L47" s="48">
        <v>496.99</v>
      </c>
      <c r="M47" s="389" t="s">
        <v>1266</v>
      </c>
    </row>
    <row r="48" spans="2:13" ht="15.75" thickBot="1" x14ac:dyDescent="0.3">
      <c r="B48" s="390" t="s">
        <v>980</v>
      </c>
      <c r="C48" s="365" t="s">
        <v>979</v>
      </c>
      <c r="D48" s="364" t="s">
        <v>902</v>
      </c>
      <c r="E48" s="364">
        <v>3</v>
      </c>
      <c r="F48" s="378">
        <v>18680.169999999998</v>
      </c>
      <c r="I48" s="389" t="s">
        <v>978</v>
      </c>
      <c r="J48" s="44">
        <v>30</v>
      </c>
      <c r="K48" s="48"/>
      <c r="L48" s="48">
        <v>200</v>
      </c>
      <c r="M48" s="389" t="s">
        <v>1266</v>
      </c>
    </row>
    <row r="49" spans="2:13" x14ac:dyDescent="0.25">
      <c r="B49" s="887" t="s">
        <v>977</v>
      </c>
      <c r="C49" s="373" t="s">
        <v>923</v>
      </c>
      <c r="D49" s="372" t="s">
        <v>920</v>
      </c>
      <c r="E49" s="372">
        <v>15</v>
      </c>
      <c r="F49" s="882">
        <v>16603.560000000001</v>
      </c>
      <c r="I49" s="389" t="s">
        <v>976</v>
      </c>
      <c r="J49" s="631">
        <v>1744</v>
      </c>
      <c r="K49" s="48"/>
      <c r="L49" s="48">
        <v>57.57</v>
      </c>
      <c r="M49" s="389" t="s">
        <v>1266</v>
      </c>
    </row>
    <row r="50" spans="2:13" x14ac:dyDescent="0.25">
      <c r="B50" s="888"/>
      <c r="C50" s="7" t="s">
        <v>922</v>
      </c>
      <c r="D50" s="15" t="s">
        <v>920</v>
      </c>
      <c r="E50" s="15">
        <v>12</v>
      </c>
      <c r="F50" s="883"/>
      <c r="I50" s="389" t="s">
        <v>975</v>
      </c>
      <c r="J50" s="631">
        <v>5406</v>
      </c>
      <c r="K50" s="632"/>
      <c r="L50" s="48">
        <v>161.71</v>
      </c>
      <c r="M50" s="389" t="s">
        <v>1268</v>
      </c>
    </row>
    <row r="51" spans="2:13" ht="15.75" thickBot="1" x14ac:dyDescent="0.3">
      <c r="B51" s="888"/>
      <c r="C51" s="7" t="s">
        <v>921</v>
      </c>
      <c r="D51" s="15" t="s">
        <v>920</v>
      </c>
      <c r="E51" s="15">
        <v>4</v>
      </c>
      <c r="F51" s="883"/>
      <c r="I51" s="389"/>
      <c r="J51" s="44"/>
      <c r="K51" s="48"/>
      <c r="L51" s="48"/>
      <c r="M51" s="389"/>
    </row>
    <row r="52" spans="2:13" ht="15.75" thickBot="1" x14ac:dyDescent="0.3">
      <c r="B52" s="888"/>
      <c r="C52" s="7" t="s">
        <v>919</v>
      </c>
      <c r="D52" s="15" t="s">
        <v>902</v>
      </c>
      <c r="E52" s="15">
        <v>1</v>
      </c>
      <c r="F52" s="883"/>
      <c r="I52" s="384" t="s">
        <v>9</v>
      </c>
      <c r="J52" s="885">
        <v>5496</v>
      </c>
      <c r="K52" s="886"/>
      <c r="L52" s="181"/>
      <c r="M52" s="388"/>
    </row>
    <row r="53" spans="2:13" x14ac:dyDescent="0.25">
      <c r="B53" s="888"/>
      <c r="C53" s="7" t="s">
        <v>918</v>
      </c>
      <c r="D53" s="624" t="s">
        <v>1265</v>
      </c>
      <c r="E53" s="624">
        <v>1</v>
      </c>
      <c r="F53" s="883"/>
      <c r="I53" s="630"/>
      <c r="J53" s="196"/>
      <c r="K53" s="196"/>
      <c r="L53" s="18"/>
      <c r="M53" s="18"/>
    </row>
    <row r="54" spans="2:13" x14ac:dyDescent="0.25">
      <c r="B54" s="888"/>
      <c r="C54" s="7" t="s">
        <v>917</v>
      </c>
      <c r="D54" s="15" t="s">
        <v>902</v>
      </c>
      <c r="E54" s="15">
        <v>3</v>
      </c>
      <c r="F54" s="883"/>
      <c r="I54" s="49" t="s">
        <v>909</v>
      </c>
    </row>
    <row r="55" spans="2:13" x14ac:dyDescent="0.25">
      <c r="B55" s="888"/>
      <c r="C55" s="7" t="s">
        <v>1264</v>
      </c>
      <c r="D55" s="624" t="s">
        <v>902</v>
      </c>
      <c r="E55" s="624">
        <v>2</v>
      </c>
      <c r="F55" s="883"/>
      <c r="I55" s="49"/>
    </row>
    <row r="56" spans="2:13" x14ac:dyDescent="0.25">
      <c r="B56" s="888"/>
      <c r="C56" s="7" t="s">
        <v>974</v>
      </c>
      <c r="D56" s="624" t="s">
        <v>902</v>
      </c>
      <c r="E56" s="624">
        <v>19</v>
      </c>
      <c r="F56" s="883"/>
      <c r="I56" s="49"/>
    </row>
    <row r="57" spans="2:13" ht="15.75" thickBot="1" x14ac:dyDescent="0.3">
      <c r="B57" s="888"/>
      <c r="C57" s="7" t="s">
        <v>1263</v>
      </c>
      <c r="D57" s="15" t="s">
        <v>902</v>
      </c>
      <c r="E57" s="15">
        <v>8</v>
      </c>
      <c r="F57" s="883"/>
      <c r="I57" t="s">
        <v>1269</v>
      </c>
    </row>
    <row r="58" spans="2:13" x14ac:dyDescent="0.25">
      <c r="B58" s="887" t="s">
        <v>973</v>
      </c>
      <c r="C58" s="373" t="s">
        <v>972</v>
      </c>
      <c r="D58" s="372" t="s">
        <v>902</v>
      </c>
      <c r="E58" s="372">
        <v>41</v>
      </c>
      <c r="F58" s="882">
        <v>13076.26</v>
      </c>
    </row>
    <row r="59" spans="2:13" x14ac:dyDescent="0.25">
      <c r="B59" s="888"/>
      <c r="C59" s="7" t="s">
        <v>971</v>
      </c>
      <c r="D59" s="15" t="s">
        <v>920</v>
      </c>
      <c r="E59" s="15">
        <v>1</v>
      </c>
      <c r="F59" s="883"/>
    </row>
    <row r="60" spans="2:13" ht="15.75" thickBot="1" x14ac:dyDescent="0.3">
      <c r="B60" s="888"/>
      <c r="C60" s="7" t="s">
        <v>970</v>
      </c>
      <c r="D60" s="15" t="s">
        <v>902</v>
      </c>
      <c r="E60" s="15">
        <v>3</v>
      </c>
      <c r="F60" s="883"/>
    </row>
    <row r="61" spans="2:13" ht="15.75" thickBot="1" x14ac:dyDescent="0.3">
      <c r="B61" s="888"/>
      <c r="C61" s="7" t="s">
        <v>969</v>
      </c>
      <c r="D61" s="15" t="s">
        <v>920</v>
      </c>
      <c r="E61" s="15">
        <v>8</v>
      </c>
      <c r="F61" s="883"/>
      <c r="I61" s="878" t="s">
        <v>968</v>
      </c>
      <c r="J61" s="879"/>
    </row>
    <row r="62" spans="2:13" ht="15.75" thickBot="1" x14ac:dyDescent="0.3">
      <c r="B62" s="888"/>
      <c r="C62" s="7" t="s">
        <v>967</v>
      </c>
      <c r="D62" s="15" t="s">
        <v>902</v>
      </c>
      <c r="E62" s="15">
        <v>16</v>
      </c>
      <c r="F62" s="883"/>
      <c r="I62" s="376" t="s">
        <v>955</v>
      </c>
      <c r="J62" s="387">
        <v>250006.03</v>
      </c>
    </row>
    <row r="63" spans="2:13" ht="15.75" thickBot="1" x14ac:dyDescent="0.3">
      <c r="B63" s="888"/>
      <c r="C63" s="7" t="s">
        <v>966</v>
      </c>
      <c r="D63" s="15" t="s">
        <v>902</v>
      </c>
      <c r="E63" s="15">
        <v>8</v>
      </c>
      <c r="F63" s="883"/>
      <c r="I63" s="376" t="s">
        <v>953</v>
      </c>
      <c r="J63" s="387">
        <v>1197600.19</v>
      </c>
    </row>
    <row r="64" spans="2:13" ht="15.75" thickBot="1" x14ac:dyDescent="0.3">
      <c r="B64" s="889"/>
      <c r="C64" s="371" t="s">
        <v>965</v>
      </c>
      <c r="D64" s="370" t="s">
        <v>902</v>
      </c>
      <c r="E64" s="370">
        <v>40</v>
      </c>
      <c r="F64" s="884"/>
      <c r="I64" s="376" t="s">
        <v>951</v>
      </c>
      <c r="J64" s="387">
        <v>1447606.22</v>
      </c>
    </row>
    <row r="65" spans="2:12" x14ac:dyDescent="0.25">
      <c r="B65" s="887" t="s">
        <v>964</v>
      </c>
      <c r="C65" s="373" t="s">
        <v>963</v>
      </c>
      <c r="D65" s="372" t="s">
        <v>902</v>
      </c>
      <c r="E65" s="372">
        <v>129</v>
      </c>
      <c r="F65" s="882">
        <v>10378.379999999999</v>
      </c>
      <c r="I65" s="49" t="s">
        <v>962</v>
      </c>
    </row>
    <row r="66" spans="2:12" x14ac:dyDescent="0.25">
      <c r="B66" s="888"/>
      <c r="C66" s="7" t="s">
        <v>961</v>
      </c>
      <c r="D66" s="15" t="s">
        <v>902</v>
      </c>
      <c r="E66" s="15">
        <v>15</v>
      </c>
      <c r="F66" s="883"/>
    </row>
    <row r="67" spans="2:12" ht="15.75" thickBot="1" x14ac:dyDescent="0.3">
      <c r="B67" s="889"/>
      <c r="C67" s="371" t="s">
        <v>960</v>
      </c>
      <c r="D67" s="370" t="s">
        <v>902</v>
      </c>
      <c r="E67" s="370">
        <v>9</v>
      </c>
      <c r="F67" s="884"/>
    </row>
    <row r="68" spans="2:12" x14ac:dyDescent="0.25">
      <c r="B68" s="887" t="s">
        <v>959</v>
      </c>
      <c r="C68" s="373" t="s">
        <v>958</v>
      </c>
      <c r="D68" s="372" t="s">
        <v>902</v>
      </c>
      <c r="E68" s="372">
        <v>8</v>
      </c>
      <c r="F68" s="882">
        <v>5812</v>
      </c>
      <c r="I68" s="2" t="s">
        <v>957</v>
      </c>
      <c r="J68" s="2"/>
      <c r="K68" s="2"/>
      <c r="L68" s="2"/>
    </row>
    <row r="69" spans="2:12" x14ac:dyDescent="0.25">
      <c r="B69" s="888"/>
      <c r="C69" s="7" t="s">
        <v>915</v>
      </c>
      <c r="D69" s="624" t="s">
        <v>910</v>
      </c>
      <c r="E69" s="624">
        <v>2</v>
      </c>
      <c r="F69" s="883"/>
      <c r="I69" s="2"/>
      <c r="J69" s="2"/>
      <c r="K69" s="2"/>
      <c r="L69" s="2"/>
    </row>
    <row r="70" spans="2:12" ht="15.75" thickBot="1" x14ac:dyDescent="0.3">
      <c r="B70" s="888"/>
      <c r="C70" s="7" t="s">
        <v>914</v>
      </c>
      <c r="D70" s="15" t="s">
        <v>910</v>
      </c>
      <c r="E70" s="15">
        <v>6</v>
      </c>
      <c r="F70" s="883"/>
    </row>
    <row r="71" spans="2:12" ht="15.75" thickBot="1" x14ac:dyDescent="0.3">
      <c r="B71" s="887" t="s">
        <v>956</v>
      </c>
      <c r="C71" s="373" t="s">
        <v>912</v>
      </c>
      <c r="D71" s="373" t="s">
        <v>910</v>
      </c>
      <c r="E71" s="372">
        <v>4</v>
      </c>
      <c r="F71" s="882">
        <v>5189.18</v>
      </c>
      <c r="I71" s="376" t="s">
        <v>955</v>
      </c>
      <c r="J71" s="387" t="s">
        <v>954</v>
      </c>
    </row>
    <row r="72" spans="2:12" ht="15.75" thickBot="1" x14ac:dyDescent="0.3">
      <c r="B72" s="888"/>
      <c r="C72" s="7" t="s">
        <v>911</v>
      </c>
      <c r="D72" s="7" t="s">
        <v>910</v>
      </c>
      <c r="E72" s="15">
        <v>2</v>
      </c>
      <c r="F72" s="883"/>
      <c r="I72" s="376" t="s">
        <v>953</v>
      </c>
      <c r="J72" s="387">
        <v>724348.94</v>
      </c>
    </row>
    <row r="73" spans="2:12" ht="15.75" thickBot="1" x14ac:dyDescent="0.3">
      <c r="B73" s="889"/>
      <c r="C73" s="371" t="s">
        <v>952</v>
      </c>
      <c r="D73" s="371" t="s">
        <v>910</v>
      </c>
      <c r="E73" s="370">
        <v>8</v>
      </c>
      <c r="F73" s="884"/>
      <c r="I73" s="376" t="s">
        <v>951</v>
      </c>
      <c r="J73" s="387">
        <v>1390141.46</v>
      </c>
    </row>
    <row r="74" spans="2:12" x14ac:dyDescent="0.25">
      <c r="B74" t="s">
        <v>1262</v>
      </c>
    </row>
    <row r="75" spans="2:12" x14ac:dyDescent="0.25">
      <c r="B75" t="s">
        <v>909</v>
      </c>
    </row>
    <row r="78" spans="2:12" x14ac:dyDescent="0.25">
      <c r="C78" s="2" t="s">
        <v>950</v>
      </c>
    </row>
    <row r="79" spans="2:12" ht="15.75" thickBot="1" x14ac:dyDescent="0.3"/>
    <row r="80" spans="2:12" ht="15.75" thickBot="1" x14ac:dyDescent="0.3">
      <c r="B80" s="384" t="s">
        <v>908</v>
      </c>
      <c r="C80" s="386" t="s">
        <v>907</v>
      </c>
      <c r="D80" s="368" t="s">
        <v>906</v>
      </c>
      <c r="E80" s="385" t="s">
        <v>905</v>
      </c>
      <c r="F80" s="384" t="s">
        <v>904</v>
      </c>
    </row>
    <row r="81" spans="2:6" x14ac:dyDescent="0.25">
      <c r="B81" s="383" t="s">
        <v>949</v>
      </c>
      <c r="C81" s="373" t="s">
        <v>948</v>
      </c>
      <c r="D81" s="372" t="s">
        <v>946</v>
      </c>
      <c r="E81" s="372">
        <v>25</v>
      </c>
      <c r="F81" s="883">
        <v>3508.26</v>
      </c>
    </row>
    <row r="82" spans="2:6" x14ac:dyDescent="0.25">
      <c r="B82" s="382"/>
      <c r="C82" s="7" t="s">
        <v>947</v>
      </c>
      <c r="D82" s="15" t="s">
        <v>946</v>
      </c>
      <c r="E82" s="15">
        <v>25</v>
      </c>
      <c r="F82" s="893"/>
    </row>
    <row r="83" spans="2:6" ht="15.75" thickBot="1" x14ac:dyDescent="0.3">
      <c r="B83" s="381" t="s">
        <v>945</v>
      </c>
      <c r="C83" s="371" t="s">
        <v>944</v>
      </c>
      <c r="D83" s="370" t="s">
        <v>935</v>
      </c>
      <c r="E83" s="370">
        <v>29</v>
      </c>
      <c r="F83" s="380">
        <v>3508.26</v>
      </c>
    </row>
    <row r="84" spans="2:6" ht="15.75" thickBot="1" x14ac:dyDescent="0.3">
      <c r="B84" s="379" t="s">
        <v>943</v>
      </c>
      <c r="C84" s="365" t="s">
        <v>942</v>
      </c>
      <c r="D84" s="370" t="s">
        <v>935</v>
      </c>
      <c r="E84" s="364">
        <v>11</v>
      </c>
      <c r="F84" s="378">
        <v>3984.86</v>
      </c>
    </row>
    <row r="85" spans="2:6" ht="15.75" thickBot="1" x14ac:dyDescent="0.3">
      <c r="B85" s="377" t="s">
        <v>941</v>
      </c>
      <c r="C85" s="376" t="s">
        <v>940</v>
      </c>
      <c r="D85" s="370" t="s">
        <v>935</v>
      </c>
      <c r="E85" s="375">
        <v>34</v>
      </c>
      <c r="F85" s="374">
        <v>3320.7</v>
      </c>
    </row>
    <row r="86" spans="2:6" x14ac:dyDescent="0.25">
      <c r="B86" s="890" t="s">
        <v>939</v>
      </c>
      <c r="C86" s="373" t="s">
        <v>938</v>
      </c>
      <c r="D86" s="372" t="s">
        <v>935</v>
      </c>
      <c r="E86" s="372">
        <v>15</v>
      </c>
      <c r="F86" s="882">
        <v>1660.35</v>
      </c>
    </row>
    <row r="87" spans="2:6" x14ac:dyDescent="0.25">
      <c r="B87" s="891"/>
      <c r="C87" s="7" t="s">
        <v>937</v>
      </c>
      <c r="D87" s="15" t="s">
        <v>935</v>
      </c>
      <c r="E87" s="15">
        <v>12</v>
      </c>
      <c r="F87" s="883"/>
    </row>
    <row r="88" spans="2:6" ht="15.75" thickBot="1" x14ac:dyDescent="0.3">
      <c r="B88" s="892"/>
      <c r="C88" s="371" t="s">
        <v>936</v>
      </c>
      <c r="D88" s="370" t="s">
        <v>935</v>
      </c>
      <c r="E88" s="370">
        <v>24</v>
      </c>
      <c r="F88" s="884"/>
    </row>
    <row r="89" spans="2:6" ht="15.75" thickBot="1" x14ac:dyDescent="0.3">
      <c r="B89" s="366" t="s">
        <v>934</v>
      </c>
      <c r="C89" s="365" t="s">
        <v>933</v>
      </c>
      <c r="D89" s="364" t="s">
        <v>930</v>
      </c>
      <c r="E89" s="364">
        <v>80</v>
      </c>
      <c r="F89" s="363">
        <v>1403.27</v>
      </c>
    </row>
    <row r="90" spans="2:6" x14ac:dyDescent="0.25">
      <c r="B90" s="887" t="s">
        <v>932</v>
      </c>
      <c r="C90" s="373" t="s">
        <v>931</v>
      </c>
      <c r="D90" s="372" t="s">
        <v>930</v>
      </c>
      <c r="E90" s="372">
        <v>38</v>
      </c>
      <c r="F90" s="882">
        <v>830.94</v>
      </c>
    </row>
    <row r="91" spans="2:6" ht="15.75" thickBot="1" x14ac:dyDescent="0.3">
      <c r="B91" s="889"/>
      <c r="C91" s="371" t="s">
        <v>930</v>
      </c>
      <c r="D91" s="370" t="s">
        <v>930</v>
      </c>
      <c r="E91" s="370">
        <v>12</v>
      </c>
      <c r="F91" s="884"/>
    </row>
    <row r="92" spans="2:6" x14ac:dyDescent="0.25">
      <c r="B92" t="s">
        <v>1262</v>
      </c>
    </row>
    <row r="93" spans="2:6" x14ac:dyDescent="0.25">
      <c r="B93" t="s">
        <v>909</v>
      </c>
    </row>
    <row r="96" spans="2:6" x14ac:dyDescent="0.25">
      <c r="C96" s="2" t="s">
        <v>929</v>
      </c>
    </row>
    <row r="97" spans="2:6" ht="15.75" thickBot="1" x14ac:dyDescent="0.3"/>
    <row r="98" spans="2:6" ht="15.75" thickBot="1" x14ac:dyDescent="0.3">
      <c r="B98" s="369" t="s">
        <v>908</v>
      </c>
      <c r="C98" s="368" t="s">
        <v>907</v>
      </c>
      <c r="D98" s="368" t="s">
        <v>906</v>
      </c>
      <c r="E98" s="368" t="s">
        <v>905</v>
      </c>
      <c r="F98" s="367" t="s">
        <v>904</v>
      </c>
    </row>
    <row r="99" spans="2:6" x14ac:dyDescent="0.25">
      <c r="B99" s="887" t="s">
        <v>928</v>
      </c>
      <c r="C99" s="373" t="s">
        <v>927</v>
      </c>
      <c r="D99" s="372" t="s">
        <v>902</v>
      </c>
      <c r="E99" s="372">
        <v>1</v>
      </c>
      <c r="F99" s="882">
        <v>20755.22</v>
      </c>
    </row>
    <row r="100" spans="2:6" x14ac:dyDescent="0.25">
      <c r="B100" s="888"/>
      <c r="C100" s="7" t="s">
        <v>926</v>
      </c>
      <c r="D100" s="15" t="s">
        <v>902</v>
      </c>
      <c r="E100" s="15">
        <v>1</v>
      </c>
      <c r="F100" s="883"/>
    </row>
    <row r="101" spans="2:6" ht="15.75" thickBot="1" x14ac:dyDescent="0.3">
      <c r="B101" s="889"/>
      <c r="C101" s="371" t="s">
        <v>925</v>
      </c>
      <c r="D101" s="370" t="s">
        <v>902</v>
      </c>
      <c r="E101" s="370">
        <v>8</v>
      </c>
      <c r="F101" s="884"/>
    </row>
    <row r="102" spans="2:6" x14ac:dyDescent="0.25">
      <c r="B102" s="887" t="s">
        <v>924</v>
      </c>
      <c r="C102" s="373" t="s">
        <v>923</v>
      </c>
      <c r="D102" s="372" t="s">
        <v>920</v>
      </c>
      <c r="E102" s="372">
        <v>8</v>
      </c>
      <c r="F102" s="882">
        <v>16603.560000000001</v>
      </c>
    </row>
    <row r="103" spans="2:6" x14ac:dyDescent="0.25">
      <c r="B103" s="888"/>
      <c r="C103" s="7" t="s">
        <v>922</v>
      </c>
      <c r="D103" s="15" t="s">
        <v>920</v>
      </c>
      <c r="E103" s="15">
        <v>6</v>
      </c>
      <c r="F103" s="883"/>
    </row>
    <row r="104" spans="2:6" x14ac:dyDescent="0.25">
      <c r="B104" s="888"/>
      <c r="C104" s="7" t="s">
        <v>921</v>
      </c>
      <c r="D104" s="15" t="s">
        <v>920</v>
      </c>
      <c r="E104" s="15">
        <v>2</v>
      </c>
      <c r="F104" s="883"/>
    </row>
    <row r="105" spans="2:6" x14ac:dyDescent="0.25">
      <c r="B105" s="888"/>
      <c r="C105" s="7" t="s">
        <v>919</v>
      </c>
      <c r="D105" s="15" t="s">
        <v>902</v>
      </c>
      <c r="E105" s="15">
        <v>1</v>
      </c>
      <c r="F105" s="883"/>
    </row>
    <row r="106" spans="2:6" x14ac:dyDescent="0.25">
      <c r="B106" s="888"/>
      <c r="C106" s="7" t="s">
        <v>918</v>
      </c>
      <c r="D106" s="15" t="s">
        <v>902</v>
      </c>
      <c r="E106" s="15">
        <v>1</v>
      </c>
      <c r="F106" s="883"/>
    </row>
    <row r="107" spans="2:6" ht="15.75" thickBot="1" x14ac:dyDescent="0.3">
      <c r="B107" s="889"/>
      <c r="C107" s="7" t="s">
        <v>917</v>
      </c>
      <c r="D107" s="15" t="s">
        <v>902</v>
      </c>
      <c r="E107" s="15">
        <v>3</v>
      </c>
      <c r="F107" s="883"/>
    </row>
    <row r="108" spans="2:6" x14ac:dyDescent="0.25">
      <c r="B108" s="887" t="s">
        <v>916</v>
      </c>
      <c r="C108" s="373"/>
      <c r="D108" s="372"/>
      <c r="E108" s="372"/>
      <c r="F108" s="882">
        <v>5812</v>
      </c>
    </row>
    <row r="109" spans="2:6" x14ac:dyDescent="0.25">
      <c r="B109" s="888"/>
      <c r="C109" s="7" t="s">
        <v>915</v>
      </c>
      <c r="D109" s="15" t="s">
        <v>910</v>
      </c>
      <c r="E109" s="15">
        <v>2</v>
      </c>
      <c r="F109" s="883"/>
    </row>
    <row r="110" spans="2:6" ht="15.75" thickBot="1" x14ac:dyDescent="0.3">
      <c r="B110" s="889"/>
      <c r="C110" s="371" t="s">
        <v>914</v>
      </c>
      <c r="D110" s="370" t="s">
        <v>910</v>
      </c>
      <c r="E110" s="370">
        <v>6</v>
      </c>
      <c r="F110" s="884"/>
    </row>
    <row r="111" spans="2:6" x14ac:dyDescent="0.25">
      <c r="B111" s="887" t="s">
        <v>913</v>
      </c>
      <c r="C111" s="373" t="s">
        <v>912</v>
      </c>
      <c r="D111" s="373" t="s">
        <v>910</v>
      </c>
      <c r="E111" s="372">
        <v>2</v>
      </c>
      <c r="F111" s="882">
        <v>5189.18</v>
      </c>
    </row>
    <row r="112" spans="2:6" ht="15.75" thickBot="1" x14ac:dyDescent="0.3">
      <c r="B112" s="889"/>
      <c r="C112" s="371" t="s">
        <v>911</v>
      </c>
      <c r="D112" s="371" t="s">
        <v>910</v>
      </c>
      <c r="E112" s="370">
        <v>1</v>
      </c>
      <c r="F112" s="884"/>
    </row>
    <row r="113" spans="2:6" x14ac:dyDescent="0.25">
      <c r="B113" t="s">
        <v>1262</v>
      </c>
    </row>
    <row r="114" spans="2:6" x14ac:dyDescent="0.25">
      <c r="B114" t="s">
        <v>909</v>
      </c>
    </row>
    <row r="115" spans="2:6" ht="15.75" thickBot="1" x14ac:dyDescent="0.3"/>
    <row r="116" spans="2:6" ht="15.75" thickBot="1" x14ac:dyDescent="0.3">
      <c r="B116" s="369" t="s">
        <v>908</v>
      </c>
      <c r="C116" s="368" t="s">
        <v>907</v>
      </c>
      <c r="D116" s="368" t="s">
        <v>906</v>
      </c>
      <c r="E116" s="368" t="s">
        <v>905</v>
      </c>
      <c r="F116" s="367" t="s">
        <v>904</v>
      </c>
    </row>
    <row r="117" spans="2:6" ht="15.75" thickBot="1" x14ac:dyDescent="0.3">
      <c r="B117" s="366"/>
      <c r="C117" s="365" t="s">
        <v>903</v>
      </c>
      <c r="D117" s="364" t="s">
        <v>902</v>
      </c>
      <c r="E117" s="364">
        <v>1</v>
      </c>
      <c r="F117" s="363">
        <v>31755.15</v>
      </c>
    </row>
  </sheetData>
  <mergeCells count="32">
    <mergeCell ref="F86:F88"/>
    <mergeCell ref="B86:B88"/>
    <mergeCell ref="B65:B67"/>
    <mergeCell ref="B58:B64"/>
    <mergeCell ref="B68:B70"/>
    <mergeCell ref="F71:F73"/>
    <mergeCell ref="B71:B73"/>
    <mergeCell ref="F81:F82"/>
    <mergeCell ref="F65:F67"/>
    <mergeCell ref="F68:F70"/>
    <mergeCell ref="M44:M45"/>
    <mergeCell ref="F111:F112"/>
    <mergeCell ref="B102:B107"/>
    <mergeCell ref="B111:B112"/>
    <mergeCell ref="F102:F107"/>
    <mergeCell ref="B99:B101"/>
    <mergeCell ref="F99:F101"/>
    <mergeCell ref="B108:B110"/>
    <mergeCell ref="F108:F110"/>
    <mergeCell ref="F90:F91"/>
    <mergeCell ref="B90:B91"/>
    <mergeCell ref="I61:J61"/>
    <mergeCell ref="B45:B47"/>
    <mergeCell ref="F45:F47"/>
    <mergeCell ref="B49:B57"/>
    <mergeCell ref="F49:F57"/>
    <mergeCell ref="J44:K44"/>
    <mergeCell ref="I44:I45"/>
    <mergeCell ref="L44:L45"/>
    <mergeCell ref="F58:F64"/>
    <mergeCell ref="J45:K45"/>
    <mergeCell ref="J52:K5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showGridLines="0" workbookViewId="0">
      <selection activeCell="H28" sqref="H28"/>
    </sheetView>
  </sheetViews>
  <sheetFormatPr defaultRowHeight="15" x14ac:dyDescent="0.25"/>
  <cols>
    <col min="4" max="4" width="12.7109375" bestFit="1" customWidth="1"/>
    <col min="6" max="6" width="18.85546875" customWidth="1"/>
    <col min="8" max="8" width="15.7109375" customWidth="1"/>
    <col min="10" max="10" width="16.5703125" customWidth="1"/>
    <col min="11" max="11" width="13.42578125" customWidth="1"/>
    <col min="12" max="12" width="17.7109375" customWidth="1"/>
  </cols>
  <sheetData>
    <row r="1" spans="1:23" ht="15.75" thickBot="1" x14ac:dyDescent="0.3"/>
    <row r="2" spans="1:23" ht="15.75" thickBot="1" x14ac:dyDescent="0.3">
      <c r="A2" s="878" t="s">
        <v>1277</v>
      </c>
      <c r="B2" s="894"/>
      <c r="C2" s="894"/>
      <c r="D2" s="894"/>
      <c r="E2" s="894"/>
      <c r="F2" s="894"/>
      <c r="G2" s="894"/>
      <c r="H2" s="894"/>
      <c r="I2" s="894"/>
      <c r="J2" s="894"/>
      <c r="K2" s="894"/>
      <c r="L2" s="894"/>
      <c r="M2" s="894"/>
      <c r="N2" s="894"/>
      <c r="O2" s="894"/>
      <c r="P2" s="894"/>
      <c r="Q2" s="894"/>
      <c r="R2" s="894"/>
      <c r="S2" s="894"/>
      <c r="T2" s="894"/>
      <c r="U2" s="894"/>
      <c r="V2" s="894"/>
      <c r="W2" s="879"/>
    </row>
    <row r="3" spans="1:23" x14ac:dyDescent="0.25">
      <c r="A3" s="636"/>
      <c r="B3" s="637"/>
      <c r="C3" s="637"/>
      <c r="D3" s="637"/>
      <c r="E3" s="637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190"/>
    </row>
    <row r="4" spans="1:23" ht="76.5" customHeight="1" x14ac:dyDescent="0.25">
      <c r="A4" s="44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48"/>
    </row>
    <row r="5" spans="1:23" ht="66" customHeight="1" x14ac:dyDescent="0.25">
      <c r="A5" s="638" t="s">
        <v>1278</v>
      </c>
      <c r="B5" s="6"/>
      <c r="C5" s="18"/>
      <c r="D5" s="18" t="s">
        <v>1279</v>
      </c>
      <c r="E5" s="18"/>
      <c r="F5" s="18"/>
      <c r="G5" s="18"/>
      <c r="H5" s="18" t="s">
        <v>1280</v>
      </c>
      <c r="I5" s="18"/>
      <c r="J5" s="18" t="s">
        <v>1281</v>
      </c>
      <c r="K5" s="18"/>
      <c r="L5" s="18"/>
      <c r="M5" s="18" t="s">
        <v>1282</v>
      </c>
      <c r="N5" s="18"/>
      <c r="O5" s="18"/>
      <c r="P5" s="18" t="s">
        <v>1283</v>
      </c>
      <c r="Q5" s="18"/>
      <c r="R5" s="18"/>
      <c r="S5" s="18"/>
      <c r="T5" s="18"/>
      <c r="U5" s="18"/>
      <c r="V5" s="18"/>
      <c r="W5" s="48"/>
    </row>
    <row r="6" spans="1:23" x14ac:dyDescent="0.25">
      <c r="A6" s="638" t="s">
        <v>1284</v>
      </c>
      <c r="B6" s="6"/>
      <c r="C6" s="18"/>
      <c r="D6" s="18" t="s">
        <v>1285</v>
      </c>
      <c r="E6" s="18"/>
      <c r="F6" s="18"/>
      <c r="G6" s="18"/>
      <c r="H6" s="18">
        <v>91.73</v>
      </c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48"/>
    </row>
    <row r="7" spans="1:23" x14ac:dyDescent="0.25">
      <c r="A7" s="638" t="s">
        <v>1286</v>
      </c>
      <c r="B7" s="6"/>
      <c r="C7" s="18"/>
      <c r="D7" s="18" t="s">
        <v>1287</v>
      </c>
      <c r="E7" s="18"/>
      <c r="F7" s="18"/>
      <c r="G7" s="18"/>
      <c r="H7" s="18">
        <v>917.3</v>
      </c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48"/>
    </row>
    <row r="8" spans="1:23" x14ac:dyDescent="0.25">
      <c r="A8" s="44"/>
      <c r="B8" s="18"/>
      <c r="C8" s="18"/>
      <c r="D8" s="18" t="s">
        <v>1288</v>
      </c>
      <c r="E8" s="18"/>
      <c r="F8" s="18"/>
      <c r="G8" s="18"/>
      <c r="H8" s="639">
        <v>667175.68000000005</v>
      </c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48"/>
    </row>
    <row r="9" spans="1:23" x14ac:dyDescent="0.25">
      <c r="A9" s="44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48"/>
    </row>
    <row r="10" spans="1:23" ht="15.75" thickBot="1" x14ac:dyDescent="0.3">
      <c r="A10" s="42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181"/>
    </row>
    <row r="11" spans="1:23" x14ac:dyDescent="0.25">
      <c r="A11" s="636" t="s">
        <v>1289</v>
      </c>
      <c r="B11" s="637"/>
      <c r="C11" s="637"/>
      <c r="D11" s="637"/>
      <c r="E11" s="637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190"/>
    </row>
    <row r="12" spans="1:23" x14ac:dyDescent="0.25">
      <c r="A12" s="44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48"/>
    </row>
    <row r="13" spans="1:23" x14ac:dyDescent="0.25">
      <c r="A13" s="44" t="s">
        <v>1290</v>
      </c>
      <c r="B13" s="18"/>
      <c r="C13" s="18"/>
      <c r="D13" s="18" t="s">
        <v>1291</v>
      </c>
      <c r="E13" s="18"/>
      <c r="F13" s="18"/>
      <c r="G13" s="18"/>
      <c r="H13" s="640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48"/>
    </row>
    <row r="14" spans="1:23" x14ac:dyDescent="0.25">
      <c r="A14" s="44" t="s">
        <v>1292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48"/>
    </row>
    <row r="15" spans="1:23" ht="15.75" thickBot="1" x14ac:dyDescent="0.3">
      <c r="A15" s="42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181"/>
    </row>
    <row r="16" spans="1:23" x14ac:dyDescent="0.25">
      <c r="A16" s="47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190"/>
    </row>
    <row r="17" spans="1:23" x14ac:dyDescent="0.25">
      <c r="A17" s="638" t="s">
        <v>1293</v>
      </c>
      <c r="B17" s="6"/>
      <c r="C17" s="18" t="s">
        <v>1294</v>
      </c>
      <c r="D17" s="18"/>
      <c r="E17" s="18"/>
      <c r="F17" s="18"/>
      <c r="G17" s="18"/>
      <c r="H17" s="18"/>
      <c r="I17" s="18" t="s">
        <v>1295</v>
      </c>
      <c r="J17" s="18"/>
      <c r="K17" s="18"/>
      <c r="L17" s="639">
        <v>43802.15</v>
      </c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48"/>
    </row>
    <row r="18" spans="1:23" x14ac:dyDescent="0.25">
      <c r="A18" s="44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48"/>
    </row>
    <row r="19" spans="1:23" ht="15.75" thickBot="1" x14ac:dyDescent="0.3">
      <c r="A19" s="42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181"/>
    </row>
    <row r="20" spans="1:23" x14ac:dyDescent="0.25">
      <c r="A20" s="47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190"/>
    </row>
    <row r="21" spans="1:23" x14ac:dyDescent="0.25">
      <c r="A21" s="638" t="s">
        <v>1296</v>
      </c>
      <c r="B21" s="6"/>
      <c r="C21" s="641"/>
      <c r="D21" s="640"/>
      <c r="E21" s="18" t="s">
        <v>1315</v>
      </c>
      <c r="F21" s="18"/>
      <c r="G21" s="640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48"/>
    </row>
    <row r="22" spans="1:23" ht="15.75" thickBot="1" x14ac:dyDescent="0.3">
      <c r="A22" s="42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181"/>
    </row>
    <row r="23" spans="1:23" x14ac:dyDescent="0.25">
      <c r="A23" s="47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190"/>
    </row>
    <row r="24" spans="1:23" x14ac:dyDescent="0.25">
      <c r="A24" s="638" t="s">
        <v>1297</v>
      </c>
      <c r="B24" s="6"/>
      <c r="C24" s="18" t="s">
        <v>1298</v>
      </c>
      <c r="D24" s="18"/>
      <c r="E24" s="18"/>
      <c r="F24" s="18">
        <v>473</v>
      </c>
      <c r="G24" s="18" t="s">
        <v>1299</v>
      </c>
      <c r="H24" s="18"/>
      <c r="I24" s="18" t="s">
        <v>1300</v>
      </c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48"/>
    </row>
    <row r="25" spans="1:23" x14ac:dyDescent="0.25">
      <c r="A25" s="44"/>
      <c r="B25" s="18"/>
      <c r="C25" s="18" t="s">
        <v>1301</v>
      </c>
      <c r="D25" s="18"/>
      <c r="E25" s="18"/>
      <c r="F25" s="18">
        <v>91.73</v>
      </c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48"/>
    </row>
    <row r="26" spans="1:23" ht="15.75" thickBot="1" x14ac:dyDescent="0.3">
      <c r="A26" s="42"/>
      <c r="B26" s="41"/>
      <c r="C26" s="41" t="s">
        <v>1302</v>
      </c>
      <c r="D26" s="41"/>
      <c r="E26" s="41"/>
      <c r="F26" s="642">
        <v>166768.29</v>
      </c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181"/>
    </row>
    <row r="27" spans="1:23" x14ac:dyDescent="0.25">
      <c r="A27" s="47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190"/>
    </row>
    <row r="28" spans="1:23" x14ac:dyDescent="0.25">
      <c r="A28" s="638" t="s">
        <v>1081</v>
      </c>
      <c r="B28" s="6"/>
      <c r="C28" s="18"/>
      <c r="D28" s="697">
        <v>127474</v>
      </c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48"/>
    </row>
    <row r="29" spans="1:23" x14ac:dyDescent="0.25">
      <c r="A29" s="44"/>
      <c r="B29" s="18"/>
      <c r="C29" s="18"/>
      <c r="D29" s="18"/>
      <c r="E29" s="18"/>
      <c r="F29" s="18"/>
      <c r="G29" s="18"/>
      <c r="H29" s="18"/>
      <c r="I29" s="18"/>
      <c r="J29" s="639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48"/>
    </row>
    <row r="30" spans="1:23" ht="15.75" thickBot="1" x14ac:dyDescent="0.3">
      <c r="A30" s="42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181"/>
    </row>
    <row r="31" spans="1:23" x14ac:dyDescent="0.25">
      <c r="A31" s="47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190"/>
    </row>
    <row r="32" spans="1:23" x14ac:dyDescent="0.25">
      <c r="A32" s="638" t="s">
        <v>1303</v>
      </c>
      <c r="B32" s="6"/>
      <c r="C32" s="18"/>
      <c r="D32" s="18" t="s">
        <v>1304</v>
      </c>
      <c r="E32" s="18"/>
      <c r="F32" s="18"/>
      <c r="G32" s="18"/>
      <c r="H32" s="18">
        <v>473</v>
      </c>
      <c r="I32" s="18" t="s">
        <v>1299</v>
      </c>
      <c r="J32" s="18"/>
      <c r="K32" s="18" t="s">
        <v>1305</v>
      </c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48"/>
    </row>
    <row r="33" spans="1:23" x14ac:dyDescent="0.25">
      <c r="A33" s="44"/>
      <c r="B33" s="18"/>
      <c r="C33" s="18"/>
      <c r="D33" s="18" t="s">
        <v>1306</v>
      </c>
      <c r="E33" s="18"/>
      <c r="F33" s="18"/>
      <c r="G33" s="18"/>
      <c r="H33" s="18">
        <v>91.73</v>
      </c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48"/>
    </row>
    <row r="34" spans="1:23" x14ac:dyDescent="0.25">
      <c r="A34" s="44"/>
      <c r="B34" s="18"/>
      <c r="C34" s="18"/>
      <c r="D34" s="18" t="s">
        <v>1304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48"/>
    </row>
    <row r="35" spans="1:23" x14ac:dyDescent="0.25">
      <c r="A35" s="44"/>
      <c r="B35" s="18"/>
      <c r="C35" s="18"/>
      <c r="D35" s="18" t="s">
        <v>1307</v>
      </c>
      <c r="E35" s="18"/>
      <c r="F35" s="18"/>
      <c r="G35" s="18"/>
      <c r="H35" s="639">
        <v>12479</v>
      </c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48"/>
    </row>
    <row r="36" spans="1:23" ht="15.75" thickBot="1" x14ac:dyDescent="0.3">
      <c r="A36" s="42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181"/>
    </row>
    <row r="37" spans="1:23" x14ac:dyDescent="0.25">
      <c r="A37" s="47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190"/>
    </row>
    <row r="38" spans="1:23" x14ac:dyDescent="0.25">
      <c r="A38" s="638" t="s">
        <v>1308</v>
      </c>
      <c r="B38" s="6"/>
      <c r="C38" s="6"/>
      <c r="D38" s="18"/>
      <c r="E38" s="18"/>
      <c r="F38" s="18" t="s">
        <v>1309</v>
      </c>
      <c r="G38" s="18"/>
      <c r="H38" s="18"/>
      <c r="I38" s="18"/>
      <c r="J38" s="18">
        <v>473</v>
      </c>
      <c r="K38" s="18" t="s">
        <v>1299</v>
      </c>
      <c r="L38" s="18"/>
      <c r="M38" s="18" t="s">
        <v>1310</v>
      </c>
      <c r="N38" s="18"/>
      <c r="O38" s="18"/>
      <c r="P38" s="18"/>
      <c r="Q38" s="18"/>
      <c r="R38" s="18"/>
      <c r="S38" s="18"/>
      <c r="T38" s="18"/>
      <c r="U38" s="18"/>
      <c r="V38" s="18"/>
      <c r="W38" s="48"/>
    </row>
    <row r="39" spans="1:23" x14ac:dyDescent="0.25">
      <c r="A39" s="44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 t="s">
        <v>1311</v>
      </c>
      <c r="N39" s="18"/>
      <c r="O39" s="18"/>
      <c r="P39" s="18"/>
      <c r="Q39" s="18"/>
      <c r="R39" s="18"/>
      <c r="S39" s="18"/>
      <c r="T39" s="18"/>
      <c r="U39" s="18"/>
      <c r="V39" s="18"/>
      <c r="W39" s="48"/>
    </row>
    <row r="40" spans="1:23" x14ac:dyDescent="0.25">
      <c r="A40" s="44"/>
      <c r="B40" s="18"/>
      <c r="C40" s="18"/>
      <c r="D40" s="18"/>
      <c r="E40" s="18"/>
      <c r="F40" s="18" t="s">
        <v>1306</v>
      </c>
      <c r="G40" s="18"/>
      <c r="H40" s="18"/>
      <c r="I40" s="18"/>
      <c r="J40" s="18">
        <v>91.73</v>
      </c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48"/>
    </row>
    <row r="41" spans="1:23" x14ac:dyDescent="0.25">
      <c r="A41" s="44" t="s">
        <v>1312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48"/>
    </row>
    <row r="42" spans="1:23" x14ac:dyDescent="0.25">
      <c r="A42" s="44"/>
      <c r="B42" s="18"/>
      <c r="C42" s="18"/>
      <c r="D42" s="18"/>
      <c r="E42" s="18"/>
      <c r="F42" s="18" t="s">
        <v>1307</v>
      </c>
      <c r="G42" s="18"/>
      <c r="H42" s="18"/>
      <c r="I42" s="18"/>
      <c r="J42" s="639">
        <v>322703.24</v>
      </c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48"/>
    </row>
    <row r="43" spans="1:23" x14ac:dyDescent="0.25">
      <c r="A43" s="44" t="s">
        <v>1313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48"/>
    </row>
    <row r="44" spans="1:23" x14ac:dyDescent="0.25">
      <c r="A44" s="44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48"/>
    </row>
    <row r="45" spans="1:23" x14ac:dyDescent="0.25">
      <c r="A45" s="44" t="s">
        <v>1314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48"/>
    </row>
    <row r="46" spans="1:23" ht="15.75" thickBot="1" x14ac:dyDescent="0.3">
      <c r="A46" s="42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181"/>
    </row>
  </sheetData>
  <mergeCells count="1">
    <mergeCell ref="A2:W2"/>
  </mergeCells>
  <pageMargins left="0.511811024" right="0.511811024" top="0.78740157499999996" bottom="0.78740157499999996" header="0.31496062000000002" footer="0.3149606200000000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18"/>
  <sheetViews>
    <sheetView workbookViewId="0">
      <selection activeCell="U25" sqref="U25"/>
    </sheetView>
  </sheetViews>
  <sheetFormatPr defaultRowHeight="15" x14ac:dyDescent="0.25"/>
  <cols>
    <col min="7" max="7" width="11.140625" customWidth="1"/>
    <col min="9" max="9" width="15" customWidth="1"/>
    <col min="13" max="13" width="15.85546875" customWidth="1"/>
  </cols>
  <sheetData>
    <row r="3" spans="2:13" x14ac:dyDescent="0.25">
      <c r="B3" t="s">
        <v>1316</v>
      </c>
    </row>
    <row r="6" spans="2:13" ht="15.75" thickBot="1" x14ac:dyDescent="0.3"/>
    <row r="7" spans="2:13" ht="15.75" thickBot="1" x14ac:dyDescent="0.3">
      <c r="B7" s="895" t="s">
        <v>15</v>
      </c>
      <c r="C7" s="896"/>
      <c r="D7" s="896"/>
      <c r="E7" s="896"/>
      <c r="F7" s="897"/>
      <c r="G7" s="375" t="s">
        <v>1317</v>
      </c>
      <c r="H7" s="895" t="s">
        <v>1318</v>
      </c>
      <c r="I7" s="897"/>
      <c r="J7" s="375" t="s">
        <v>1319</v>
      </c>
      <c r="K7" s="375" t="s">
        <v>1320</v>
      </c>
      <c r="L7" s="375" t="s">
        <v>1321</v>
      </c>
      <c r="M7" s="375" t="s">
        <v>2</v>
      </c>
    </row>
    <row r="8" spans="2:13" x14ac:dyDescent="0.25">
      <c r="B8" s="47" t="s">
        <v>1322</v>
      </c>
      <c r="C8" s="46"/>
      <c r="D8" s="46"/>
      <c r="E8" s="46"/>
      <c r="F8" s="190"/>
      <c r="G8" s="389">
        <v>161.71</v>
      </c>
      <c r="H8" s="44" t="s">
        <v>1323</v>
      </c>
      <c r="I8" s="48"/>
      <c r="J8" s="389">
        <v>284</v>
      </c>
      <c r="K8" s="389"/>
      <c r="L8" s="389"/>
      <c r="M8" s="643">
        <v>551107.68000000005</v>
      </c>
    </row>
    <row r="9" spans="2:13" x14ac:dyDescent="0.25">
      <c r="B9" s="44" t="s">
        <v>1324</v>
      </c>
      <c r="C9" s="18"/>
      <c r="D9" s="18"/>
      <c r="E9" s="18"/>
      <c r="F9" s="48"/>
      <c r="G9" s="643">
        <v>46.16</v>
      </c>
      <c r="H9" s="44" t="s">
        <v>1325</v>
      </c>
      <c r="I9" s="48"/>
      <c r="J9" s="389">
        <v>92</v>
      </c>
      <c r="K9" s="389">
        <v>22</v>
      </c>
      <c r="L9" s="389"/>
      <c r="M9" s="643">
        <v>93427.839999999997</v>
      </c>
    </row>
    <row r="10" spans="2:13" x14ac:dyDescent="0.25">
      <c r="B10" s="44" t="s">
        <v>1326</v>
      </c>
      <c r="C10" s="18"/>
      <c r="D10" s="18"/>
      <c r="E10" s="18"/>
      <c r="F10" s="48"/>
      <c r="G10" s="389">
        <v>496.99</v>
      </c>
      <c r="H10" s="44" t="s">
        <v>1327</v>
      </c>
      <c r="I10" s="48"/>
      <c r="J10" s="644">
        <v>0.23</v>
      </c>
      <c r="K10" s="389"/>
      <c r="L10" s="389"/>
      <c r="M10" s="643">
        <v>125241.48</v>
      </c>
    </row>
    <row r="11" spans="2:13" x14ac:dyDescent="0.25">
      <c r="B11" s="44" t="s">
        <v>1328</v>
      </c>
      <c r="C11" s="18"/>
      <c r="D11" s="18"/>
      <c r="E11" s="18"/>
      <c r="F11" s="48"/>
      <c r="G11" s="643">
        <v>1115.3699999999999</v>
      </c>
      <c r="H11" s="44" t="s">
        <v>1329</v>
      </c>
      <c r="I11" s="48"/>
      <c r="J11" s="644">
        <v>0.59</v>
      </c>
      <c r="K11" s="389"/>
      <c r="L11" s="389"/>
      <c r="M11" s="643">
        <v>724348.94</v>
      </c>
    </row>
    <row r="12" spans="2:13" x14ac:dyDescent="0.25">
      <c r="B12" s="44" t="s">
        <v>1330</v>
      </c>
      <c r="C12" s="18"/>
      <c r="D12" s="18"/>
      <c r="E12" s="18"/>
      <c r="F12" s="48"/>
      <c r="G12" s="389">
        <v>3.41</v>
      </c>
      <c r="H12" s="44" t="s">
        <v>1331</v>
      </c>
      <c r="I12" s="48"/>
      <c r="J12" s="389">
        <v>1.6</v>
      </c>
      <c r="K12" s="389">
        <v>22</v>
      </c>
      <c r="L12" s="389">
        <v>2</v>
      </c>
      <c r="M12" s="389">
        <v>233.53</v>
      </c>
    </row>
    <row r="13" spans="2:13" x14ac:dyDescent="0.25">
      <c r="B13" s="44" t="s">
        <v>1332</v>
      </c>
      <c r="C13" s="18"/>
      <c r="D13" s="18"/>
      <c r="E13" s="18"/>
      <c r="F13" s="48"/>
      <c r="G13" s="389">
        <v>50</v>
      </c>
      <c r="H13" s="44" t="s">
        <v>1329</v>
      </c>
      <c r="I13" s="48"/>
      <c r="J13" s="389">
        <v>29.6</v>
      </c>
      <c r="K13" s="389"/>
      <c r="L13" s="389"/>
      <c r="M13" s="643">
        <v>17743.509999999998</v>
      </c>
    </row>
    <row r="14" spans="2:13" x14ac:dyDescent="0.25">
      <c r="B14" s="44" t="s">
        <v>1333</v>
      </c>
      <c r="C14" s="18"/>
      <c r="D14" s="18"/>
      <c r="E14" s="18"/>
      <c r="F14" s="48"/>
      <c r="G14" s="389">
        <v>48.58</v>
      </c>
      <c r="H14" s="44" t="s">
        <v>1334</v>
      </c>
      <c r="I14" s="48"/>
      <c r="J14" s="389">
        <v>49</v>
      </c>
      <c r="K14" s="389"/>
      <c r="L14" s="389"/>
      <c r="M14" s="643">
        <v>28278.98</v>
      </c>
    </row>
    <row r="15" spans="2:13" x14ac:dyDescent="0.25">
      <c r="B15" s="44"/>
      <c r="C15" s="18"/>
      <c r="D15" s="18"/>
      <c r="E15" s="18"/>
      <c r="F15" s="48"/>
      <c r="G15" s="389"/>
      <c r="H15" s="44"/>
      <c r="I15" s="48"/>
      <c r="J15" s="389"/>
      <c r="K15" s="389"/>
      <c r="L15" s="389"/>
      <c r="M15" s="389"/>
    </row>
    <row r="16" spans="2:13" x14ac:dyDescent="0.25">
      <c r="B16" s="44"/>
      <c r="C16" s="18"/>
      <c r="D16" s="18"/>
      <c r="E16" s="18"/>
      <c r="F16" s="48"/>
      <c r="G16" s="389"/>
      <c r="H16" s="44"/>
      <c r="I16" s="48"/>
      <c r="J16" s="389"/>
      <c r="K16" s="389"/>
      <c r="L16" s="389"/>
      <c r="M16" s="389"/>
    </row>
    <row r="17" spans="2:13" x14ac:dyDescent="0.25">
      <c r="B17" s="44"/>
      <c r="C17" s="18"/>
      <c r="D17" s="18"/>
      <c r="E17" s="18"/>
      <c r="F17" s="48"/>
      <c r="G17" s="389"/>
      <c r="H17" s="44"/>
      <c r="I17" s="48"/>
      <c r="J17" s="389"/>
      <c r="K17" s="389"/>
      <c r="L17" s="389"/>
      <c r="M17" s="643">
        <f>SUM(M8:M16)</f>
        <v>1540381.96</v>
      </c>
    </row>
    <row r="18" spans="2:13" ht="15.75" thickBot="1" x14ac:dyDescent="0.3">
      <c r="B18" s="42"/>
      <c r="C18" s="41"/>
      <c r="D18" s="41"/>
      <c r="E18" s="41"/>
      <c r="F18" s="181"/>
      <c r="G18" s="388"/>
      <c r="H18" s="42"/>
      <c r="I18" s="181"/>
      <c r="J18" s="388"/>
      <c r="K18" s="388"/>
      <c r="L18" s="388"/>
      <c r="M18" s="388"/>
    </row>
  </sheetData>
  <mergeCells count="2">
    <mergeCell ref="B7:F7"/>
    <mergeCell ref="H7:I7"/>
  </mergeCells>
  <pageMargins left="0.511811024" right="0.511811024" top="0.78740157499999996" bottom="0.78740157499999996" header="0.31496062000000002" footer="0.3149606200000000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2"/>
  <sheetViews>
    <sheetView showGridLines="0" zoomScale="140" zoomScaleNormal="140" workbookViewId="0">
      <selection activeCell="C8" sqref="C8"/>
    </sheetView>
  </sheetViews>
  <sheetFormatPr defaultRowHeight="15" x14ac:dyDescent="0.25"/>
  <cols>
    <col min="2" max="2" width="37.42578125" customWidth="1"/>
    <col min="3" max="3" width="16.140625" bestFit="1" customWidth="1"/>
    <col min="4" max="4" width="10.42578125" customWidth="1"/>
    <col min="5" max="5" width="20.5703125" customWidth="1"/>
    <col min="6" max="6" width="32.140625" customWidth="1"/>
    <col min="7" max="7" width="24.5703125" customWidth="1"/>
    <col min="8" max="8" width="15.7109375" customWidth="1"/>
    <col min="9" max="9" width="16.140625" bestFit="1" customWidth="1"/>
  </cols>
  <sheetData>
    <row r="2" spans="2:9" x14ac:dyDescent="0.25">
      <c r="B2" s="492" t="s">
        <v>41</v>
      </c>
      <c r="C2" s="492" t="s">
        <v>1162</v>
      </c>
    </row>
    <row r="3" spans="2:9" ht="33" customHeight="1" x14ac:dyDescent="0.25">
      <c r="B3" s="7" t="s">
        <v>1158</v>
      </c>
      <c r="C3" s="11">
        <f>C4+C8</f>
        <v>2268021.2008543927</v>
      </c>
      <c r="E3" s="457" t="s">
        <v>1109</v>
      </c>
      <c r="F3" s="457" t="s">
        <v>1110</v>
      </c>
      <c r="G3" s="457" t="s">
        <v>1111</v>
      </c>
      <c r="H3" s="457" t="s">
        <v>1112</v>
      </c>
      <c r="I3" s="493" t="s">
        <v>1156</v>
      </c>
    </row>
    <row r="4" spans="2:9" x14ac:dyDescent="0.25">
      <c r="B4" s="7" t="s">
        <v>1155</v>
      </c>
      <c r="C4" s="494">
        <f>C5*C6*C7</f>
        <v>2268021.2008543927</v>
      </c>
      <c r="E4" s="458">
        <f>'Anexo 1_CF_CV Energia Elétrica'!K3</f>
        <v>223912.00745400495</v>
      </c>
      <c r="F4" s="410">
        <f>'Anexo 1_CF_CV Energia Elétrica'!L3</f>
        <v>378</v>
      </c>
      <c r="G4" s="458">
        <f>E4*F4</f>
        <v>84638738.81761387</v>
      </c>
      <c r="H4" s="458">
        <f>G4/(1-0.25)-G4</f>
        <v>28212912.939204618</v>
      </c>
      <c r="I4" s="12">
        <f>G4+H4</f>
        <v>112851651.75681849</v>
      </c>
    </row>
    <row r="5" spans="2:9" x14ac:dyDescent="0.25">
      <c r="B5" s="7" t="s">
        <v>1160</v>
      </c>
      <c r="C5" s="476">
        <f>Tarifa!G3+Tarifa!G4+Tarifa!G6+Tarifa!G8</f>
        <v>113401060.04271963</v>
      </c>
      <c r="E5" s="458">
        <f>E4</f>
        <v>223912.00745400495</v>
      </c>
      <c r="F5" s="410">
        <v>240.9</v>
      </c>
      <c r="G5" s="458">
        <f>E5*F5</f>
        <v>53940402.595669791</v>
      </c>
      <c r="H5" s="458">
        <f>G5/(1-0.25)-G5</f>
        <v>17980134.198556602</v>
      </c>
      <c r="I5" s="12">
        <f>G5+H5</f>
        <v>71920536.794226393</v>
      </c>
    </row>
    <row r="6" spans="2:9" x14ac:dyDescent="0.25">
      <c r="B6" s="7" t="s">
        <v>1159</v>
      </c>
      <c r="C6" s="495">
        <v>0.02</v>
      </c>
    </row>
    <row r="7" spans="2:9" x14ac:dyDescent="0.25">
      <c r="B7" s="7" t="s">
        <v>22</v>
      </c>
      <c r="C7" s="307">
        <v>1</v>
      </c>
    </row>
    <row r="8" spans="2:9" x14ac:dyDescent="0.25">
      <c r="B8" s="7" t="s">
        <v>1157</v>
      </c>
      <c r="C8" s="494">
        <f>IF(C9&lt;0,0,C9)</f>
        <v>0</v>
      </c>
    </row>
    <row r="9" spans="2:9" x14ac:dyDescent="0.25">
      <c r="B9" s="599" t="s">
        <v>1253</v>
      </c>
      <c r="C9" s="494">
        <f>(C10-C11)*C12</f>
        <v>-818622.29925184196</v>
      </c>
    </row>
    <row r="10" spans="2:9" x14ac:dyDescent="0.25">
      <c r="B10" s="7" t="s">
        <v>1161</v>
      </c>
      <c r="C10" s="12">
        <f>I5</f>
        <v>71920536.794226393</v>
      </c>
    </row>
    <row r="11" spans="2:9" x14ac:dyDescent="0.25">
      <c r="B11" s="7" t="s">
        <v>1156</v>
      </c>
      <c r="C11" s="12">
        <f>'Anexo 1_CF_CV Energia Elétrica'!M3+'Anexo 1_CF_CV Energia Elétrica'!N3</f>
        <v>112851651.75681849</v>
      </c>
    </row>
    <row r="12" spans="2:9" x14ac:dyDescent="0.25">
      <c r="B12" s="7" t="s">
        <v>23</v>
      </c>
      <c r="C12" s="488">
        <v>0.02</v>
      </c>
    </row>
  </sheetData>
  <pageMargins left="0.511811024" right="0.511811024" top="0.78740157499999996" bottom="0.78740157499999996" header="0.31496062000000002" footer="0.31496062000000002"/>
  <pageSetup orientation="portrait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4"/>
  <sheetViews>
    <sheetView showGridLines="0" workbookViewId="0">
      <selection activeCell="E31" sqref="E31"/>
    </sheetView>
  </sheetViews>
  <sheetFormatPr defaultRowHeight="15" x14ac:dyDescent="0.25"/>
  <cols>
    <col min="1" max="1" width="31" bestFit="1" customWidth="1"/>
    <col min="2" max="2" width="19.5703125" bestFit="1" customWidth="1"/>
    <col min="3" max="3" width="28.42578125" bestFit="1" customWidth="1"/>
    <col min="4" max="4" width="8.42578125" bestFit="1" customWidth="1"/>
    <col min="5" max="5" width="83.140625" bestFit="1" customWidth="1"/>
  </cols>
  <sheetData>
    <row r="2" s="16" customFormat="1" x14ac:dyDescent="0.25"/>
    <row r="13" s="2" customFormat="1" x14ac:dyDescent="0.25"/>
    <row r="14" s="2" customFormat="1" x14ac:dyDescent="0.25"/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17"/>
  <sheetViews>
    <sheetView showGridLines="0" topLeftCell="A58" workbookViewId="0">
      <selection activeCell="N14" sqref="N14"/>
    </sheetView>
  </sheetViews>
  <sheetFormatPr defaultRowHeight="15" x14ac:dyDescent="0.25"/>
  <cols>
    <col min="2" max="2" width="57" bestFit="1" customWidth="1"/>
    <col min="3" max="3" width="22.7109375" customWidth="1"/>
    <col min="9" max="9" width="11.7109375" bestFit="1" customWidth="1"/>
  </cols>
  <sheetData>
    <row r="1" spans="2:7" ht="15" customHeight="1" x14ac:dyDescent="0.25"/>
    <row r="2" spans="2:7" ht="15.75" thickBot="1" x14ac:dyDescent="0.3"/>
    <row r="3" spans="2:7" x14ac:dyDescent="0.25">
      <c r="B3" s="47" t="s">
        <v>615</v>
      </c>
      <c r="C3" s="45">
        <f>'Anexo 3_Custos Ambientais'!I34</f>
        <v>11907140.932875002</v>
      </c>
    </row>
    <row r="4" spans="2:7" x14ac:dyDescent="0.25">
      <c r="B4" s="44" t="s">
        <v>614</v>
      </c>
      <c r="C4" s="43">
        <f>'Anexo 3_Custos Ambientais'!I40</f>
        <v>32880</v>
      </c>
    </row>
    <row r="5" spans="2:7" x14ac:dyDescent="0.25">
      <c r="B5" s="44" t="s">
        <v>311</v>
      </c>
      <c r="C5" s="43">
        <f>'Anexo 3_Custos Ambientais'!I45</f>
        <v>200760</v>
      </c>
    </row>
    <row r="6" spans="2:7" x14ac:dyDescent="0.25">
      <c r="B6" s="44" t="s">
        <v>613</v>
      </c>
      <c r="C6" s="43">
        <f>'Anexo 3_Custos Ambientais'!I49</f>
        <v>273828.59999999998</v>
      </c>
    </row>
    <row r="7" spans="2:7" x14ac:dyDescent="0.25">
      <c r="B7" s="44" t="s">
        <v>612</v>
      </c>
      <c r="C7" s="43">
        <f>'Anexo 3_Custos Ambientais'!I60</f>
        <v>170276.16</v>
      </c>
    </row>
    <row r="8" spans="2:7" x14ac:dyDescent="0.25">
      <c r="B8" s="44" t="s">
        <v>611</v>
      </c>
      <c r="C8" s="43">
        <f>'Anexo 3_Custos Ambientais'!I71</f>
        <v>31569.64</v>
      </c>
    </row>
    <row r="9" spans="2:7" x14ac:dyDescent="0.25">
      <c r="B9" s="44" t="s">
        <v>610</v>
      </c>
      <c r="C9" s="43">
        <f>'Anexo 3_Custos Ambientais'!I79</f>
        <v>89475</v>
      </c>
    </row>
    <row r="10" spans="2:7" x14ac:dyDescent="0.25">
      <c r="B10" s="44" t="s">
        <v>609</v>
      </c>
      <c r="C10" s="43">
        <f>'Anexo 3_Custos Ambientais'!I86</f>
        <v>138840</v>
      </c>
    </row>
    <row r="11" spans="2:7" x14ac:dyDescent="0.25">
      <c r="B11" s="44" t="s">
        <v>608</v>
      </c>
      <c r="C11" s="43">
        <f>'Anexo 3_Custos Ambientais'!I99</f>
        <v>489600</v>
      </c>
    </row>
    <row r="12" spans="2:7" x14ac:dyDescent="0.25">
      <c r="B12" s="44" t="s">
        <v>607</v>
      </c>
      <c r="C12" s="43">
        <f>'Anexo 3_Custos Ambientais'!I114</f>
        <v>2722500</v>
      </c>
    </row>
    <row r="13" spans="2:7" x14ac:dyDescent="0.25">
      <c r="B13" s="44" t="s">
        <v>606</v>
      </c>
      <c r="C13" s="43">
        <f>SUM(C3:C12)</f>
        <v>16056870.332875002</v>
      </c>
    </row>
    <row r="14" spans="2:7" x14ac:dyDescent="0.25">
      <c r="B14" s="44" t="s">
        <v>605</v>
      </c>
      <c r="C14" s="43">
        <f>C13*10%</f>
        <v>1605687.0332875003</v>
      </c>
    </row>
    <row r="15" spans="2:7" x14ac:dyDescent="0.25">
      <c r="B15" s="44" t="s">
        <v>604</v>
      </c>
      <c r="C15" s="43">
        <f>C13+C14</f>
        <v>17662557.366162501</v>
      </c>
    </row>
    <row r="16" spans="2:7" x14ac:dyDescent="0.25">
      <c r="B16" s="44" t="s">
        <v>603</v>
      </c>
      <c r="C16" s="43">
        <f>0.1396*C15</f>
        <v>2465693.0083162854</v>
      </c>
      <c r="G16" t="s">
        <v>1272</v>
      </c>
    </row>
    <row r="17" spans="1:12" ht="15.75" thickBot="1" x14ac:dyDescent="0.3">
      <c r="B17" s="288" t="s">
        <v>9</v>
      </c>
      <c r="C17" s="289">
        <f>C15+C16</f>
        <v>20128250.374478787</v>
      </c>
    </row>
    <row r="18" spans="1:12" x14ac:dyDescent="0.25">
      <c r="C18" s="4"/>
    </row>
    <row r="20" spans="1:12" ht="15.75" thickBot="1" x14ac:dyDescent="0.3">
      <c r="A20" s="727" t="s">
        <v>706</v>
      </c>
      <c r="B20" s="727"/>
      <c r="C20" s="727"/>
      <c r="D20" s="727"/>
      <c r="E20" s="727"/>
      <c r="F20" s="727"/>
      <c r="G20" s="727"/>
      <c r="H20" s="727"/>
      <c r="I20" s="727"/>
    </row>
    <row r="21" spans="1:12" ht="16.5" thickTop="1" thickBot="1" x14ac:dyDescent="0.3">
      <c r="A21" s="727"/>
      <c r="B21" s="727"/>
      <c r="C21" s="727"/>
      <c r="D21" s="727"/>
      <c r="E21" s="727"/>
      <c r="F21" s="727"/>
      <c r="G21" s="727"/>
      <c r="H21" s="727"/>
      <c r="I21" s="727"/>
    </row>
    <row r="22" spans="1:12" ht="15.75" thickTop="1" x14ac:dyDescent="0.25">
      <c r="A22" s="745" t="s">
        <v>705</v>
      </c>
      <c r="B22" s="745"/>
      <c r="C22" s="745"/>
      <c r="D22" s="745"/>
      <c r="E22" s="745"/>
      <c r="F22" s="744" t="s">
        <v>704</v>
      </c>
      <c r="G22" s="744" t="s">
        <v>703</v>
      </c>
      <c r="H22" s="742" t="s">
        <v>702</v>
      </c>
      <c r="I22" s="742"/>
    </row>
    <row r="23" spans="1:12" x14ac:dyDescent="0.25">
      <c r="A23" s="745"/>
      <c r="B23" s="745"/>
      <c r="C23" s="745"/>
      <c r="D23" s="745"/>
      <c r="E23" s="745"/>
      <c r="F23" s="744"/>
      <c r="G23" s="744"/>
      <c r="H23" s="282" t="s">
        <v>701</v>
      </c>
      <c r="I23" s="281" t="s">
        <v>146</v>
      </c>
    </row>
    <row r="24" spans="1:12" x14ac:dyDescent="0.25">
      <c r="A24" s="746" t="s">
        <v>615</v>
      </c>
      <c r="B24" s="747"/>
      <c r="C24" s="747"/>
      <c r="D24" s="747"/>
      <c r="E24" s="748"/>
      <c r="F24" s="268"/>
      <c r="G24" s="278"/>
      <c r="H24" s="274"/>
      <c r="I24" s="274"/>
    </row>
    <row r="25" spans="1:12" x14ac:dyDescent="0.25">
      <c r="A25" s="749" t="s">
        <v>700</v>
      </c>
      <c r="B25" s="750"/>
      <c r="C25" s="750"/>
      <c r="D25" s="750"/>
      <c r="E25" s="751"/>
      <c r="F25" s="268" t="s">
        <v>617</v>
      </c>
      <c r="G25" s="278">
        <v>5</v>
      </c>
      <c r="H25" s="274">
        <v>19209.91</v>
      </c>
      <c r="I25" s="274">
        <f t="shared" ref="I25:I30" si="0">G25*H25</f>
        <v>96049.55</v>
      </c>
      <c r="J25" t="s">
        <v>1273</v>
      </c>
    </row>
    <row r="26" spans="1:12" x14ac:dyDescent="0.25">
      <c r="A26" s="749" t="s">
        <v>699</v>
      </c>
      <c r="B26" s="750"/>
      <c r="C26" s="750"/>
      <c r="D26" s="750"/>
      <c r="E26" s="751"/>
      <c r="F26" s="268" t="s">
        <v>617</v>
      </c>
      <c r="G26" s="278">
        <v>12</v>
      </c>
      <c r="H26" s="274">
        <v>13154.08</v>
      </c>
      <c r="I26" s="274">
        <f t="shared" si="0"/>
        <v>157848.95999999999</v>
      </c>
      <c r="J26" t="s">
        <v>1273</v>
      </c>
    </row>
    <row r="27" spans="1:12" x14ac:dyDescent="0.25">
      <c r="A27" s="749" t="s">
        <v>698</v>
      </c>
      <c r="B27" s="750"/>
      <c r="C27" s="750"/>
      <c r="D27" s="750"/>
      <c r="E27" s="751"/>
      <c r="F27" s="268" t="s">
        <v>617</v>
      </c>
      <c r="G27" s="278">
        <v>84</v>
      </c>
      <c r="H27" s="274">
        <v>10290.76</v>
      </c>
      <c r="I27" s="274">
        <f t="shared" si="0"/>
        <v>864423.84</v>
      </c>
      <c r="J27" t="s">
        <v>1273</v>
      </c>
      <c r="L27" s="22"/>
    </row>
    <row r="28" spans="1:12" x14ac:dyDescent="0.25">
      <c r="A28" s="749" t="s">
        <v>697</v>
      </c>
      <c r="B28" s="750"/>
      <c r="C28" s="750"/>
      <c r="D28" s="750"/>
      <c r="E28" s="751"/>
      <c r="F28" s="268" t="s">
        <v>617</v>
      </c>
      <c r="G28" s="278">
        <v>396</v>
      </c>
      <c r="H28" s="274">
        <v>8466.2800000000007</v>
      </c>
      <c r="I28" s="274">
        <f t="shared" si="0"/>
        <v>3352646.8800000004</v>
      </c>
      <c r="J28" t="s">
        <v>1273</v>
      </c>
      <c r="L28" s="22"/>
    </row>
    <row r="29" spans="1:12" x14ac:dyDescent="0.25">
      <c r="A29" s="749" t="s">
        <v>696</v>
      </c>
      <c r="B29" s="750"/>
      <c r="C29" s="750"/>
      <c r="D29" s="750"/>
      <c r="E29" s="751"/>
      <c r="F29" s="268" t="s">
        <v>617</v>
      </c>
      <c r="G29" s="278">
        <v>384</v>
      </c>
      <c r="H29" s="274">
        <v>3439.84</v>
      </c>
      <c r="I29" s="274">
        <f t="shared" si="0"/>
        <v>1320898.5600000001</v>
      </c>
      <c r="J29" t="s">
        <v>1273</v>
      </c>
      <c r="L29" s="22"/>
    </row>
    <row r="30" spans="1:12" x14ac:dyDescent="0.25">
      <c r="A30" s="749" t="s">
        <v>695</v>
      </c>
      <c r="B30" s="750"/>
      <c r="C30" s="750"/>
      <c r="D30" s="750"/>
      <c r="E30" s="751"/>
      <c r="F30" s="268" t="s">
        <v>617</v>
      </c>
      <c r="G30" s="278">
        <v>132</v>
      </c>
      <c r="H30" s="274">
        <v>1853.83</v>
      </c>
      <c r="I30" s="274">
        <f t="shared" si="0"/>
        <v>244705.56</v>
      </c>
      <c r="J30" t="s">
        <v>1273</v>
      </c>
    </row>
    <row r="31" spans="1:12" x14ac:dyDescent="0.25">
      <c r="A31" s="752" t="s">
        <v>606</v>
      </c>
      <c r="B31" s="753"/>
      <c r="C31" s="753"/>
      <c r="D31" s="753"/>
      <c r="E31" s="754"/>
      <c r="F31" s="283"/>
      <c r="G31" s="283"/>
      <c r="H31" s="282"/>
      <c r="I31" s="284">
        <f>SUM(I25:I30)</f>
        <v>6036573.3500000006</v>
      </c>
      <c r="K31" s="284"/>
    </row>
    <row r="32" spans="1:12" x14ac:dyDescent="0.25">
      <c r="A32" s="749" t="s">
        <v>694</v>
      </c>
      <c r="B32" s="750"/>
      <c r="C32" s="750"/>
      <c r="D32" s="750"/>
      <c r="E32" s="751"/>
      <c r="F32" s="283"/>
      <c r="G32" s="283"/>
      <c r="H32" s="282"/>
      <c r="I32" s="274">
        <f>0.7725*I31</f>
        <v>4663252.9128750004</v>
      </c>
    </row>
    <row r="33" spans="1:10" x14ac:dyDescent="0.25">
      <c r="A33" s="749" t="s">
        <v>693</v>
      </c>
      <c r="B33" s="750"/>
      <c r="C33" s="750"/>
      <c r="D33" s="750"/>
      <c r="E33" s="751"/>
      <c r="F33" s="283"/>
      <c r="G33" s="283"/>
      <c r="H33" s="282"/>
      <c r="I33" s="274">
        <f>0.2*I31</f>
        <v>1207314.6700000002</v>
      </c>
    </row>
    <row r="34" spans="1:10" ht="15.75" thickBot="1" x14ac:dyDescent="0.3">
      <c r="A34" s="758" t="s">
        <v>692</v>
      </c>
      <c r="B34" s="759"/>
      <c r="C34" s="759"/>
      <c r="D34" s="759"/>
      <c r="E34" s="759"/>
      <c r="F34" s="759"/>
      <c r="G34" s="760"/>
      <c r="H34" s="250"/>
      <c r="I34" s="284">
        <f>I31+I32+I33</f>
        <v>11907140.932875002</v>
      </c>
    </row>
    <row r="35" spans="1:10" ht="15.75" thickTop="1" x14ac:dyDescent="0.25">
      <c r="A35" s="755"/>
      <c r="B35" s="756"/>
      <c r="C35" s="756"/>
      <c r="D35" s="756"/>
      <c r="E35" s="757"/>
      <c r="F35" s="283"/>
      <c r="G35" s="283"/>
      <c r="H35" s="282"/>
      <c r="I35" s="281"/>
    </row>
    <row r="36" spans="1:10" x14ac:dyDescent="0.25">
      <c r="A36" s="746" t="s">
        <v>614</v>
      </c>
      <c r="B36" s="747"/>
      <c r="C36" s="747"/>
      <c r="D36" s="747"/>
      <c r="E36" s="748"/>
      <c r="F36" s="283"/>
      <c r="G36" s="283"/>
      <c r="H36" s="282"/>
      <c r="I36" s="281"/>
    </row>
    <row r="37" spans="1:10" x14ac:dyDescent="0.25">
      <c r="A37" s="749" t="s">
        <v>691</v>
      </c>
      <c r="B37" s="750"/>
      <c r="C37" s="750"/>
      <c r="D37" s="750"/>
      <c r="E37" s="751"/>
      <c r="F37" s="268" t="s">
        <v>686</v>
      </c>
      <c r="G37" s="278">
        <v>24</v>
      </c>
      <c r="H37" s="278">
        <v>900</v>
      </c>
      <c r="I37" s="274">
        <v>21600</v>
      </c>
    </row>
    <row r="38" spans="1:10" x14ac:dyDescent="0.25">
      <c r="A38" s="749" t="s">
        <v>690</v>
      </c>
      <c r="B38" s="750"/>
      <c r="C38" s="750"/>
      <c r="D38" s="750"/>
      <c r="E38" s="751"/>
      <c r="F38" s="268" t="s">
        <v>686</v>
      </c>
      <c r="G38" s="278">
        <v>24</v>
      </c>
      <c r="H38" s="278">
        <v>120</v>
      </c>
      <c r="I38" s="274">
        <v>2880</v>
      </c>
    </row>
    <row r="39" spans="1:10" x14ac:dyDescent="0.25">
      <c r="A39" s="749" t="s">
        <v>689</v>
      </c>
      <c r="B39" s="750"/>
      <c r="C39" s="750"/>
      <c r="D39" s="750"/>
      <c r="E39" s="751"/>
      <c r="F39" s="268" t="s">
        <v>686</v>
      </c>
      <c r="G39" s="278">
        <v>120</v>
      </c>
      <c r="H39" s="278">
        <v>70</v>
      </c>
      <c r="I39" s="274">
        <v>8400</v>
      </c>
    </row>
    <row r="40" spans="1:10" ht="15.75" thickBot="1" x14ac:dyDescent="0.3">
      <c r="A40" s="758" t="s">
        <v>685</v>
      </c>
      <c r="B40" s="759"/>
      <c r="C40" s="759"/>
      <c r="D40" s="759"/>
      <c r="E40" s="759"/>
      <c r="F40" s="759"/>
      <c r="G40" s="760"/>
      <c r="H40" s="250"/>
      <c r="I40" s="284">
        <f>SUM(I37:I39)</f>
        <v>32880</v>
      </c>
    </row>
    <row r="41" spans="1:10" ht="15.75" thickTop="1" x14ac:dyDescent="0.25">
      <c r="A41" s="749"/>
      <c r="B41" s="750"/>
      <c r="C41" s="750"/>
      <c r="D41" s="750"/>
      <c r="E41" s="751"/>
      <c r="F41" s="283"/>
      <c r="G41" s="283"/>
      <c r="H41" s="282"/>
      <c r="I41" s="281"/>
    </row>
    <row r="42" spans="1:10" x14ac:dyDescent="0.25">
      <c r="A42" s="746" t="s">
        <v>311</v>
      </c>
      <c r="B42" s="747"/>
      <c r="C42" s="747"/>
      <c r="D42" s="747"/>
      <c r="E42" s="748"/>
      <c r="F42" s="283"/>
      <c r="G42" s="283"/>
      <c r="H42" s="282"/>
      <c r="I42" s="281"/>
    </row>
    <row r="43" spans="1:10" x14ac:dyDescent="0.25">
      <c r="A43" s="749" t="s">
        <v>688</v>
      </c>
      <c r="B43" s="750"/>
      <c r="C43" s="750"/>
      <c r="D43" s="750"/>
      <c r="E43" s="751"/>
      <c r="F43" s="268" t="s">
        <v>686</v>
      </c>
      <c r="G43" s="287">
        <f>(G38+G37)*5</f>
        <v>240</v>
      </c>
      <c r="H43" s="286">
        <v>239</v>
      </c>
      <c r="I43" s="285">
        <f>ROUND(H43*G43,2)</f>
        <v>57360</v>
      </c>
    </row>
    <row r="44" spans="1:10" x14ac:dyDescent="0.25">
      <c r="A44" s="749" t="s">
        <v>687</v>
      </c>
      <c r="B44" s="750"/>
      <c r="C44" s="750"/>
      <c r="D44" s="750"/>
      <c r="E44" s="751"/>
      <c r="F44" s="268" t="s">
        <v>686</v>
      </c>
      <c r="G44" s="287">
        <f>G39*5</f>
        <v>600</v>
      </c>
      <c r="H44" s="286">
        <v>239</v>
      </c>
      <c r="I44" s="285">
        <f>ROUND(H44*G44,2)</f>
        <v>143400</v>
      </c>
    </row>
    <row r="45" spans="1:10" ht="15.75" thickBot="1" x14ac:dyDescent="0.3">
      <c r="A45" s="758" t="s">
        <v>685</v>
      </c>
      <c r="B45" s="759"/>
      <c r="C45" s="759"/>
      <c r="D45" s="759"/>
      <c r="E45" s="759"/>
      <c r="F45" s="759"/>
      <c r="G45" s="760"/>
      <c r="H45" s="250"/>
      <c r="I45" s="284">
        <f>SUM(I42:I44)</f>
        <v>200760</v>
      </c>
    </row>
    <row r="46" spans="1:10" ht="15.75" thickTop="1" x14ac:dyDescent="0.25">
      <c r="A46" s="755"/>
      <c r="B46" s="756"/>
      <c r="C46" s="756"/>
      <c r="D46" s="756"/>
      <c r="E46" s="757"/>
      <c r="F46" s="283"/>
      <c r="G46" s="283"/>
      <c r="H46" s="282"/>
      <c r="I46" s="281"/>
    </row>
    <row r="47" spans="1:10" x14ac:dyDescent="0.25">
      <c r="A47" s="743" t="s">
        <v>684</v>
      </c>
      <c r="B47" s="743"/>
      <c r="C47" s="743"/>
      <c r="D47" s="743"/>
      <c r="E47" s="743"/>
      <c r="F47" s="278"/>
      <c r="G47" s="277"/>
      <c r="H47" s="280"/>
      <c r="I47" s="279"/>
    </row>
    <row r="48" spans="1:10" x14ac:dyDescent="0.25">
      <c r="A48" s="743" t="s">
        <v>683</v>
      </c>
      <c r="B48" s="743"/>
      <c r="C48" s="743"/>
      <c r="D48" s="743"/>
      <c r="E48" s="743"/>
      <c r="F48" s="278" t="s">
        <v>617</v>
      </c>
      <c r="G48" s="277">
        <v>60</v>
      </c>
      <c r="H48" s="263">
        <v>4563.8100000000004</v>
      </c>
      <c r="I48" s="276">
        <f>ROUND(G48*H48,2)</f>
        <v>273828.59999999998</v>
      </c>
      <c r="J48" t="s">
        <v>1273</v>
      </c>
    </row>
    <row r="49" spans="1:9" ht="15.75" thickBot="1" x14ac:dyDescent="0.3">
      <c r="A49" s="735" t="s">
        <v>682</v>
      </c>
      <c r="B49" s="735"/>
      <c r="C49" s="735"/>
      <c r="D49" s="735"/>
      <c r="E49" s="735"/>
      <c r="F49" s="735"/>
      <c r="G49" s="735"/>
      <c r="H49" s="250"/>
      <c r="I49" s="249">
        <f>SUM(I48:I48)</f>
        <v>273828.59999999998</v>
      </c>
    </row>
    <row r="50" spans="1:9" ht="16.5" thickTop="1" thickBot="1" x14ac:dyDescent="0.3">
      <c r="A50" s="761"/>
      <c r="B50" s="761"/>
      <c r="C50" s="761"/>
      <c r="D50" s="761"/>
      <c r="E50" s="761"/>
      <c r="F50" s="761"/>
      <c r="G50" s="761"/>
      <c r="H50" s="761"/>
      <c r="I50" s="761"/>
    </row>
    <row r="51" spans="1:9" ht="15.75" thickTop="1" x14ac:dyDescent="0.25">
      <c r="A51" s="738" t="s">
        <v>681</v>
      </c>
      <c r="B51" s="738"/>
      <c r="C51" s="738"/>
      <c r="D51" s="738"/>
      <c r="E51" s="738"/>
      <c r="F51" s="738"/>
      <c r="G51" s="738"/>
      <c r="H51" s="738"/>
      <c r="I51" s="738"/>
    </row>
    <row r="52" spans="1:9" x14ac:dyDescent="0.25">
      <c r="A52" s="261" t="s">
        <v>680</v>
      </c>
      <c r="B52" s="260"/>
      <c r="C52" s="260"/>
      <c r="D52" s="275"/>
      <c r="E52" s="259"/>
      <c r="F52" s="268" t="s">
        <v>617</v>
      </c>
      <c r="G52" s="267">
        <v>48</v>
      </c>
      <c r="H52" s="274">
        <v>2400</v>
      </c>
      <c r="I52" s="257">
        <f t="shared" ref="I52:I58" si="1">ROUND(G52*H52,2)</f>
        <v>115200</v>
      </c>
    </row>
    <row r="53" spans="1:9" x14ac:dyDescent="0.25">
      <c r="A53" s="261" t="s">
        <v>679</v>
      </c>
      <c r="B53" s="260"/>
      <c r="C53" s="260"/>
      <c r="D53" s="260"/>
      <c r="E53" s="259"/>
      <c r="F53" s="268" t="s">
        <v>617</v>
      </c>
      <c r="G53" s="267">
        <v>48</v>
      </c>
      <c r="H53" s="257">
        <v>315</v>
      </c>
      <c r="I53" s="257">
        <f t="shared" si="1"/>
        <v>15120</v>
      </c>
    </row>
    <row r="54" spans="1:9" x14ac:dyDescent="0.25">
      <c r="A54" s="261" t="s">
        <v>678</v>
      </c>
      <c r="B54" s="260"/>
      <c r="C54" s="260"/>
      <c r="D54" s="260"/>
      <c r="E54" s="259"/>
      <c r="F54" s="268" t="s">
        <v>617</v>
      </c>
      <c r="G54" s="267">
        <v>48</v>
      </c>
      <c r="H54" s="257">
        <v>147</v>
      </c>
      <c r="I54" s="257">
        <f t="shared" si="1"/>
        <v>7056</v>
      </c>
    </row>
    <row r="55" spans="1:9" x14ac:dyDescent="0.25">
      <c r="A55" s="261" t="s">
        <v>677</v>
      </c>
      <c r="B55" s="260"/>
      <c r="C55" s="260"/>
      <c r="D55" s="260"/>
      <c r="E55" s="259"/>
      <c r="F55" s="268" t="s">
        <v>617</v>
      </c>
      <c r="G55" s="267">
        <v>48</v>
      </c>
      <c r="H55" s="257">
        <v>225.52</v>
      </c>
      <c r="I55" s="257">
        <f t="shared" si="1"/>
        <v>10824.96</v>
      </c>
    </row>
    <row r="56" spans="1:9" x14ac:dyDescent="0.25">
      <c r="A56" s="273" t="s">
        <v>676</v>
      </c>
      <c r="B56" s="272"/>
      <c r="C56" s="272"/>
      <c r="D56" s="272"/>
      <c r="E56" s="271"/>
      <c r="F56" s="268" t="s">
        <v>617</v>
      </c>
      <c r="G56" s="267">
        <v>48</v>
      </c>
      <c r="H56" s="254">
        <v>100</v>
      </c>
      <c r="I56" s="257">
        <f t="shared" si="1"/>
        <v>4800</v>
      </c>
    </row>
    <row r="57" spans="1:9" x14ac:dyDescent="0.25">
      <c r="A57" s="273" t="s">
        <v>675</v>
      </c>
      <c r="B57" s="272"/>
      <c r="C57" s="272"/>
      <c r="D57" s="272"/>
      <c r="E57" s="271"/>
      <c r="F57" s="268" t="s">
        <v>617</v>
      </c>
      <c r="G57" s="267">
        <v>48</v>
      </c>
      <c r="H57" s="254">
        <v>99.9</v>
      </c>
      <c r="I57" s="257">
        <f t="shared" si="1"/>
        <v>4795.2</v>
      </c>
    </row>
    <row r="58" spans="1:9" x14ac:dyDescent="0.25">
      <c r="A58" s="273" t="s">
        <v>674</v>
      </c>
      <c r="B58" s="272"/>
      <c r="C58" s="272"/>
      <c r="D58" s="272"/>
      <c r="E58" s="271"/>
      <c r="F58" s="268" t="s">
        <v>617</v>
      </c>
      <c r="G58" s="267">
        <v>48</v>
      </c>
      <c r="H58" s="254">
        <v>260</v>
      </c>
      <c r="I58" s="257">
        <f t="shared" si="1"/>
        <v>12480</v>
      </c>
    </row>
    <row r="59" spans="1:9" x14ac:dyDescent="0.25">
      <c r="A59" s="261"/>
      <c r="B59" s="260"/>
      <c r="C59" s="260"/>
      <c r="D59" s="260"/>
      <c r="E59" s="259"/>
      <c r="F59" s="262"/>
      <c r="G59" s="258"/>
      <c r="H59" s="257"/>
      <c r="I59" s="257"/>
    </row>
    <row r="60" spans="1:9" ht="15.75" thickBot="1" x14ac:dyDescent="0.3">
      <c r="A60" s="735" t="s">
        <v>673</v>
      </c>
      <c r="B60" s="735"/>
      <c r="C60" s="735"/>
      <c r="D60" s="735"/>
      <c r="E60" s="735"/>
      <c r="F60" s="735"/>
      <c r="G60" s="735"/>
      <c r="H60" s="250"/>
      <c r="I60" s="249">
        <f>SUM(I52:I59)</f>
        <v>170276.16</v>
      </c>
    </row>
    <row r="61" spans="1:9" ht="16.5" thickTop="1" thickBot="1" x14ac:dyDescent="0.3">
      <c r="A61" s="736" t="s">
        <v>672</v>
      </c>
      <c r="B61" s="737"/>
      <c r="C61" s="737"/>
      <c r="D61" s="737"/>
      <c r="E61" s="737"/>
      <c r="F61" s="737"/>
      <c r="G61" s="737"/>
      <c r="H61" s="737"/>
      <c r="I61" s="737"/>
    </row>
    <row r="62" spans="1:9" x14ac:dyDescent="0.25">
      <c r="A62" s="238" t="s">
        <v>671</v>
      </c>
      <c r="B62" s="238"/>
      <c r="C62" s="238"/>
      <c r="D62" s="238"/>
      <c r="E62" s="238"/>
      <c r="F62" s="270" t="s">
        <v>661</v>
      </c>
      <c r="G62" s="269">
        <v>1</v>
      </c>
      <c r="H62" s="263">
        <v>2797.08</v>
      </c>
      <c r="I62" s="234">
        <f t="shared" ref="I62:I70" si="2">ROUND(G62*H62,2)</f>
        <v>2797.08</v>
      </c>
    </row>
    <row r="63" spans="1:9" x14ac:dyDescent="0.25">
      <c r="A63" s="238" t="s">
        <v>670</v>
      </c>
      <c r="B63" s="238"/>
      <c r="C63" s="238"/>
      <c r="D63" s="238"/>
      <c r="E63" s="238"/>
      <c r="F63" s="268" t="s">
        <v>661</v>
      </c>
      <c r="G63" s="267">
        <v>1</v>
      </c>
      <c r="H63" s="263">
        <v>3142.85</v>
      </c>
      <c r="I63" s="257">
        <f t="shared" si="2"/>
        <v>3142.85</v>
      </c>
    </row>
    <row r="64" spans="1:9" x14ac:dyDescent="0.25">
      <c r="A64" s="238" t="s">
        <v>669</v>
      </c>
      <c r="B64" s="238"/>
      <c r="C64" s="238"/>
      <c r="D64" s="238"/>
      <c r="E64" s="238"/>
      <c r="F64" s="268" t="s">
        <v>661</v>
      </c>
      <c r="G64" s="267">
        <v>1</v>
      </c>
      <c r="H64" s="263">
        <v>2325.71</v>
      </c>
      <c r="I64" s="257">
        <f t="shared" si="2"/>
        <v>2325.71</v>
      </c>
    </row>
    <row r="65" spans="1:9" x14ac:dyDescent="0.25">
      <c r="A65" s="238" t="s">
        <v>668</v>
      </c>
      <c r="B65" s="238"/>
      <c r="C65" s="238"/>
      <c r="D65" s="238"/>
      <c r="E65" s="238"/>
      <c r="F65" s="268" t="s">
        <v>663</v>
      </c>
      <c r="G65" s="267">
        <v>100</v>
      </c>
      <c r="H65" s="263">
        <v>145</v>
      </c>
      <c r="I65" s="257">
        <f t="shared" si="2"/>
        <v>14500</v>
      </c>
    </row>
    <row r="66" spans="1:9" x14ac:dyDescent="0.25">
      <c r="A66" s="238" t="s">
        <v>667</v>
      </c>
      <c r="B66" s="238"/>
      <c r="C66" s="238"/>
      <c r="D66" s="238"/>
      <c r="E66" s="238"/>
      <c r="F66" s="268" t="s">
        <v>661</v>
      </c>
      <c r="G66" s="267">
        <v>1</v>
      </c>
      <c r="H66" s="263">
        <v>1500</v>
      </c>
      <c r="I66" s="257">
        <f t="shared" si="2"/>
        <v>1500</v>
      </c>
    </row>
    <row r="67" spans="1:9" x14ac:dyDescent="0.25">
      <c r="A67" s="238" t="s">
        <v>666</v>
      </c>
      <c r="B67" s="238"/>
      <c r="C67" s="238"/>
      <c r="D67" s="238"/>
      <c r="E67" s="238"/>
      <c r="F67" s="268" t="s">
        <v>661</v>
      </c>
      <c r="G67" s="267">
        <v>1</v>
      </c>
      <c r="H67" s="263">
        <v>3500</v>
      </c>
      <c r="I67" s="257">
        <f t="shared" si="2"/>
        <v>3500</v>
      </c>
    </row>
    <row r="68" spans="1:9" x14ac:dyDescent="0.25">
      <c r="A68" s="238" t="s">
        <v>665</v>
      </c>
      <c r="B68" s="238"/>
      <c r="C68" s="238"/>
      <c r="D68" s="238"/>
      <c r="E68" s="238"/>
      <c r="F68" s="268" t="s">
        <v>661</v>
      </c>
      <c r="G68" s="267">
        <v>200</v>
      </c>
      <c r="H68" s="263">
        <v>9.2200000000000006</v>
      </c>
      <c r="I68" s="257">
        <f t="shared" si="2"/>
        <v>1844</v>
      </c>
    </row>
    <row r="69" spans="1:9" x14ac:dyDescent="0.25">
      <c r="A69" s="238" t="s">
        <v>664</v>
      </c>
      <c r="B69" s="238"/>
      <c r="C69" s="238"/>
      <c r="D69" s="238"/>
      <c r="E69" s="238"/>
      <c r="F69" s="266" t="s">
        <v>663</v>
      </c>
      <c r="G69" s="255">
        <v>2500</v>
      </c>
      <c r="H69" s="263">
        <v>0.74</v>
      </c>
      <c r="I69" s="254">
        <f t="shared" si="2"/>
        <v>1850</v>
      </c>
    </row>
    <row r="70" spans="1:9" ht="15.75" thickBot="1" x14ac:dyDescent="0.3">
      <c r="A70" s="238" t="s">
        <v>662</v>
      </c>
      <c r="B70" s="238"/>
      <c r="C70" s="238"/>
      <c r="D70" s="238"/>
      <c r="E70" s="238"/>
      <c r="F70" s="266" t="s">
        <v>661</v>
      </c>
      <c r="G70" s="255">
        <v>2</v>
      </c>
      <c r="H70" s="263">
        <v>55</v>
      </c>
      <c r="I70" s="254">
        <f t="shared" si="2"/>
        <v>110</v>
      </c>
    </row>
    <row r="71" spans="1:9" ht="15.75" thickBot="1" x14ac:dyDescent="0.3">
      <c r="A71" s="765" t="s">
        <v>660</v>
      </c>
      <c r="B71" s="766"/>
      <c r="C71" s="766"/>
      <c r="D71" s="766"/>
      <c r="E71" s="766"/>
      <c r="F71" s="766"/>
      <c r="G71" s="766"/>
      <c r="H71" s="265"/>
      <c r="I71" s="264">
        <f>SUM(I62:I70)</f>
        <v>31569.64</v>
      </c>
    </row>
    <row r="72" spans="1:9" ht="15.75" thickTop="1" x14ac:dyDescent="0.25">
      <c r="A72" s="738" t="s">
        <v>659</v>
      </c>
      <c r="B72" s="738"/>
      <c r="C72" s="738"/>
      <c r="D72" s="738"/>
      <c r="E72" s="738"/>
      <c r="F72" s="738"/>
      <c r="G72" s="738"/>
      <c r="H72" s="738"/>
      <c r="I72" s="738"/>
    </row>
    <row r="73" spans="1:9" x14ac:dyDescent="0.25">
      <c r="A73" s="261" t="s">
        <v>658</v>
      </c>
      <c r="B73" s="260"/>
      <c r="C73" s="260"/>
      <c r="D73" s="260"/>
      <c r="E73" s="259"/>
      <c r="F73" s="262" t="s">
        <v>617</v>
      </c>
      <c r="G73" s="258">
        <v>881</v>
      </c>
      <c r="H73" s="263">
        <v>69</v>
      </c>
      <c r="I73" s="257">
        <f>ROUND(G73*H73,2)</f>
        <v>60789</v>
      </c>
    </row>
    <row r="74" spans="1:9" x14ac:dyDescent="0.25">
      <c r="A74" s="261" t="s">
        <v>657</v>
      </c>
      <c r="B74" s="260"/>
      <c r="C74" s="260"/>
      <c r="D74" s="260"/>
      <c r="E74" s="259"/>
      <c r="F74" s="262" t="s">
        <v>617</v>
      </c>
      <c r="G74" s="258">
        <v>48</v>
      </c>
      <c r="H74" s="257">
        <v>64</v>
      </c>
      <c r="I74" s="257">
        <f>ROUND(G74*H74,2)</f>
        <v>3072</v>
      </c>
    </row>
    <row r="75" spans="1:9" x14ac:dyDescent="0.25">
      <c r="A75" s="261" t="s">
        <v>656</v>
      </c>
      <c r="B75" s="260"/>
      <c r="C75" s="260"/>
      <c r="D75" s="260"/>
      <c r="E75" s="259"/>
      <c r="F75" s="262" t="s">
        <v>617</v>
      </c>
      <c r="G75" s="258">
        <v>297</v>
      </c>
      <c r="H75" s="257">
        <v>23</v>
      </c>
      <c r="I75" s="257">
        <f>ROUND(G75*H75,2)</f>
        <v>6831</v>
      </c>
    </row>
    <row r="76" spans="1:9" x14ac:dyDescent="0.25">
      <c r="A76" s="261" t="s">
        <v>655</v>
      </c>
      <c r="B76" s="260"/>
      <c r="C76" s="260"/>
      <c r="D76" s="260"/>
      <c r="E76" s="259"/>
      <c r="F76" s="241" t="s">
        <v>617</v>
      </c>
      <c r="G76" s="258">
        <v>297</v>
      </c>
      <c r="H76" s="257">
        <v>39</v>
      </c>
      <c r="I76" s="257">
        <f>ROUND(G76*H76,2)</f>
        <v>11583</v>
      </c>
    </row>
    <row r="77" spans="1:9" x14ac:dyDescent="0.25">
      <c r="A77" s="261" t="s">
        <v>654</v>
      </c>
      <c r="B77" s="260"/>
      <c r="C77" s="260"/>
      <c r="D77" s="260"/>
      <c r="E77" s="259"/>
      <c r="F77" s="241" t="s">
        <v>617</v>
      </c>
      <c r="G77" s="258">
        <v>48</v>
      </c>
      <c r="H77" s="257">
        <v>150</v>
      </c>
      <c r="I77" s="257">
        <f>ROUND(G77*H77,2)</f>
        <v>7200</v>
      </c>
    </row>
    <row r="78" spans="1:9" x14ac:dyDescent="0.25">
      <c r="A78" s="261"/>
      <c r="B78" s="260"/>
      <c r="C78" s="260"/>
      <c r="D78" s="260"/>
      <c r="E78" s="259"/>
      <c r="F78" s="262"/>
      <c r="G78" s="258"/>
      <c r="H78" s="257"/>
      <c r="I78" s="257"/>
    </row>
    <row r="79" spans="1:9" ht="15.75" thickBot="1" x14ac:dyDescent="0.3">
      <c r="A79" s="735" t="s">
        <v>653</v>
      </c>
      <c r="B79" s="735"/>
      <c r="C79" s="735"/>
      <c r="D79" s="735"/>
      <c r="E79" s="735"/>
      <c r="F79" s="735"/>
      <c r="G79" s="735"/>
      <c r="H79" s="250"/>
      <c r="I79" s="249">
        <f>SUM(I73:I78)</f>
        <v>89475</v>
      </c>
    </row>
    <row r="80" spans="1:9" ht="15.75" thickTop="1" x14ac:dyDescent="0.25">
      <c r="A80" s="738" t="s">
        <v>652</v>
      </c>
      <c r="B80" s="738"/>
      <c r="C80" s="738"/>
      <c r="D80" s="738"/>
      <c r="E80" s="738"/>
      <c r="F80" s="738"/>
      <c r="G80" s="738"/>
      <c r="H80" s="738"/>
      <c r="I80" s="738"/>
    </row>
    <row r="81" spans="1:11" x14ac:dyDescent="0.25">
      <c r="A81" s="261" t="s">
        <v>651</v>
      </c>
      <c r="B81" s="260"/>
      <c r="C81" s="260"/>
      <c r="D81" s="260"/>
      <c r="E81" s="259"/>
      <c r="F81" s="241" t="s">
        <v>623</v>
      </c>
      <c r="G81" s="258">
        <v>12</v>
      </c>
      <c r="H81" s="257">
        <v>50</v>
      </c>
      <c r="I81" s="257">
        <f>ROUND(G81*H81,2)</f>
        <v>600</v>
      </c>
    </row>
    <row r="82" spans="1:11" x14ac:dyDescent="0.25">
      <c r="A82" s="261" t="s">
        <v>650</v>
      </c>
      <c r="B82" s="260"/>
      <c r="C82" s="260"/>
      <c r="D82" s="260"/>
      <c r="E82" s="259"/>
      <c r="F82" s="241" t="s">
        <v>623</v>
      </c>
      <c r="G82" s="258">
        <v>84</v>
      </c>
      <c r="H82" s="257">
        <v>30</v>
      </c>
      <c r="I82" s="257">
        <f>ROUND(G82*H82,2)</f>
        <v>2520</v>
      </c>
    </row>
    <row r="83" spans="1:11" ht="21" customHeight="1" x14ac:dyDescent="0.25">
      <c r="A83" s="739" t="s">
        <v>649</v>
      </c>
      <c r="B83" s="740"/>
      <c r="C83" s="740"/>
      <c r="D83" s="740"/>
      <c r="E83" s="741"/>
      <c r="F83" s="241" t="s">
        <v>623</v>
      </c>
      <c r="G83" s="258">
        <v>12000</v>
      </c>
      <c r="H83" s="257">
        <v>1.31</v>
      </c>
      <c r="I83" s="257">
        <f>ROUND(G83*H83,2)</f>
        <v>15720</v>
      </c>
    </row>
    <row r="84" spans="1:11" x14ac:dyDescent="0.25">
      <c r="A84" s="728" t="s">
        <v>648</v>
      </c>
      <c r="B84" s="729"/>
      <c r="C84" s="729"/>
      <c r="D84" s="729"/>
      <c r="E84" s="730"/>
      <c r="F84" s="256" t="s">
        <v>623</v>
      </c>
      <c r="G84" s="255">
        <v>72</v>
      </c>
      <c r="H84" s="254">
        <v>250</v>
      </c>
      <c r="I84" s="254">
        <f>ROUND(G84*H84,2)</f>
        <v>18000</v>
      </c>
    </row>
    <row r="85" spans="1:11" x14ac:dyDescent="0.25">
      <c r="A85" s="731" t="s">
        <v>647</v>
      </c>
      <c r="B85" s="732"/>
      <c r="C85" s="732"/>
      <c r="D85" s="732"/>
      <c r="E85" s="733"/>
      <c r="F85" s="253" t="s">
        <v>623</v>
      </c>
      <c r="G85" s="252">
        <v>3400</v>
      </c>
      <c r="H85" s="251">
        <v>30</v>
      </c>
      <c r="I85" s="251">
        <f>ROUND(G85*H85,2)</f>
        <v>102000</v>
      </c>
    </row>
    <row r="86" spans="1:11" ht="15.75" thickBot="1" x14ac:dyDescent="0.3">
      <c r="A86" s="734" t="s">
        <v>646</v>
      </c>
      <c r="B86" s="735"/>
      <c r="C86" s="735"/>
      <c r="D86" s="735"/>
      <c r="E86" s="735"/>
      <c r="F86" s="735"/>
      <c r="G86" s="735"/>
      <c r="H86" s="250"/>
      <c r="I86" s="249">
        <f>SUM(I81:I85)</f>
        <v>138840</v>
      </c>
    </row>
    <row r="87" spans="1:11" ht="16.5" thickTop="1" thickBot="1" x14ac:dyDescent="0.3">
      <c r="A87" s="736" t="s">
        <v>645</v>
      </c>
      <c r="B87" s="737"/>
      <c r="C87" s="737"/>
      <c r="D87" s="737"/>
      <c r="E87" s="737"/>
      <c r="F87" s="737"/>
      <c r="G87" s="737"/>
      <c r="H87" s="737"/>
      <c r="I87" s="737"/>
    </row>
    <row r="88" spans="1:11" x14ac:dyDescent="0.25">
      <c r="A88" s="248" t="s">
        <v>644</v>
      </c>
      <c r="B88" s="247"/>
      <c r="C88" s="247"/>
      <c r="D88" s="247"/>
      <c r="E88" s="247"/>
      <c r="F88" s="246"/>
      <c r="G88" s="245"/>
      <c r="H88" s="244"/>
      <c r="I88" s="243"/>
      <c r="K88" t="s">
        <v>643</v>
      </c>
    </row>
    <row r="89" spans="1:11" x14ac:dyDescent="0.25">
      <c r="A89" s="773" t="s">
        <v>642</v>
      </c>
      <c r="B89" s="774"/>
      <c r="C89" s="774"/>
      <c r="D89" s="774"/>
      <c r="E89" s="774"/>
      <c r="F89" s="236" t="s">
        <v>623</v>
      </c>
      <c r="G89" s="235">
        <v>480</v>
      </c>
      <c r="H89" s="234">
        <v>45</v>
      </c>
      <c r="I89" s="234">
        <f t="shared" ref="I89:I98" si="3">ROUND(G89*H89,2)</f>
        <v>21600</v>
      </c>
      <c r="K89">
        <v>108</v>
      </c>
    </row>
    <row r="90" spans="1:11" x14ac:dyDescent="0.25">
      <c r="A90" s="773" t="s">
        <v>641</v>
      </c>
      <c r="B90" s="774"/>
      <c r="C90" s="774"/>
      <c r="D90" s="774"/>
      <c r="E90" s="774"/>
      <c r="F90" s="236" t="s">
        <v>623</v>
      </c>
      <c r="G90" s="235">
        <v>480</v>
      </c>
      <c r="H90" s="234">
        <v>45</v>
      </c>
      <c r="I90" s="234">
        <f t="shared" si="3"/>
        <v>21600</v>
      </c>
      <c r="K90">
        <v>40</v>
      </c>
    </row>
    <row r="91" spans="1:11" x14ac:dyDescent="0.25">
      <c r="A91" s="773" t="s">
        <v>640</v>
      </c>
      <c r="B91" s="774"/>
      <c r="C91" s="774"/>
      <c r="D91" s="774"/>
      <c r="E91" s="774"/>
      <c r="F91" s="236" t="s">
        <v>623</v>
      </c>
      <c r="G91" s="235">
        <v>480</v>
      </c>
      <c r="H91" s="234">
        <v>45</v>
      </c>
      <c r="I91" s="234">
        <f t="shared" si="3"/>
        <v>21600</v>
      </c>
      <c r="K91">
        <v>108</v>
      </c>
    </row>
    <row r="92" spans="1:11" x14ac:dyDescent="0.25">
      <c r="A92" s="773" t="s">
        <v>639</v>
      </c>
      <c r="B92" s="774"/>
      <c r="C92" s="774"/>
      <c r="D92" s="774"/>
      <c r="E92" s="774"/>
      <c r="F92" s="236" t="s">
        <v>623</v>
      </c>
      <c r="G92" s="235">
        <v>480</v>
      </c>
      <c r="H92" s="234">
        <v>45</v>
      </c>
      <c r="I92" s="234">
        <f t="shared" si="3"/>
        <v>21600</v>
      </c>
    </row>
    <row r="93" spans="1:11" x14ac:dyDescent="0.25">
      <c r="A93" s="773" t="s">
        <v>638</v>
      </c>
      <c r="B93" s="774"/>
      <c r="C93" s="774"/>
      <c r="D93" s="774"/>
      <c r="E93" s="774"/>
      <c r="F93" s="236" t="s">
        <v>623</v>
      </c>
      <c r="G93" s="235">
        <v>480</v>
      </c>
      <c r="H93" s="234">
        <v>140</v>
      </c>
      <c r="I93" s="234">
        <f t="shared" si="3"/>
        <v>67200</v>
      </c>
      <c r="K93">
        <v>166</v>
      </c>
    </row>
    <row r="94" spans="1:11" x14ac:dyDescent="0.25">
      <c r="A94" s="773" t="s">
        <v>637</v>
      </c>
      <c r="B94" s="774"/>
      <c r="C94" s="774"/>
      <c r="D94" s="774"/>
      <c r="E94" s="774"/>
      <c r="F94" s="236" t="s">
        <v>623</v>
      </c>
      <c r="G94" s="235">
        <v>480</v>
      </c>
      <c r="H94" s="234">
        <v>140</v>
      </c>
      <c r="I94" s="234">
        <f t="shared" si="3"/>
        <v>67200</v>
      </c>
      <c r="K94">
        <v>166</v>
      </c>
    </row>
    <row r="95" spans="1:11" x14ac:dyDescent="0.25">
      <c r="A95" s="773" t="s">
        <v>636</v>
      </c>
      <c r="B95" s="774"/>
      <c r="C95" s="774"/>
      <c r="D95" s="774"/>
      <c r="E95" s="774"/>
      <c r="F95" s="236" t="s">
        <v>623</v>
      </c>
      <c r="G95" s="235">
        <v>480</v>
      </c>
      <c r="H95" s="234">
        <v>140</v>
      </c>
      <c r="I95" s="234">
        <f t="shared" si="3"/>
        <v>67200</v>
      </c>
    </row>
    <row r="96" spans="1:11" x14ac:dyDescent="0.25">
      <c r="A96" s="773" t="s">
        <v>635</v>
      </c>
      <c r="B96" s="774"/>
      <c r="C96" s="774"/>
      <c r="D96" s="774"/>
      <c r="E96" s="774"/>
      <c r="F96" s="236" t="s">
        <v>623</v>
      </c>
      <c r="G96" s="235">
        <v>480</v>
      </c>
      <c r="H96" s="234">
        <v>140</v>
      </c>
      <c r="I96" s="234">
        <f t="shared" si="3"/>
        <v>67200</v>
      </c>
      <c r="K96">
        <v>166</v>
      </c>
    </row>
    <row r="97" spans="1:11" x14ac:dyDescent="0.25">
      <c r="A97" s="773" t="s">
        <v>634</v>
      </c>
      <c r="B97" s="774"/>
      <c r="C97" s="774"/>
      <c r="D97" s="774"/>
      <c r="E97" s="774"/>
      <c r="F97" s="236" t="s">
        <v>623</v>
      </c>
      <c r="G97" s="235">
        <v>480</v>
      </c>
      <c r="H97" s="234">
        <v>140</v>
      </c>
      <c r="I97" s="234">
        <f t="shared" si="3"/>
        <v>67200</v>
      </c>
      <c r="K97">
        <v>218</v>
      </c>
    </row>
    <row r="98" spans="1:11" x14ac:dyDescent="0.25">
      <c r="A98" s="773" t="s">
        <v>633</v>
      </c>
      <c r="B98" s="774"/>
      <c r="C98" s="774"/>
      <c r="D98" s="774"/>
      <c r="E98" s="774"/>
      <c r="F98" s="236" t="s">
        <v>623</v>
      </c>
      <c r="G98" s="235">
        <v>480</v>
      </c>
      <c r="H98" s="234">
        <v>140</v>
      </c>
      <c r="I98" s="234">
        <f t="shared" si="3"/>
        <v>67200</v>
      </c>
      <c r="K98">
        <v>218</v>
      </c>
    </row>
    <row r="99" spans="1:11" ht="15.75" thickBot="1" x14ac:dyDescent="0.3">
      <c r="A99" s="762" t="s">
        <v>632</v>
      </c>
      <c r="B99" s="763"/>
      <c r="C99" s="763"/>
      <c r="D99" s="763"/>
      <c r="E99" s="763"/>
      <c r="F99" s="763"/>
      <c r="G99" s="764"/>
      <c r="H99" s="227"/>
      <c r="I99" s="226">
        <f>SUM(I89:I98)</f>
        <v>489600</v>
      </c>
    </row>
    <row r="100" spans="1:11" ht="16.5" thickTop="1" thickBot="1" x14ac:dyDescent="0.3">
      <c r="A100" s="736" t="s">
        <v>631</v>
      </c>
      <c r="B100" s="737"/>
      <c r="C100" s="737"/>
      <c r="D100" s="737"/>
      <c r="E100" s="737"/>
      <c r="F100" s="737"/>
      <c r="G100" s="737"/>
      <c r="H100" s="737"/>
      <c r="I100" s="737"/>
    </row>
    <row r="101" spans="1:11" x14ac:dyDescent="0.25">
      <c r="A101" s="770" t="s">
        <v>630</v>
      </c>
      <c r="B101" s="729"/>
      <c r="C101" s="729"/>
      <c r="D101" s="729"/>
      <c r="E101" s="729"/>
      <c r="F101" s="729"/>
      <c r="G101" s="729"/>
      <c r="H101" s="729"/>
      <c r="I101" s="729"/>
    </row>
    <row r="102" spans="1:11" x14ac:dyDescent="0.25">
      <c r="A102" s="767" t="s">
        <v>629</v>
      </c>
      <c r="B102" s="768"/>
      <c r="C102" s="768"/>
      <c r="D102" s="768"/>
      <c r="E102" s="769"/>
      <c r="F102" s="242" t="s">
        <v>155</v>
      </c>
      <c r="G102" s="240">
        <v>2</v>
      </c>
      <c r="H102" s="237">
        <v>200000</v>
      </c>
      <c r="I102" s="237">
        <f>ROUND(G102*H102,2)</f>
        <v>400000</v>
      </c>
    </row>
    <row r="103" spans="1:11" x14ac:dyDescent="0.25">
      <c r="A103" s="767" t="s">
        <v>626</v>
      </c>
      <c r="B103" s="768"/>
      <c r="C103" s="768"/>
      <c r="D103" s="768"/>
      <c r="E103" s="769"/>
      <c r="F103" s="242" t="s">
        <v>155</v>
      </c>
      <c r="G103" s="240">
        <v>2</v>
      </c>
      <c r="H103" s="237">
        <v>50000</v>
      </c>
      <c r="I103" s="237">
        <f>ROUND(G103*H103,2)</f>
        <v>100000</v>
      </c>
    </row>
    <row r="104" spans="1:11" x14ac:dyDescent="0.25">
      <c r="A104" s="771" t="s">
        <v>628</v>
      </c>
      <c r="B104" s="772"/>
      <c r="C104" s="772"/>
      <c r="D104" s="772"/>
      <c r="E104" s="772"/>
      <c r="F104" s="772"/>
      <c r="G104" s="772"/>
      <c r="H104" s="772"/>
      <c r="I104" s="772"/>
    </row>
    <row r="105" spans="1:11" x14ac:dyDescent="0.25">
      <c r="A105" s="767" t="s">
        <v>627</v>
      </c>
      <c r="B105" s="768"/>
      <c r="C105" s="768"/>
      <c r="D105" s="768"/>
      <c r="E105" s="769"/>
      <c r="F105" s="241" t="s">
        <v>617</v>
      </c>
      <c r="G105" s="240">
        <v>12</v>
      </c>
      <c r="H105" s="237">
        <v>30000</v>
      </c>
      <c r="I105" s="237">
        <f>ROUND(G105*H105,2)</f>
        <v>360000</v>
      </c>
    </row>
    <row r="106" spans="1:11" x14ac:dyDescent="0.25">
      <c r="A106" s="771" t="s">
        <v>626</v>
      </c>
      <c r="B106" s="772"/>
      <c r="C106" s="772"/>
      <c r="D106" s="772"/>
      <c r="E106" s="772"/>
      <c r="F106" s="772"/>
      <c r="G106" s="772"/>
      <c r="H106" s="772"/>
      <c r="I106" s="772"/>
    </row>
    <row r="107" spans="1:11" x14ac:dyDescent="0.25">
      <c r="A107" s="740" t="s">
        <v>625</v>
      </c>
      <c r="B107" s="740"/>
      <c r="C107" s="740"/>
      <c r="D107" s="740"/>
      <c r="E107" s="741"/>
      <c r="F107" s="236" t="s">
        <v>623</v>
      </c>
      <c r="G107" s="235">
        <v>90000</v>
      </c>
      <c r="H107" s="234">
        <v>1.5</v>
      </c>
      <c r="I107" s="234">
        <f t="shared" ref="I107:I112" si="4">ROUND(G107*H107,2)</f>
        <v>135000</v>
      </c>
    </row>
    <row r="108" spans="1:11" ht="29.25" customHeight="1" x14ac:dyDescent="0.25">
      <c r="A108" s="740" t="s">
        <v>624</v>
      </c>
      <c r="B108" s="740"/>
      <c r="C108" s="740"/>
      <c r="D108" s="740"/>
      <c r="E108" s="741"/>
      <c r="F108" s="236" t="s">
        <v>623</v>
      </c>
      <c r="G108" s="235">
        <v>90000</v>
      </c>
      <c r="H108" s="234">
        <v>2.5</v>
      </c>
      <c r="I108" s="234">
        <f t="shared" si="4"/>
        <v>225000</v>
      </c>
    </row>
    <row r="109" spans="1:11" x14ac:dyDescent="0.25">
      <c r="A109" s="238" t="s">
        <v>622</v>
      </c>
      <c r="B109" s="238"/>
      <c r="C109" s="239"/>
      <c r="D109" s="238"/>
      <c r="E109" s="238"/>
      <c r="F109" s="236" t="s">
        <v>620</v>
      </c>
      <c r="G109" s="235">
        <v>500</v>
      </c>
      <c r="H109" s="237">
        <v>80</v>
      </c>
      <c r="I109" s="237">
        <f t="shared" si="4"/>
        <v>40000</v>
      </c>
    </row>
    <row r="110" spans="1:11" ht="26.25" customHeight="1" x14ac:dyDescent="0.25">
      <c r="A110" s="740" t="s">
        <v>621</v>
      </c>
      <c r="B110" s="740"/>
      <c r="C110" s="740"/>
      <c r="D110" s="740"/>
      <c r="E110" s="741"/>
      <c r="F110" s="236" t="s">
        <v>620</v>
      </c>
      <c r="G110" s="235">
        <v>1250</v>
      </c>
      <c r="H110" s="234">
        <v>450</v>
      </c>
      <c r="I110" s="234">
        <f t="shared" si="4"/>
        <v>562500</v>
      </c>
    </row>
    <row r="111" spans="1:11" ht="25.5" customHeight="1" x14ac:dyDescent="0.25">
      <c r="A111" s="740" t="s">
        <v>619</v>
      </c>
      <c r="B111" s="740"/>
      <c r="C111" s="740"/>
      <c r="D111" s="740"/>
      <c r="E111" s="741"/>
      <c r="F111" s="236" t="s">
        <v>617</v>
      </c>
      <c r="G111" s="235">
        <v>6</v>
      </c>
      <c r="H111" s="234">
        <v>50000</v>
      </c>
      <c r="I111" s="234">
        <f t="shared" si="4"/>
        <v>300000</v>
      </c>
    </row>
    <row r="112" spans="1:11" x14ac:dyDescent="0.25">
      <c r="A112" s="740" t="s">
        <v>618</v>
      </c>
      <c r="B112" s="740"/>
      <c r="C112" s="740"/>
      <c r="D112" s="740"/>
      <c r="E112" s="741"/>
      <c r="F112" s="236" t="s">
        <v>617</v>
      </c>
      <c r="G112" s="235">
        <v>6</v>
      </c>
      <c r="H112" s="234">
        <v>100000</v>
      </c>
      <c r="I112" s="234">
        <f t="shared" si="4"/>
        <v>600000</v>
      </c>
    </row>
    <row r="113" spans="1:9" x14ac:dyDescent="0.25">
      <c r="A113" s="233"/>
      <c r="B113" s="232"/>
      <c r="C113" s="232"/>
      <c r="D113" s="232"/>
      <c r="E113" s="232"/>
      <c r="F113" s="231"/>
      <c r="G113" s="230"/>
      <c r="H113" s="229"/>
      <c r="I113" s="228"/>
    </row>
    <row r="114" spans="1:9" ht="15.75" thickBot="1" x14ac:dyDescent="0.3">
      <c r="A114" s="762" t="s">
        <v>616</v>
      </c>
      <c r="B114" s="763"/>
      <c r="C114" s="763"/>
      <c r="D114" s="763"/>
      <c r="E114" s="763"/>
      <c r="F114" s="763"/>
      <c r="G114" s="764"/>
      <c r="H114" s="227"/>
      <c r="I114" s="226">
        <f>SUM(I102:I103,I105,I107:I112)</f>
        <v>2722500</v>
      </c>
    </row>
    <row r="115" spans="1:9" ht="15.75" thickTop="1" x14ac:dyDescent="0.25"/>
    <row r="117" spans="1:9" x14ac:dyDescent="0.25">
      <c r="I117" s="4">
        <f>I114+I99+I86+I79+I71+I60+I49+I45+I40</f>
        <v>4149729.4000000004</v>
      </c>
    </row>
  </sheetData>
  <mergeCells count="68">
    <mergeCell ref="A104:I104"/>
    <mergeCell ref="A105:E105"/>
    <mergeCell ref="A100:I100"/>
    <mergeCell ref="A95:E95"/>
    <mergeCell ref="A96:E96"/>
    <mergeCell ref="A24:E24"/>
    <mergeCell ref="A25:E25"/>
    <mergeCell ref="A26:E26"/>
    <mergeCell ref="A27:E27"/>
    <mergeCell ref="A28:E28"/>
    <mergeCell ref="A94:E94"/>
    <mergeCell ref="A97:E97"/>
    <mergeCell ref="A98:E98"/>
    <mergeCell ref="A99:G99"/>
    <mergeCell ref="A102:E102"/>
    <mergeCell ref="A39:E39"/>
    <mergeCell ref="A41:E41"/>
    <mergeCell ref="A33:E33"/>
    <mergeCell ref="A40:G40"/>
    <mergeCell ref="A60:G60"/>
    <mergeCell ref="A112:E112"/>
    <mergeCell ref="A114:G114"/>
    <mergeCell ref="A107:E107"/>
    <mergeCell ref="A108:E108"/>
    <mergeCell ref="A51:I51"/>
    <mergeCell ref="A61:I61"/>
    <mergeCell ref="A71:G71"/>
    <mergeCell ref="A72:I72"/>
    <mergeCell ref="A103:E103"/>
    <mergeCell ref="A101:I101"/>
    <mergeCell ref="A106:I106"/>
    <mergeCell ref="A89:E89"/>
    <mergeCell ref="A90:E90"/>
    <mergeCell ref="A91:E91"/>
    <mergeCell ref="A92:E92"/>
    <mergeCell ref="A93:E93"/>
    <mergeCell ref="A30:E30"/>
    <mergeCell ref="A31:E31"/>
    <mergeCell ref="A37:E37"/>
    <mergeCell ref="A110:E110"/>
    <mergeCell ref="A111:E111"/>
    <mergeCell ref="A35:E35"/>
    <mergeCell ref="A46:E46"/>
    <mergeCell ref="A32:E32"/>
    <mergeCell ref="A45:G45"/>
    <mergeCell ref="A48:E48"/>
    <mergeCell ref="A49:G49"/>
    <mergeCell ref="A50:I50"/>
    <mergeCell ref="A34:G34"/>
    <mergeCell ref="A36:E36"/>
    <mergeCell ref="A44:E44"/>
    <mergeCell ref="A38:E38"/>
    <mergeCell ref="A20:I21"/>
    <mergeCell ref="A84:E84"/>
    <mergeCell ref="A85:E85"/>
    <mergeCell ref="A86:G86"/>
    <mergeCell ref="A87:I87"/>
    <mergeCell ref="A80:I80"/>
    <mergeCell ref="A83:E83"/>
    <mergeCell ref="A79:G79"/>
    <mergeCell ref="H22:I22"/>
    <mergeCell ref="A47:E47"/>
    <mergeCell ref="G22:G23"/>
    <mergeCell ref="A22:E23"/>
    <mergeCell ref="F22:F23"/>
    <mergeCell ref="A42:E42"/>
    <mergeCell ref="A43:E43"/>
    <mergeCell ref="A29:E29"/>
  </mergeCells>
  <pageMargins left="0.511811024" right="0.511811024" top="0.78740157499999996" bottom="0.78740157499999996" header="0.31496062000000002" footer="0.31496062000000002"/>
  <pageSetup paperSize="9" orientation="portrait" verticalDpi="120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90"/>
  <sheetViews>
    <sheetView showGridLines="0" zoomScale="80" zoomScaleNormal="80" workbookViewId="0">
      <selection activeCell="L8" sqref="L8"/>
    </sheetView>
  </sheetViews>
  <sheetFormatPr defaultRowHeight="15" x14ac:dyDescent="0.25"/>
  <cols>
    <col min="1" max="1" width="24.42578125" bestFit="1" customWidth="1"/>
    <col min="2" max="2" width="35.140625" style="312" customWidth="1"/>
    <col min="3" max="3" width="35.85546875" style="313" customWidth="1"/>
    <col min="4" max="4" width="96.140625" customWidth="1"/>
    <col min="5" max="5" width="14.7109375" style="314" customWidth="1"/>
    <col min="6" max="6" width="16.5703125" customWidth="1"/>
    <col min="7" max="7" width="19.85546875" customWidth="1"/>
    <col min="8" max="8" width="17.140625" customWidth="1"/>
    <col min="9" max="9" width="29" customWidth="1"/>
  </cols>
  <sheetData>
    <row r="2" spans="1:9" x14ac:dyDescent="0.25">
      <c r="B2"/>
      <c r="C2"/>
      <c r="E2"/>
    </row>
    <row r="3" spans="1:9" x14ac:dyDescent="0.25">
      <c r="B3"/>
      <c r="C3" s="9" t="s">
        <v>707</v>
      </c>
      <c r="E3"/>
      <c r="F3" s="295" t="s">
        <v>711</v>
      </c>
      <c r="G3" s="296">
        <f>B75</f>
        <v>1212577582.5599613</v>
      </c>
    </row>
    <row r="4" spans="1:9" x14ac:dyDescent="0.25">
      <c r="A4" s="7" t="s">
        <v>708</v>
      </c>
      <c r="B4" s="290">
        <f>SUM(B5:B8)</f>
        <v>30828560.819523811</v>
      </c>
      <c r="C4" s="7"/>
      <c r="E4"/>
      <c r="F4" s="7" t="s">
        <v>712</v>
      </c>
      <c r="G4" s="297">
        <f>G3</f>
        <v>1212577582.5599613</v>
      </c>
    </row>
    <row r="5" spans="1:9" x14ac:dyDescent="0.25">
      <c r="A5" s="7" t="s">
        <v>6</v>
      </c>
      <c r="B5" s="291">
        <v>50000</v>
      </c>
      <c r="C5" s="292">
        <v>1E-3</v>
      </c>
      <c r="E5"/>
      <c r="F5" s="7" t="s">
        <v>713</v>
      </c>
      <c r="G5" s="298">
        <v>0</v>
      </c>
    </row>
    <row r="6" spans="1:9" x14ac:dyDescent="0.25">
      <c r="A6" s="7" t="s">
        <v>7</v>
      </c>
      <c r="B6" s="293">
        <f>G6</f>
        <v>18854799.21952381</v>
      </c>
      <c r="C6" s="7"/>
      <c r="D6" s="293">
        <f>B6*20%</f>
        <v>3770959.8439047621</v>
      </c>
      <c r="E6"/>
      <c r="F6" s="7" t="s">
        <v>714</v>
      </c>
      <c r="G6" s="299">
        <f>-PMT(G8,G7,,G4)</f>
        <v>18854799.21952381</v>
      </c>
    </row>
    <row r="7" spans="1:9" x14ac:dyDescent="0.25">
      <c r="A7" s="7" t="s">
        <v>709</v>
      </c>
      <c r="B7" s="303">
        <v>11923761.6</v>
      </c>
      <c r="C7" s="7"/>
      <c r="E7"/>
      <c r="F7" s="7" t="s">
        <v>715</v>
      </c>
      <c r="G7" s="298">
        <f>'Anexo 4_CF_FRA'!D76</f>
        <v>30</v>
      </c>
    </row>
    <row r="8" spans="1:9" x14ac:dyDescent="0.25">
      <c r="A8" s="301" t="s">
        <v>710</v>
      </c>
      <c r="B8" s="294">
        <v>0</v>
      </c>
      <c r="C8" s="302">
        <v>5.0000000000000001E-3</v>
      </c>
      <c r="D8" s="333">
        <f>B6-D6</f>
        <v>15083839.375619048</v>
      </c>
      <c r="E8"/>
      <c r="F8" s="7" t="s">
        <v>716</v>
      </c>
      <c r="G8" s="300">
        <v>4.8099999999999997E-2</v>
      </c>
    </row>
    <row r="9" spans="1:9" x14ac:dyDescent="0.25">
      <c r="C9" s="313" t="s">
        <v>1259</v>
      </c>
    </row>
    <row r="10" spans="1:9" x14ac:dyDescent="0.25">
      <c r="A10" s="5">
        <v>0.2</v>
      </c>
      <c r="B10" s="293">
        <f>$B$6*20%</f>
        <v>3770959.8439047621</v>
      </c>
      <c r="C10" s="606">
        <f>$B$6-B10</f>
        <v>15083839.375619048</v>
      </c>
    </row>
    <row r="11" spans="1:9" x14ac:dyDescent="0.25">
      <c r="A11" s="5">
        <v>0.4</v>
      </c>
      <c r="B11" s="293">
        <f>$B$6*40%</f>
        <v>7541919.6878095241</v>
      </c>
      <c r="C11" s="606">
        <f t="shared" ref="C11:C13" si="0">$B$6-B11</f>
        <v>11312879.531714287</v>
      </c>
    </row>
    <row r="12" spans="1:9" x14ac:dyDescent="0.25">
      <c r="A12" s="5">
        <v>0.6</v>
      </c>
      <c r="B12" s="293">
        <f>$B$6*60%</f>
        <v>11312879.531714285</v>
      </c>
      <c r="C12" s="606">
        <f t="shared" si="0"/>
        <v>7541919.6878095251</v>
      </c>
    </row>
    <row r="13" spans="1:9" x14ac:dyDescent="0.25">
      <c r="A13" s="5">
        <v>0.8</v>
      </c>
      <c r="B13" s="293">
        <f>$B$6*80%</f>
        <v>15083839.375619048</v>
      </c>
      <c r="C13" s="606">
        <f t="shared" si="0"/>
        <v>3770959.8439047616</v>
      </c>
    </row>
    <row r="14" spans="1:9" x14ac:dyDescent="0.25">
      <c r="A14" t="s">
        <v>9</v>
      </c>
      <c r="B14" s="293"/>
      <c r="C14" s="606">
        <f>SUM(C10:C13)</f>
        <v>37709598.439047627</v>
      </c>
    </row>
    <row r="15" spans="1:9" ht="21" x14ac:dyDescent="0.25">
      <c r="B15" s="778" t="s">
        <v>740</v>
      </c>
      <c r="C15" s="778"/>
      <c r="D15" s="778"/>
      <c r="E15" s="778"/>
      <c r="F15" s="778"/>
      <c r="G15" s="778"/>
    </row>
    <row r="16" spans="1:9" s="316" customFormat="1" ht="60" x14ac:dyDescent="0.25">
      <c r="A16" s="315" t="s">
        <v>741</v>
      </c>
      <c r="B16" s="315" t="s">
        <v>559</v>
      </c>
      <c r="C16" s="315" t="s">
        <v>742</v>
      </c>
      <c r="D16" s="315" t="s">
        <v>743</v>
      </c>
      <c r="E16" s="315" t="s">
        <v>744</v>
      </c>
      <c r="F16" s="315" t="s">
        <v>745</v>
      </c>
      <c r="G16" s="315" t="s">
        <v>746</v>
      </c>
      <c r="H16" s="315" t="s">
        <v>1271</v>
      </c>
      <c r="I16" s="315" t="s">
        <v>1270</v>
      </c>
    </row>
    <row r="17" spans="1:9" s="316" customFormat="1" x14ac:dyDescent="0.25">
      <c r="A17" s="411"/>
      <c r="B17" s="775" t="s">
        <v>747</v>
      </c>
      <c r="C17" s="775"/>
      <c r="D17" s="775"/>
      <c r="E17" s="317"/>
      <c r="F17" s="318"/>
      <c r="G17" s="319">
        <f>SUM(G18:G24)</f>
        <v>200582845.56</v>
      </c>
      <c r="H17" s="318"/>
      <c r="I17" s="319">
        <f>SUM(I18:I24)</f>
        <v>354996944.75927991</v>
      </c>
    </row>
    <row r="18" spans="1:9" ht="30" x14ac:dyDescent="0.25">
      <c r="A18" s="7" t="s">
        <v>721</v>
      </c>
      <c r="B18" s="413" t="s">
        <v>748</v>
      </c>
      <c r="C18" s="224" t="s">
        <v>749</v>
      </c>
      <c r="D18" s="320" t="s">
        <v>750</v>
      </c>
      <c r="E18" s="320" t="s">
        <v>751</v>
      </c>
      <c r="F18" s="220">
        <v>38481</v>
      </c>
      <c r="G18" s="219">
        <v>34290314</v>
      </c>
      <c r="H18" s="633">
        <v>1.9279999999999999</v>
      </c>
      <c r="I18" s="12">
        <f t="shared" ref="I18:I24" si="1">G18*H18</f>
        <v>66111725.391999997</v>
      </c>
    </row>
    <row r="19" spans="1:9" ht="15" customHeight="1" x14ac:dyDescent="0.25">
      <c r="A19" s="7" t="s">
        <v>721</v>
      </c>
      <c r="B19" s="776" t="s">
        <v>752</v>
      </c>
      <c r="C19" s="779" t="s">
        <v>749</v>
      </c>
      <c r="D19" s="320" t="s">
        <v>753</v>
      </c>
      <c r="E19" s="320" t="s">
        <v>754</v>
      </c>
      <c r="F19" s="220">
        <v>38481</v>
      </c>
      <c r="G19" s="219">
        <v>18297602</v>
      </c>
      <c r="H19" s="633">
        <v>1.9279999999999999</v>
      </c>
      <c r="I19" s="12">
        <f t="shared" si="1"/>
        <v>35277776.655999996</v>
      </c>
    </row>
    <row r="20" spans="1:9" x14ac:dyDescent="0.25">
      <c r="A20" s="7" t="s">
        <v>721</v>
      </c>
      <c r="B20" s="777"/>
      <c r="C20" s="780"/>
      <c r="D20" s="320" t="s">
        <v>755</v>
      </c>
      <c r="E20" s="320" t="s">
        <v>751</v>
      </c>
      <c r="F20" s="220">
        <v>38481</v>
      </c>
      <c r="G20" s="219">
        <v>45188398</v>
      </c>
      <c r="H20" s="633">
        <v>1.9279999999999999</v>
      </c>
      <c r="I20" s="12">
        <f t="shared" si="1"/>
        <v>87123231.343999997</v>
      </c>
    </row>
    <row r="21" spans="1:9" x14ac:dyDescent="0.25">
      <c r="A21" s="7" t="s">
        <v>721</v>
      </c>
      <c r="B21" s="413" t="s">
        <v>756</v>
      </c>
      <c r="C21" s="224" t="s">
        <v>757</v>
      </c>
      <c r="D21" s="320" t="s">
        <v>758</v>
      </c>
      <c r="E21" s="320" t="s">
        <v>754</v>
      </c>
      <c r="F21" s="220">
        <v>38492</v>
      </c>
      <c r="G21" s="219">
        <v>47482000</v>
      </c>
      <c r="H21" s="633">
        <v>1.9279999999999999</v>
      </c>
      <c r="I21" s="12">
        <f t="shared" si="1"/>
        <v>91545296</v>
      </c>
    </row>
    <row r="22" spans="1:9" x14ac:dyDescent="0.25">
      <c r="A22" s="7" t="s">
        <v>721</v>
      </c>
      <c r="B22" s="413" t="s">
        <v>759</v>
      </c>
      <c r="C22" s="224" t="s">
        <v>760</v>
      </c>
      <c r="D22" s="320" t="s">
        <v>761</v>
      </c>
      <c r="E22" s="320" t="s">
        <v>754</v>
      </c>
      <c r="F22" s="220">
        <v>40848</v>
      </c>
      <c r="G22" s="219">
        <v>11141775.189999999</v>
      </c>
      <c r="H22" s="633">
        <v>1.3859999999999999</v>
      </c>
      <c r="I22" s="12">
        <f t="shared" si="1"/>
        <v>15442500.413339999</v>
      </c>
    </row>
    <row r="23" spans="1:9" x14ac:dyDescent="0.25">
      <c r="A23" s="7" t="s">
        <v>721</v>
      </c>
      <c r="B23" s="413" t="s">
        <v>762</v>
      </c>
      <c r="C23" s="224" t="s">
        <v>763</v>
      </c>
      <c r="D23" s="320" t="s">
        <v>764</v>
      </c>
      <c r="E23" s="320"/>
      <c r="F23" s="220">
        <v>41091</v>
      </c>
      <c r="G23" s="219">
        <v>36268445.31000001</v>
      </c>
      <c r="H23" s="633">
        <v>1.3380000000000001</v>
      </c>
      <c r="I23" s="12">
        <f t="shared" si="1"/>
        <v>48527179.824780017</v>
      </c>
    </row>
    <row r="24" spans="1:9" x14ac:dyDescent="0.25">
      <c r="A24" s="307" t="s">
        <v>731</v>
      </c>
      <c r="B24" s="413" t="s">
        <v>765</v>
      </c>
      <c r="C24" s="224" t="s">
        <v>766</v>
      </c>
      <c r="D24" s="320" t="s">
        <v>767</v>
      </c>
      <c r="E24" s="320" t="s">
        <v>754</v>
      </c>
      <c r="F24" s="220">
        <v>40848</v>
      </c>
      <c r="G24" s="219">
        <v>7914311.0599999996</v>
      </c>
      <c r="H24" s="633">
        <v>1.3859999999999999</v>
      </c>
      <c r="I24" s="12">
        <f t="shared" si="1"/>
        <v>10969235.129159998</v>
      </c>
    </row>
    <row r="25" spans="1:9" s="316" customFormat="1" x14ac:dyDescent="0.25">
      <c r="A25" s="411"/>
      <c r="B25" s="775" t="s">
        <v>768</v>
      </c>
      <c r="C25" s="775"/>
      <c r="D25" s="775"/>
      <c r="E25" s="317"/>
      <c r="F25" s="318"/>
      <c r="G25" s="319">
        <f>SUM(G26:G36)</f>
        <v>243424941.77871838</v>
      </c>
      <c r="H25" s="318"/>
      <c r="I25" s="319">
        <f>SUM(I26:I36)</f>
        <v>371158664.50029087</v>
      </c>
    </row>
    <row r="26" spans="1:9" ht="30" x14ac:dyDescent="0.25">
      <c r="A26" s="307" t="s">
        <v>769</v>
      </c>
      <c r="B26" s="413" t="s">
        <v>770</v>
      </c>
      <c r="C26" s="321" t="s">
        <v>771</v>
      </c>
      <c r="D26" s="320" t="s">
        <v>772</v>
      </c>
      <c r="E26" s="222" t="s">
        <v>751</v>
      </c>
      <c r="F26" s="220">
        <v>39892</v>
      </c>
      <c r="G26" s="219">
        <v>41371400.27871836</v>
      </c>
      <c r="H26" s="561">
        <v>1.591</v>
      </c>
      <c r="I26" s="12">
        <f t="shared" ref="I26:I36" si="2">G26*H26</f>
        <v>65821897.843440913</v>
      </c>
    </row>
    <row r="27" spans="1:9" ht="30" x14ac:dyDescent="0.25">
      <c r="A27" s="307" t="s">
        <v>723</v>
      </c>
      <c r="B27" s="413" t="s">
        <v>773</v>
      </c>
      <c r="C27" s="321" t="s">
        <v>771</v>
      </c>
      <c r="D27" s="320" t="s">
        <v>774</v>
      </c>
      <c r="E27" s="222" t="s">
        <v>754</v>
      </c>
      <c r="F27" s="220"/>
      <c r="G27" s="219">
        <v>57656162.530000001</v>
      </c>
      <c r="H27" s="561">
        <v>1.591</v>
      </c>
      <c r="I27" s="12">
        <f t="shared" si="2"/>
        <v>91730954.585229993</v>
      </c>
    </row>
    <row r="28" spans="1:9" x14ac:dyDescent="0.25">
      <c r="A28" s="307" t="s">
        <v>731</v>
      </c>
      <c r="B28" s="414" t="s">
        <v>775</v>
      </c>
      <c r="C28" s="322" t="s">
        <v>776</v>
      </c>
      <c r="D28" s="320" t="s">
        <v>777</v>
      </c>
      <c r="E28" s="320" t="s">
        <v>754</v>
      </c>
      <c r="F28" s="220">
        <v>39892</v>
      </c>
      <c r="G28" s="219">
        <v>0</v>
      </c>
      <c r="H28" s="633"/>
      <c r="I28" s="12">
        <f t="shared" si="2"/>
        <v>0</v>
      </c>
    </row>
    <row r="29" spans="1:9" x14ac:dyDescent="0.25">
      <c r="A29" s="307" t="s">
        <v>733</v>
      </c>
      <c r="B29" s="413" t="s">
        <v>778</v>
      </c>
      <c r="C29" s="323" t="s">
        <v>779</v>
      </c>
      <c r="D29" s="324" t="s">
        <v>780</v>
      </c>
      <c r="E29" s="222" t="s">
        <v>754</v>
      </c>
      <c r="F29" s="220"/>
      <c r="G29" s="219">
        <v>14619857</v>
      </c>
      <c r="H29" s="561">
        <v>1.591</v>
      </c>
      <c r="I29" s="12">
        <f t="shared" si="2"/>
        <v>23260192.487</v>
      </c>
    </row>
    <row r="30" spans="1:9" x14ac:dyDescent="0.25">
      <c r="A30" s="307" t="s">
        <v>769</v>
      </c>
      <c r="B30" s="413" t="s">
        <v>781</v>
      </c>
      <c r="C30" s="323" t="s">
        <v>782</v>
      </c>
      <c r="D30" s="320" t="s">
        <v>783</v>
      </c>
      <c r="E30" s="222" t="s">
        <v>751</v>
      </c>
      <c r="F30" s="220">
        <v>41671</v>
      </c>
      <c r="G30" s="219">
        <v>38690655.719999999</v>
      </c>
      <c r="H30" s="633">
        <v>1.208</v>
      </c>
      <c r="I30" s="12">
        <f t="shared" si="2"/>
        <v>46738312.109759994</v>
      </c>
    </row>
    <row r="31" spans="1:9" x14ac:dyDescent="0.25">
      <c r="A31" s="307" t="s">
        <v>730</v>
      </c>
      <c r="B31" s="413" t="s">
        <v>784</v>
      </c>
      <c r="C31" s="323" t="s">
        <v>785</v>
      </c>
      <c r="D31" s="324" t="s">
        <v>786</v>
      </c>
      <c r="E31" s="222" t="s">
        <v>751</v>
      </c>
      <c r="F31" s="220">
        <v>41671</v>
      </c>
      <c r="G31" s="219">
        <v>2279364.9000000004</v>
      </c>
      <c r="H31" s="633">
        <v>1.208</v>
      </c>
      <c r="I31" s="12">
        <f t="shared" si="2"/>
        <v>2753472.7992000002</v>
      </c>
    </row>
    <row r="32" spans="1:9" x14ac:dyDescent="0.25">
      <c r="A32" s="307" t="s">
        <v>733</v>
      </c>
      <c r="B32" s="413" t="s">
        <v>787</v>
      </c>
      <c r="C32" s="323" t="s">
        <v>785</v>
      </c>
      <c r="D32" s="221" t="s">
        <v>788</v>
      </c>
      <c r="E32" s="222" t="s">
        <v>789</v>
      </c>
      <c r="F32" s="220">
        <v>41671</v>
      </c>
      <c r="G32" s="219">
        <v>1145952.93</v>
      </c>
      <c r="H32" s="633">
        <v>1.208</v>
      </c>
      <c r="I32" s="12">
        <f t="shared" si="2"/>
        <v>1384311.1394399998</v>
      </c>
    </row>
    <row r="33" spans="1:9" x14ac:dyDescent="0.25">
      <c r="A33" s="307" t="s">
        <v>733</v>
      </c>
      <c r="B33" s="413" t="s">
        <v>790</v>
      </c>
      <c r="C33" s="323" t="s">
        <v>791</v>
      </c>
      <c r="D33" s="320" t="s">
        <v>792</v>
      </c>
      <c r="E33" s="222" t="s">
        <v>751</v>
      </c>
      <c r="F33" s="220">
        <v>39892</v>
      </c>
      <c r="G33" s="219">
        <v>10521695.710000001</v>
      </c>
      <c r="H33" s="561">
        <v>1.591</v>
      </c>
      <c r="I33" s="12">
        <f t="shared" si="2"/>
        <v>16740017.874610001</v>
      </c>
    </row>
    <row r="34" spans="1:9" x14ac:dyDescent="0.25">
      <c r="A34" s="307" t="s">
        <v>730</v>
      </c>
      <c r="B34" s="413" t="s">
        <v>793</v>
      </c>
      <c r="C34" s="323" t="s">
        <v>794</v>
      </c>
      <c r="D34" s="324" t="s">
        <v>795</v>
      </c>
      <c r="E34" s="222" t="s">
        <v>751</v>
      </c>
      <c r="F34" s="220">
        <v>39892</v>
      </c>
      <c r="G34" s="219">
        <v>23471086.82</v>
      </c>
      <c r="H34" s="561">
        <v>1.591</v>
      </c>
      <c r="I34" s="12">
        <f t="shared" si="2"/>
        <v>37342499.130620003</v>
      </c>
    </row>
    <row r="35" spans="1:9" x14ac:dyDescent="0.25">
      <c r="A35" s="307" t="s">
        <v>730</v>
      </c>
      <c r="B35" s="413" t="s">
        <v>796</v>
      </c>
      <c r="C35" s="323" t="s">
        <v>794</v>
      </c>
      <c r="D35" s="324" t="s">
        <v>797</v>
      </c>
      <c r="E35" s="222" t="s">
        <v>754</v>
      </c>
      <c r="F35" s="220">
        <v>39892</v>
      </c>
      <c r="G35" s="219">
        <v>28494245.920000002</v>
      </c>
      <c r="H35" s="561">
        <v>1.591</v>
      </c>
      <c r="I35" s="12">
        <f t="shared" si="2"/>
        <v>45334345.258720003</v>
      </c>
    </row>
    <row r="36" spans="1:9" x14ac:dyDescent="0.25">
      <c r="A36" s="307" t="s">
        <v>731</v>
      </c>
      <c r="B36" s="413" t="s">
        <v>798</v>
      </c>
      <c r="C36" s="323" t="s">
        <v>794</v>
      </c>
      <c r="D36" s="320" t="s">
        <v>799</v>
      </c>
      <c r="E36" s="222" t="s">
        <v>751</v>
      </c>
      <c r="F36" s="220">
        <v>39892</v>
      </c>
      <c r="G36" s="219">
        <v>25174519.969999999</v>
      </c>
      <c r="H36" s="561">
        <v>1.591</v>
      </c>
      <c r="I36" s="12">
        <f t="shared" si="2"/>
        <v>40052661.272269994</v>
      </c>
    </row>
    <row r="37" spans="1:9" s="316" customFormat="1" x14ac:dyDescent="0.25">
      <c r="A37" s="411"/>
      <c r="B37" s="775" t="s">
        <v>800</v>
      </c>
      <c r="C37" s="775"/>
      <c r="D37" s="775"/>
      <c r="E37" s="317"/>
      <c r="F37" s="318"/>
      <c r="G37" s="319">
        <f>SUM(G38:G57)</f>
        <v>342034795.67164117</v>
      </c>
      <c r="H37" s="318"/>
      <c r="I37" s="319">
        <f>SUM(I38:I57)</f>
        <v>481921973.3003906</v>
      </c>
    </row>
    <row r="38" spans="1:9" x14ac:dyDescent="0.25">
      <c r="A38" s="307" t="s">
        <v>735</v>
      </c>
      <c r="B38" s="415" t="s">
        <v>602</v>
      </c>
      <c r="C38" s="224" t="s">
        <v>801</v>
      </c>
      <c r="D38" s="222" t="s">
        <v>601</v>
      </c>
      <c r="E38" s="222" t="s">
        <v>751</v>
      </c>
      <c r="F38" s="220">
        <v>41573</v>
      </c>
      <c r="G38" s="219">
        <v>13977401.869999999</v>
      </c>
      <c r="H38" s="561">
        <v>1.2350000000000001</v>
      </c>
      <c r="I38" s="12">
        <f t="shared" ref="I38:I57" si="3">G38*H38</f>
        <v>17262091.309450001</v>
      </c>
    </row>
    <row r="39" spans="1:9" x14ac:dyDescent="0.25">
      <c r="A39" s="307" t="s">
        <v>735</v>
      </c>
      <c r="B39" s="415" t="s">
        <v>600</v>
      </c>
      <c r="C39" s="224" t="s">
        <v>801</v>
      </c>
      <c r="D39" s="222" t="s">
        <v>599</v>
      </c>
      <c r="E39" s="222" t="s">
        <v>751</v>
      </c>
      <c r="F39" s="220">
        <v>41573</v>
      </c>
      <c r="G39" s="219">
        <v>16480155.34</v>
      </c>
      <c r="H39" s="561">
        <v>1.2350000000000001</v>
      </c>
      <c r="I39" s="12">
        <f t="shared" si="3"/>
        <v>20352991.844900001</v>
      </c>
    </row>
    <row r="40" spans="1:9" x14ac:dyDescent="0.25">
      <c r="A40" s="307" t="s">
        <v>727</v>
      </c>
      <c r="B40" s="413" t="s">
        <v>554</v>
      </c>
      <c r="C40" s="224" t="s">
        <v>802</v>
      </c>
      <c r="D40" s="222" t="s">
        <v>553</v>
      </c>
      <c r="E40" s="222" t="s">
        <v>754</v>
      </c>
      <c r="F40" s="220">
        <v>40017</v>
      </c>
      <c r="G40" s="219">
        <v>35309770.784000002</v>
      </c>
      <c r="H40" s="633">
        <v>1.6080000000000001</v>
      </c>
      <c r="I40" s="12">
        <f t="shared" si="3"/>
        <v>56778111.420672007</v>
      </c>
    </row>
    <row r="41" spans="1:9" x14ac:dyDescent="0.25">
      <c r="A41" s="307" t="s">
        <v>727</v>
      </c>
      <c r="B41" s="413" t="s">
        <v>552</v>
      </c>
      <c r="C41" s="224" t="s">
        <v>802</v>
      </c>
      <c r="D41" s="222" t="s">
        <v>551</v>
      </c>
      <c r="E41" s="222" t="s">
        <v>751</v>
      </c>
      <c r="F41" s="220">
        <v>40017</v>
      </c>
      <c r="G41" s="219">
        <v>40251043.048999995</v>
      </c>
      <c r="H41" s="633">
        <v>1.6080000000000001</v>
      </c>
      <c r="I41" s="12">
        <f t="shared" si="3"/>
        <v>64723677.222791992</v>
      </c>
    </row>
    <row r="42" spans="1:9" ht="30" x14ac:dyDescent="0.25">
      <c r="A42" s="307" t="s">
        <v>727</v>
      </c>
      <c r="B42" s="413" t="s">
        <v>550</v>
      </c>
      <c r="C42" s="224" t="s">
        <v>803</v>
      </c>
      <c r="D42" s="223" t="s">
        <v>549</v>
      </c>
      <c r="E42" s="222" t="s">
        <v>754</v>
      </c>
      <c r="F42" s="220">
        <v>41500</v>
      </c>
      <c r="G42" s="219">
        <v>20161090.785599999</v>
      </c>
      <c r="H42" s="633">
        <v>1.2549999999999999</v>
      </c>
      <c r="I42" s="12">
        <f t="shared" si="3"/>
        <v>25302168.935927998</v>
      </c>
    </row>
    <row r="43" spans="1:9" ht="30" x14ac:dyDescent="0.25">
      <c r="A43" s="307" t="s">
        <v>725</v>
      </c>
      <c r="B43" s="413" t="s">
        <v>597</v>
      </c>
      <c r="C43" s="224" t="s">
        <v>804</v>
      </c>
      <c r="D43" s="223" t="s">
        <v>596</v>
      </c>
      <c r="E43" s="222" t="s">
        <v>751</v>
      </c>
      <c r="F43" s="220">
        <v>40017</v>
      </c>
      <c r="G43" s="219">
        <v>30616347.631999988</v>
      </c>
      <c r="H43" s="633">
        <v>1.6080000000000001</v>
      </c>
      <c r="I43" s="12">
        <f t="shared" si="3"/>
        <v>49231086.992255986</v>
      </c>
    </row>
    <row r="44" spans="1:9" ht="30" x14ac:dyDescent="0.25">
      <c r="A44" s="307" t="s">
        <v>725</v>
      </c>
      <c r="B44" s="413" t="s">
        <v>594</v>
      </c>
      <c r="C44" s="224" t="s">
        <v>805</v>
      </c>
      <c r="D44" s="223" t="s">
        <v>595</v>
      </c>
      <c r="E44" s="222" t="s">
        <v>754</v>
      </c>
      <c r="F44" s="220">
        <v>41410</v>
      </c>
      <c r="G44" s="219">
        <v>21119291.794</v>
      </c>
      <c r="H44" s="634">
        <v>1.268</v>
      </c>
      <c r="I44" s="12">
        <f t="shared" si="3"/>
        <v>26779261.994791999</v>
      </c>
    </row>
    <row r="45" spans="1:9" ht="30" x14ac:dyDescent="0.25">
      <c r="A45" s="307" t="s">
        <v>725</v>
      </c>
      <c r="B45" s="413" t="s">
        <v>594</v>
      </c>
      <c r="C45" s="224" t="s">
        <v>806</v>
      </c>
      <c r="D45" s="223" t="s">
        <v>593</v>
      </c>
      <c r="E45" s="222" t="s">
        <v>754</v>
      </c>
      <c r="F45" s="220">
        <v>41410</v>
      </c>
      <c r="G45" s="219">
        <v>33980015.173999995</v>
      </c>
      <c r="H45" s="634">
        <v>1.268</v>
      </c>
      <c r="I45" s="12">
        <f t="shared" si="3"/>
        <v>43086659.240631998</v>
      </c>
    </row>
    <row r="46" spans="1:9" ht="30" x14ac:dyDescent="0.25">
      <c r="A46" s="307" t="s">
        <v>737</v>
      </c>
      <c r="B46" s="413" t="s">
        <v>807</v>
      </c>
      <c r="C46" s="224" t="s">
        <v>808</v>
      </c>
      <c r="D46" s="223" t="s">
        <v>809</v>
      </c>
      <c r="E46" s="222" t="s">
        <v>754</v>
      </c>
      <c r="F46" s="220">
        <v>40359</v>
      </c>
      <c r="G46" s="219">
        <v>6871270.2400000002</v>
      </c>
      <c r="H46" s="633">
        <v>1.5409999999999999</v>
      </c>
      <c r="I46" s="12">
        <f t="shared" si="3"/>
        <v>10588627.43984</v>
      </c>
    </row>
    <row r="47" spans="1:9" ht="30" x14ac:dyDescent="0.25">
      <c r="A47" s="307" t="s">
        <v>737</v>
      </c>
      <c r="B47" s="413" t="s">
        <v>810</v>
      </c>
      <c r="C47" s="224" t="s">
        <v>811</v>
      </c>
      <c r="D47" s="223" t="s">
        <v>812</v>
      </c>
      <c r="E47" s="222" t="s">
        <v>754</v>
      </c>
      <c r="F47" s="220">
        <v>41499</v>
      </c>
      <c r="G47" s="219">
        <v>996000</v>
      </c>
      <c r="H47" s="633">
        <v>1.2549999999999999</v>
      </c>
      <c r="I47" s="12">
        <f t="shared" si="3"/>
        <v>1249980</v>
      </c>
    </row>
    <row r="48" spans="1:9" ht="30" x14ac:dyDescent="0.25">
      <c r="A48" s="307" t="s">
        <v>737</v>
      </c>
      <c r="B48" s="413" t="s">
        <v>813</v>
      </c>
      <c r="C48" s="224" t="s">
        <v>814</v>
      </c>
      <c r="D48" s="223" t="s">
        <v>815</v>
      </c>
      <c r="E48" s="222" t="s">
        <v>751</v>
      </c>
      <c r="F48" s="220">
        <v>41370</v>
      </c>
      <c r="G48" s="219">
        <v>1960640</v>
      </c>
      <c r="H48" s="633">
        <v>1.27</v>
      </c>
      <c r="I48" s="12">
        <f t="shared" si="3"/>
        <v>2490012.7999999998</v>
      </c>
    </row>
    <row r="49" spans="1:9" ht="30" x14ac:dyDescent="0.25">
      <c r="A49" s="307" t="s">
        <v>737</v>
      </c>
      <c r="B49" s="416" t="s">
        <v>816</v>
      </c>
      <c r="C49" s="325" t="s">
        <v>814</v>
      </c>
      <c r="D49" s="326" t="s">
        <v>817</v>
      </c>
      <c r="E49" s="222" t="s">
        <v>754</v>
      </c>
      <c r="F49" s="220">
        <v>41370</v>
      </c>
      <c r="G49" s="219">
        <v>3000860</v>
      </c>
      <c r="H49" s="633">
        <v>1.27</v>
      </c>
      <c r="I49" s="12">
        <f t="shared" si="3"/>
        <v>3811092.2</v>
      </c>
    </row>
    <row r="50" spans="1:9" ht="30" x14ac:dyDescent="0.25">
      <c r="A50" s="307" t="s">
        <v>729</v>
      </c>
      <c r="B50" s="413" t="s">
        <v>818</v>
      </c>
      <c r="C50" s="224" t="s">
        <v>819</v>
      </c>
      <c r="D50" s="223" t="s">
        <v>820</v>
      </c>
      <c r="E50" s="222" t="s">
        <v>751</v>
      </c>
      <c r="F50" s="220">
        <v>40242</v>
      </c>
      <c r="G50" s="219">
        <v>23403194.578400001</v>
      </c>
      <c r="H50" s="633">
        <v>1.587</v>
      </c>
      <c r="I50" s="12">
        <f t="shared" si="3"/>
        <v>37140869.795920804</v>
      </c>
    </row>
    <row r="51" spans="1:9" ht="30" x14ac:dyDescent="0.25">
      <c r="A51" s="307" t="s">
        <v>729</v>
      </c>
      <c r="B51" s="413" t="s">
        <v>821</v>
      </c>
      <c r="C51" s="224" t="s">
        <v>819</v>
      </c>
      <c r="D51" s="223" t="s">
        <v>822</v>
      </c>
      <c r="E51" s="222" t="s">
        <v>754</v>
      </c>
      <c r="F51" s="220">
        <v>40160</v>
      </c>
      <c r="G51" s="219">
        <v>33274844.963600002</v>
      </c>
      <c r="H51" s="633">
        <v>1.611</v>
      </c>
      <c r="I51" s="12">
        <f t="shared" si="3"/>
        <v>53605775.236359604</v>
      </c>
    </row>
    <row r="52" spans="1:9" x14ac:dyDescent="0.25">
      <c r="A52" s="307" t="s">
        <v>733</v>
      </c>
      <c r="B52" s="413" t="s">
        <v>823</v>
      </c>
      <c r="C52" s="323" t="s">
        <v>785</v>
      </c>
      <c r="D52" s="221" t="s">
        <v>824</v>
      </c>
      <c r="E52" s="222" t="s">
        <v>754</v>
      </c>
      <c r="F52" s="327">
        <v>41738</v>
      </c>
      <c r="G52" s="219">
        <v>157288.69</v>
      </c>
      <c r="H52" s="633">
        <v>1.1830000000000001</v>
      </c>
      <c r="I52" s="12">
        <f t="shared" si="3"/>
        <v>186072.52027000001</v>
      </c>
    </row>
    <row r="53" spans="1:9" x14ac:dyDescent="0.25">
      <c r="A53" s="307" t="s">
        <v>733</v>
      </c>
      <c r="B53" s="413" t="s">
        <v>823</v>
      </c>
      <c r="C53" s="323" t="s">
        <v>785</v>
      </c>
      <c r="D53" s="221" t="s">
        <v>825</v>
      </c>
      <c r="E53" s="222" t="s">
        <v>754</v>
      </c>
      <c r="F53" s="327">
        <v>41738</v>
      </c>
      <c r="G53" s="219">
        <v>906531.93</v>
      </c>
      <c r="H53" s="633">
        <v>1.1830000000000001</v>
      </c>
      <c r="I53" s="12">
        <f t="shared" si="3"/>
        <v>1072427.2731900001</v>
      </c>
    </row>
    <row r="54" spans="1:9" ht="30" x14ac:dyDescent="0.25">
      <c r="A54" s="307" t="s">
        <v>737</v>
      </c>
      <c r="B54" s="413" t="s">
        <v>826</v>
      </c>
      <c r="C54" s="323" t="s">
        <v>827</v>
      </c>
      <c r="D54" s="221" t="s">
        <v>828</v>
      </c>
      <c r="E54" s="320" t="s">
        <v>754</v>
      </c>
      <c r="F54" s="220">
        <v>41791</v>
      </c>
      <c r="G54" s="219">
        <v>2389042.1021412001</v>
      </c>
      <c r="H54" s="633">
        <v>1.1759999999999999</v>
      </c>
      <c r="I54" s="12">
        <f t="shared" si="3"/>
        <v>2809513.5121180513</v>
      </c>
    </row>
    <row r="55" spans="1:9" ht="30" x14ac:dyDescent="0.25">
      <c r="A55" s="307" t="s">
        <v>727</v>
      </c>
      <c r="B55" s="413" t="s">
        <v>548</v>
      </c>
      <c r="C55" s="323" t="s">
        <v>803</v>
      </c>
      <c r="D55" s="221" t="s">
        <v>547</v>
      </c>
      <c r="E55" s="222" t="s">
        <v>751</v>
      </c>
      <c r="F55" s="220">
        <v>41879</v>
      </c>
      <c r="G55" s="219">
        <v>10507343.437200001</v>
      </c>
      <c r="H55" s="633">
        <v>1.1919999999999999</v>
      </c>
      <c r="I55" s="12">
        <f t="shared" si="3"/>
        <v>12524753.3771424</v>
      </c>
    </row>
    <row r="56" spans="1:9" x14ac:dyDescent="0.25">
      <c r="A56" s="7" t="s">
        <v>725</v>
      </c>
      <c r="B56" s="413" t="s">
        <v>592</v>
      </c>
      <c r="C56" s="323" t="s">
        <v>829</v>
      </c>
      <c r="D56" s="221" t="s">
        <v>591</v>
      </c>
      <c r="E56" s="222" t="s">
        <v>754</v>
      </c>
      <c r="F56" s="220">
        <v>42148</v>
      </c>
      <c r="G56" s="219">
        <v>39703524.853199996</v>
      </c>
      <c r="H56" s="634">
        <v>1.1339999999999999</v>
      </c>
      <c r="I56" s="12">
        <f t="shared" si="3"/>
        <v>45023797.183528788</v>
      </c>
    </row>
    <row r="57" spans="1:9" x14ac:dyDescent="0.25">
      <c r="A57" s="7" t="s">
        <v>725</v>
      </c>
      <c r="B57" s="417" t="s">
        <v>590</v>
      </c>
      <c r="C57" s="323" t="s">
        <v>829</v>
      </c>
      <c r="D57" s="221" t="s">
        <v>589</v>
      </c>
      <c r="E57" s="222" t="s">
        <v>754</v>
      </c>
      <c r="F57" s="220">
        <v>42148</v>
      </c>
      <c r="G57" s="219">
        <v>6969138.4484999999</v>
      </c>
      <c r="H57" s="634">
        <v>1.1339999999999999</v>
      </c>
      <c r="I57" s="12">
        <f t="shared" si="3"/>
        <v>7903003.0005989997</v>
      </c>
    </row>
    <row r="58" spans="1:9" s="316" customFormat="1" x14ac:dyDescent="0.25">
      <c r="A58" s="411"/>
      <c r="B58" s="775" t="s">
        <v>146</v>
      </c>
      <c r="C58" s="775"/>
      <c r="D58" s="775"/>
      <c r="E58" s="317"/>
      <c r="F58" s="318"/>
      <c r="G58" s="319">
        <f>G17+G25+G37</f>
        <v>786042583.01035953</v>
      </c>
      <c r="H58" s="318"/>
      <c r="I58" s="319">
        <f>I17+I25+I37</f>
        <v>1208077582.5599613</v>
      </c>
    </row>
    <row r="59" spans="1:9" x14ac:dyDescent="0.25">
      <c r="B59" s="328" t="s">
        <v>830</v>
      </c>
      <c r="C59" s="329"/>
      <c r="D59" s="330"/>
      <c r="E59" s="331"/>
      <c r="F59" s="330"/>
      <c r="G59" s="330"/>
      <c r="H59" s="330"/>
    </row>
    <row r="60" spans="1:9" x14ac:dyDescent="0.25">
      <c r="B60" s="328"/>
      <c r="C60" s="332"/>
      <c r="D60" s="330"/>
      <c r="E60" s="331"/>
      <c r="F60" s="330"/>
      <c r="G60" s="330"/>
      <c r="H60" s="330"/>
    </row>
    <row r="61" spans="1:9" x14ac:dyDescent="0.25">
      <c r="B61" s="328"/>
      <c r="C61" s="332"/>
      <c r="D61" s="330"/>
      <c r="E61" s="331"/>
      <c r="F61" s="330"/>
      <c r="G61" s="330"/>
      <c r="H61" s="330"/>
    </row>
    <row r="62" spans="1:9" x14ac:dyDescent="0.25">
      <c r="B62" s="328"/>
      <c r="C62" s="332"/>
      <c r="D62" s="330"/>
      <c r="E62" s="331"/>
      <c r="F62" s="330"/>
      <c r="G62" s="330"/>
      <c r="H62" s="330"/>
    </row>
    <row r="63" spans="1:9" x14ac:dyDescent="0.25">
      <c r="A63" s="304" t="s">
        <v>41</v>
      </c>
      <c r="B63" s="304" t="s">
        <v>717</v>
      </c>
      <c r="C63" s="304" t="s">
        <v>718</v>
      </c>
      <c r="D63" s="304" t="s">
        <v>719</v>
      </c>
      <c r="E63" s="781" t="s">
        <v>720</v>
      </c>
      <c r="F63" s="781"/>
      <c r="G63" s="781"/>
      <c r="H63" s="330"/>
    </row>
    <row r="64" spans="1:9" x14ac:dyDescent="0.25">
      <c r="A64" s="7" t="s">
        <v>721</v>
      </c>
      <c r="B64" s="305">
        <f>SUMIF('Anexo 4_CF_FRA'!$A$18:$A$57,'Anexo 4_CF_FRA'!A64,'Anexo 4_CF_FRA'!$I$18:$I$57)</f>
        <v>344027709.63011992</v>
      </c>
      <c r="C64" s="306">
        <f t="shared" ref="C64:C74" si="4">B64/$B$75</f>
        <v>0.28371603976367255</v>
      </c>
      <c r="D64" s="15">
        <v>30</v>
      </c>
      <c r="E64" s="782" t="s">
        <v>722</v>
      </c>
      <c r="F64" s="782"/>
      <c r="G64" s="782"/>
      <c r="H64" s="330"/>
    </row>
    <row r="65" spans="1:8" x14ac:dyDescent="0.25">
      <c r="A65" s="307" t="s">
        <v>723</v>
      </c>
      <c r="B65" s="305">
        <f>SUMIF('Anexo 4_CF_FRA'!$A$18:$A$57,'Anexo 4_CF_FRA'!A65,'Anexo 4_CF_FRA'!$I$18:$I$57)</f>
        <v>204291164.5384309</v>
      </c>
      <c r="C65" s="306">
        <f t="shared" si="4"/>
        <v>0.16847677829169236</v>
      </c>
      <c r="D65" s="15">
        <v>30</v>
      </c>
      <c r="E65" s="782" t="s">
        <v>724</v>
      </c>
      <c r="F65" s="782"/>
      <c r="G65" s="782"/>
      <c r="H65" s="330"/>
    </row>
    <row r="66" spans="1:8" x14ac:dyDescent="0.25">
      <c r="A66" s="307" t="s">
        <v>725</v>
      </c>
      <c r="B66" s="305">
        <f>SUMIF('Anexo 4_CF_FRA'!$A$18:$A$57,'Anexo 4_CF_FRA'!A66,'Anexo 4_CF_FRA'!$I$18:$I$57)</f>
        <v>172023808.41180778</v>
      </c>
      <c r="C66" s="306">
        <f t="shared" si="4"/>
        <v>0.14186622850855921</v>
      </c>
      <c r="D66" s="15">
        <v>28</v>
      </c>
      <c r="E66" s="782" t="s">
        <v>726</v>
      </c>
      <c r="F66" s="782"/>
      <c r="G66" s="782"/>
      <c r="H66" s="330"/>
    </row>
    <row r="67" spans="1:8" x14ac:dyDescent="0.25">
      <c r="A67" s="307" t="s">
        <v>727</v>
      </c>
      <c r="B67" s="305">
        <f>SUMIF('Anexo 4_CF_FRA'!$A$18:$A$57,'Anexo 4_CF_FRA'!A67,'Anexo 4_CF_FRA'!$I$18:$I$57)</f>
        <v>159328710.95653439</v>
      </c>
      <c r="C67" s="306">
        <f t="shared" si="4"/>
        <v>0.13139671493857233</v>
      </c>
      <c r="D67" s="15">
        <v>40</v>
      </c>
      <c r="E67" s="782" t="s">
        <v>728</v>
      </c>
      <c r="F67" s="782"/>
      <c r="G67" s="782"/>
      <c r="H67" s="330"/>
    </row>
    <row r="68" spans="1:8" x14ac:dyDescent="0.25">
      <c r="A68" s="307" t="s">
        <v>729</v>
      </c>
      <c r="B68" s="305">
        <f>SUMIF('Anexo 4_CF_FRA'!$A$18:$A$57,'Anexo 4_CF_FRA'!A68,'Anexo 4_CF_FRA'!$I$18:$I$57)</f>
        <v>90746645.032280415</v>
      </c>
      <c r="C68" s="306">
        <f t="shared" si="4"/>
        <v>7.4837805297949284E-2</v>
      </c>
      <c r="D68" s="15">
        <v>25</v>
      </c>
      <c r="E68" s="782" t="s">
        <v>722</v>
      </c>
      <c r="F68" s="782"/>
      <c r="G68" s="782"/>
      <c r="H68" s="330"/>
    </row>
    <row r="69" spans="1:8" x14ac:dyDescent="0.25">
      <c r="A69" s="307" t="s">
        <v>730</v>
      </c>
      <c r="B69" s="305">
        <f>SUMIF('Anexo 4_CF_FRA'!$A$18:$A$57,'Anexo 4_CF_FRA'!A69,'Anexo 4_CF_FRA'!$I$18:$I$57)</f>
        <v>85430317.188540012</v>
      </c>
      <c r="C69" s="306">
        <f t="shared" si="4"/>
        <v>7.0453485547854036E-2</v>
      </c>
      <c r="D69" s="15">
        <v>20</v>
      </c>
      <c r="E69" s="782" t="s">
        <v>722</v>
      </c>
      <c r="F69" s="782"/>
      <c r="G69" s="782"/>
      <c r="H69" s="330"/>
    </row>
    <row r="70" spans="1:8" x14ac:dyDescent="0.25">
      <c r="A70" s="307" t="s">
        <v>731</v>
      </c>
      <c r="B70" s="305">
        <f>SUMIF('Anexo 4_CF_FRA'!$A$18:$A$57,'Anexo 4_CF_FRA'!A70,'Anexo 4_CF_FRA'!$I$18:$I$57)</f>
        <v>51021896.401429996</v>
      </c>
      <c r="C70" s="306">
        <f t="shared" si="4"/>
        <v>4.2077222220877557E-2</v>
      </c>
      <c r="D70" s="15">
        <v>30</v>
      </c>
      <c r="E70" s="782" t="s">
        <v>732</v>
      </c>
      <c r="F70" s="782"/>
      <c r="G70" s="782"/>
      <c r="H70" s="330"/>
    </row>
    <row r="71" spans="1:8" x14ac:dyDescent="0.25">
      <c r="A71" s="307" t="s">
        <v>733</v>
      </c>
      <c r="B71" s="305">
        <f>SUMIF('Anexo 4_CF_FRA'!$A$18:$A$57,'Anexo 4_CF_FRA'!A71,'Anexo 4_CF_FRA'!$I$18:$I$57)</f>
        <v>42643021.294509999</v>
      </c>
      <c r="C71" s="306">
        <f t="shared" si="4"/>
        <v>3.5167251900272804E-2</v>
      </c>
      <c r="D71" s="15">
        <v>30</v>
      </c>
      <c r="E71" s="782" t="s">
        <v>734</v>
      </c>
      <c r="F71" s="782"/>
      <c r="G71" s="782"/>
      <c r="H71" s="330"/>
    </row>
    <row r="72" spans="1:8" x14ac:dyDescent="0.25">
      <c r="A72" s="307" t="s">
        <v>735</v>
      </c>
      <c r="B72" s="305">
        <f>SUMIF('Anexo 4_CF_FRA'!$A$18:$A$57,'Anexo 4_CF_FRA'!A72,'Anexo 4_CF_FRA'!$I$18:$I$57)</f>
        <v>37615083.154349998</v>
      </c>
      <c r="C72" s="306">
        <f t="shared" si="4"/>
        <v>3.1020764110563582E-2</v>
      </c>
      <c r="D72" s="15">
        <v>22.5</v>
      </c>
      <c r="E72" s="782" t="s">
        <v>736</v>
      </c>
      <c r="F72" s="782"/>
      <c r="G72" s="782"/>
      <c r="H72" s="330"/>
    </row>
    <row r="73" spans="1:8" x14ac:dyDescent="0.25">
      <c r="A73" s="307" t="s">
        <v>737</v>
      </c>
      <c r="B73" s="305">
        <f>SUMIF('Anexo 4_CF_FRA'!$A$18:$A$57,'Anexo 4_CF_FRA'!A73,'Anexo 4_CF_FRA'!$I$18:$I$57)</f>
        <v>20949225.951958053</v>
      </c>
      <c r="C73" s="306">
        <f t="shared" si="4"/>
        <v>1.7276606670997997E-2</v>
      </c>
      <c r="D73" s="15">
        <v>30</v>
      </c>
      <c r="E73" s="782" t="s">
        <v>738</v>
      </c>
      <c r="F73" s="782"/>
      <c r="G73" s="782"/>
      <c r="H73" s="330"/>
    </row>
    <row r="74" spans="1:8" x14ac:dyDescent="0.25">
      <c r="A74" s="307" t="s">
        <v>1257</v>
      </c>
      <c r="B74" s="305">
        <v>4500000</v>
      </c>
      <c r="C74" s="306">
        <f t="shared" si="4"/>
        <v>3.7111027489884155E-3</v>
      </c>
      <c r="D74" s="604">
        <v>20</v>
      </c>
      <c r="E74" s="604" t="s">
        <v>1258</v>
      </c>
      <c r="F74" s="604"/>
      <c r="G74" s="604"/>
      <c r="H74" s="330"/>
    </row>
    <row r="75" spans="1:8" x14ac:dyDescent="0.25">
      <c r="A75" s="308" t="s">
        <v>9</v>
      </c>
      <c r="B75" s="309">
        <f>SUM(B64:B74)</f>
        <v>1212577582.5599613</v>
      </c>
      <c r="C75" s="310">
        <f>SUM(C64:C74)</f>
        <v>1</v>
      </c>
      <c r="D75" s="311">
        <f>SUMPRODUCT(B64:B74,D64:D74)/B75</f>
        <v>29.681744052081211</v>
      </c>
      <c r="E75" s="783"/>
      <c r="F75" s="783"/>
      <c r="G75" s="783"/>
      <c r="H75" s="330"/>
    </row>
    <row r="76" spans="1:8" x14ac:dyDescent="0.25">
      <c r="A76" s="308"/>
      <c r="B76" s="308"/>
      <c r="C76" s="308" t="s">
        <v>739</v>
      </c>
      <c r="D76" s="308">
        <v>30</v>
      </c>
      <c r="E76" s="783" t="s">
        <v>478</v>
      </c>
      <c r="F76" s="783"/>
      <c r="G76" s="783"/>
      <c r="H76" s="330"/>
    </row>
    <row r="77" spans="1:8" x14ac:dyDescent="0.25">
      <c r="B77" s="328"/>
      <c r="C77" s="332"/>
      <c r="D77" s="330"/>
      <c r="E77" s="331"/>
      <c r="F77" s="330"/>
      <c r="G77" s="330"/>
      <c r="H77" s="330"/>
    </row>
    <row r="78" spans="1:8" x14ac:dyDescent="0.25">
      <c r="B78" s="328"/>
      <c r="C78" s="332"/>
      <c r="D78" s="330"/>
      <c r="E78" s="331"/>
      <c r="F78" s="330"/>
      <c r="G78" s="330"/>
      <c r="H78" s="330"/>
    </row>
    <row r="79" spans="1:8" x14ac:dyDescent="0.25">
      <c r="B79" s="328"/>
      <c r="C79" s="332"/>
      <c r="D79" s="330"/>
      <c r="E79" s="331"/>
      <c r="F79" s="330"/>
      <c r="G79" s="330"/>
      <c r="H79" s="330"/>
    </row>
    <row r="80" spans="1:8" x14ac:dyDescent="0.25">
      <c r="B80" s="328"/>
      <c r="C80" s="332"/>
      <c r="D80" s="330"/>
      <c r="E80" s="331"/>
      <c r="F80" s="330"/>
      <c r="G80" s="330"/>
      <c r="H80" s="330"/>
    </row>
    <row r="81" spans="2:8" x14ac:dyDescent="0.25">
      <c r="B81" s="328"/>
      <c r="C81" s="332"/>
      <c r="D81" s="330"/>
      <c r="E81" s="331"/>
      <c r="F81" s="330"/>
      <c r="G81" s="330"/>
      <c r="H81" s="330"/>
    </row>
    <row r="82" spans="2:8" x14ac:dyDescent="0.25">
      <c r="B82" s="328"/>
      <c r="C82" s="332"/>
      <c r="D82" s="330"/>
      <c r="E82" s="331"/>
      <c r="F82" s="330"/>
      <c r="G82" s="330"/>
      <c r="H82" s="330"/>
    </row>
    <row r="83" spans="2:8" x14ac:dyDescent="0.25">
      <c r="B83" s="328"/>
      <c r="C83" s="332"/>
      <c r="D83" s="330"/>
      <c r="E83" s="331"/>
      <c r="F83" s="330"/>
      <c r="G83" s="330"/>
      <c r="H83" s="330"/>
    </row>
    <row r="84" spans="2:8" x14ac:dyDescent="0.25">
      <c r="B84" s="328"/>
      <c r="C84" s="332"/>
      <c r="D84" s="483"/>
      <c r="E84" s="331"/>
      <c r="F84" s="330"/>
      <c r="G84" s="330"/>
      <c r="H84" s="330"/>
    </row>
    <row r="85" spans="2:8" x14ac:dyDescent="0.25">
      <c r="B85" s="328"/>
      <c r="C85" s="332"/>
      <c r="D85" s="330"/>
      <c r="E85" s="331"/>
      <c r="F85" s="330"/>
      <c r="G85" s="330"/>
      <c r="H85" s="330"/>
    </row>
    <row r="86" spans="2:8" x14ac:dyDescent="0.25">
      <c r="B86" s="328"/>
      <c r="C86" s="332"/>
      <c r="D86" s="330"/>
      <c r="E86" s="331"/>
      <c r="F86" s="330"/>
      <c r="G86" s="330"/>
      <c r="H86" s="330"/>
    </row>
    <row r="87" spans="2:8" x14ac:dyDescent="0.25">
      <c r="B87" s="328"/>
      <c r="C87" s="332"/>
      <c r="D87" s="330"/>
      <c r="E87" s="331"/>
      <c r="F87" s="330"/>
      <c r="G87" s="330"/>
      <c r="H87" s="330"/>
    </row>
    <row r="88" spans="2:8" x14ac:dyDescent="0.25">
      <c r="B88" s="328"/>
      <c r="C88" s="332"/>
      <c r="D88" s="330"/>
      <c r="E88" s="331"/>
      <c r="F88" s="330"/>
      <c r="G88" s="330"/>
      <c r="H88" s="330"/>
    </row>
    <row r="89" spans="2:8" x14ac:dyDescent="0.25">
      <c r="B89" s="328"/>
      <c r="C89" s="332"/>
      <c r="D89" s="330"/>
      <c r="E89" s="331"/>
      <c r="F89" s="330"/>
      <c r="G89" s="330"/>
      <c r="H89" s="330"/>
    </row>
    <row r="90" spans="2:8" x14ac:dyDescent="0.25">
      <c r="B90" s="328"/>
      <c r="C90" s="332"/>
      <c r="D90" s="330"/>
      <c r="E90" s="331"/>
      <c r="F90" s="330"/>
      <c r="G90" s="330"/>
      <c r="H90" s="330"/>
    </row>
  </sheetData>
  <mergeCells count="20">
    <mergeCell ref="E72:G72"/>
    <mergeCell ref="E73:G73"/>
    <mergeCell ref="E75:G75"/>
    <mergeCell ref="E76:G76"/>
    <mergeCell ref="E67:G67"/>
    <mergeCell ref="E68:G68"/>
    <mergeCell ref="E69:G69"/>
    <mergeCell ref="E70:G70"/>
    <mergeCell ref="E71:G71"/>
    <mergeCell ref="E63:G63"/>
    <mergeCell ref="E64:G64"/>
    <mergeCell ref="E65:G65"/>
    <mergeCell ref="E66:G66"/>
    <mergeCell ref="B58:D58"/>
    <mergeCell ref="B37:D37"/>
    <mergeCell ref="B19:B20"/>
    <mergeCell ref="B15:G15"/>
    <mergeCell ref="B17:D17"/>
    <mergeCell ref="C19:C20"/>
    <mergeCell ref="B25:D25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5"/>
  <sheetViews>
    <sheetView showGridLines="0" workbookViewId="0">
      <selection activeCell="G27" sqref="G27"/>
    </sheetView>
  </sheetViews>
  <sheetFormatPr defaultRowHeight="15" x14ac:dyDescent="0.25"/>
  <cols>
    <col min="1" max="1" width="4.5703125" customWidth="1"/>
    <col min="2" max="2" width="33.42578125" bestFit="1" customWidth="1"/>
    <col min="3" max="3" width="19.140625" bestFit="1" customWidth="1"/>
    <col min="5" max="5" width="10.7109375" bestFit="1" customWidth="1"/>
    <col min="6" max="6" width="15.28515625" bestFit="1" customWidth="1"/>
    <col min="7" max="7" width="27.7109375" bestFit="1" customWidth="1"/>
    <col min="8" max="8" width="16.85546875" bestFit="1" customWidth="1"/>
  </cols>
  <sheetData>
    <row r="15" spans="8:8" x14ac:dyDescent="0.25">
      <c r="H15" s="333"/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7"/>
  <sheetViews>
    <sheetView showGridLines="0" workbookViewId="0">
      <selection activeCell="O11" sqref="O11"/>
    </sheetView>
  </sheetViews>
  <sheetFormatPr defaultColWidth="12.5703125" defaultRowHeight="15" x14ac:dyDescent="0.25"/>
  <cols>
    <col min="1" max="1" width="9.5703125" customWidth="1"/>
    <col min="2" max="2" width="45" customWidth="1"/>
    <col min="3" max="3" width="13.140625" customWidth="1"/>
    <col min="4" max="4" width="17" customWidth="1"/>
    <col min="5" max="5" width="18" customWidth="1"/>
    <col min="6" max="6" width="12" customWidth="1"/>
    <col min="7" max="7" width="14.7109375" customWidth="1"/>
    <col min="8" max="8" width="13.140625" customWidth="1"/>
    <col min="9" max="9" width="16.28515625" customWidth="1"/>
    <col min="10" max="10" width="13.7109375" customWidth="1"/>
    <col min="11" max="11" width="5.28515625" customWidth="1"/>
    <col min="12" max="12" width="8.42578125" customWidth="1"/>
    <col min="13" max="13" width="37.7109375" customWidth="1"/>
    <col min="14" max="14" width="12.5703125" customWidth="1"/>
  </cols>
  <sheetData>
    <row r="2" spans="1:19" ht="38.25" x14ac:dyDescent="0.25">
      <c r="A2" s="784" t="s">
        <v>41</v>
      </c>
      <c r="B2" s="784" t="s">
        <v>354</v>
      </c>
      <c r="C2" s="784" t="s">
        <v>40</v>
      </c>
      <c r="D2" s="784" t="s">
        <v>362</v>
      </c>
      <c r="E2" s="39" t="s">
        <v>361</v>
      </c>
      <c r="F2" s="39" t="s">
        <v>360</v>
      </c>
      <c r="G2" s="39" t="s">
        <v>359</v>
      </c>
      <c r="H2" s="39" t="s">
        <v>358</v>
      </c>
      <c r="I2" s="39" t="s">
        <v>357</v>
      </c>
      <c r="J2" s="784" t="s">
        <v>356</v>
      </c>
      <c r="L2" t="s">
        <v>355</v>
      </c>
    </row>
    <row r="3" spans="1:19" ht="15" customHeight="1" x14ac:dyDescent="0.25">
      <c r="A3" s="784"/>
      <c r="B3" s="784"/>
      <c r="C3" s="784"/>
      <c r="D3" s="784"/>
      <c r="E3" s="38">
        <v>0.73570000000000002</v>
      </c>
      <c r="F3" s="38">
        <v>0.2177</v>
      </c>
      <c r="G3" s="38">
        <v>0.15</v>
      </c>
      <c r="H3" s="38">
        <v>0.3</v>
      </c>
      <c r="I3" s="38">
        <v>0.21</v>
      </c>
      <c r="J3" s="784"/>
      <c r="L3" s="39" t="s">
        <v>41</v>
      </c>
      <c r="M3" s="39" t="s">
        <v>354</v>
      </c>
      <c r="N3" s="39" t="s">
        <v>40</v>
      </c>
      <c r="O3" s="39" t="s">
        <v>353</v>
      </c>
      <c r="P3" s="39" t="s">
        <v>352</v>
      </c>
      <c r="Q3" s="39" t="s">
        <v>351</v>
      </c>
      <c r="R3" s="39" t="s">
        <v>2</v>
      </c>
    </row>
    <row r="4" spans="1:19" x14ac:dyDescent="0.25">
      <c r="A4" s="35">
        <v>1</v>
      </c>
      <c r="B4" s="36" t="s">
        <v>350</v>
      </c>
      <c r="C4" s="35">
        <v>36</v>
      </c>
      <c r="D4" s="147">
        <v>3439.84</v>
      </c>
      <c r="E4" s="146">
        <f t="shared" ref="E4:E19" si="0">D4*$E$3</f>
        <v>2530.6902880000002</v>
      </c>
      <c r="F4" s="146">
        <f t="shared" ref="F4:F19" si="1">D4*$F$3</f>
        <v>748.8531680000001</v>
      </c>
      <c r="G4" s="146">
        <f>D4*$G$3</f>
        <v>515.976</v>
      </c>
      <c r="H4" s="146">
        <f>D4*$H$3</f>
        <v>1031.952</v>
      </c>
      <c r="I4" s="146">
        <v>0</v>
      </c>
      <c r="J4" s="146">
        <f t="shared" ref="J4:J19" si="2">(SUM(D4:I4)*C4*12)</f>
        <v>3571478.5489919996</v>
      </c>
      <c r="L4" s="7">
        <v>1</v>
      </c>
      <c r="M4" s="36" t="s">
        <v>349</v>
      </c>
      <c r="N4" s="152">
        <v>1440</v>
      </c>
      <c r="O4" s="152">
        <f>P26</f>
        <v>300</v>
      </c>
      <c r="P4" s="152"/>
      <c r="Q4" s="151" t="s">
        <v>60</v>
      </c>
      <c r="R4" s="150">
        <f>N4*O4</f>
        <v>432000</v>
      </c>
    </row>
    <row r="5" spans="1:19" x14ac:dyDescent="0.25">
      <c r="A5" s="35">
        <v>2</v>
      </c>
      <c r="B5" s="36" t="s">
        <v>348</v>
      </c>
      <c r="C5" s="35">
        <v>36</v>
      </c>
      <c r="D5" s="147">
        <v>3439.84</v>
      </c>
      <c r="E5" s="146">
        <f t="shared" si="0"/>
        <v>2530.6902880000002</v>
      </c>
      <c r="F5" s="146">
        <f t="shared" si="1"/>
        <v>748.8531680000001</v>
      </c>
      <c r="G5" s="146">
        <f>D5*$G$3</f>
        <v>515.976</v>
      </c>
      <c r="H5" s="146">
        <f>D5*$H$3</f>
        <v>1031.952</v>
      </c>
      <c r="I5" s="146">
        <f>D5*(8/12)*$I$3</f>
        <v>481.57759999999996</v>
      </c>
      <c r="J5" s="146">
        <f t="shared" si="2"/>
        <v>3779520.0721920002</v>
      </c>
      <c r="L5" s="7">
        <v>2</v>
      </c>
      <c r="M5" s="36" t="s">
        <v>347</v>
      </c>
      <c r="N5" s="152">
        <v>180</v>
      </c>
      <c r="O5" s="152">
        <f>N37</f>
        <v>400</v>
      </c>
      <c r="P5" s="152"/>
      <c r="Q5" s="151" t="s">
        <v>328</v>
      </c>
      <c r="R5" s="150">
        <f t="shared" ref="R5:R11" si="3">O5*N5</f>
        <v>72000</v>
      </c>
    </row>
    <row r="6" spans="1:19" x14ac:dyDescent="0.25">
      <c r="A6" s="35">
        <v>3</v>
      </c>
      <c r="B6" s="36" t="s">
        <v>346</v>
      </c>
      <c r="C6" s="35">
        <f>57+46+9+29</f>
        <v>141</v>
      </c>
      <c r="D6" s="147">
        <v>1616.11</v>
      </c>
      <c r="E6" s="146">
        <f t="shared" si="0"/>
        <v>1188.972127</v>
      </c>
      <c r="F6" s="146">
        <f t="shared" si="1"/>
        <v>351.82714699999997</v>
      </c>
      <c r="G6" s="146">
        <v>0</v>
      </c>
      <c r="H6" s="146">
        <v>0</v>
      </c>
      <c r="I6" s="146">
        <v>0</v>
      </c>
      <c r="J6" s="146">
        <f t="shared" si="2"/>
        <v>5341490.4916079994</v>
      </c>
      <c r="L6" s="7">
        <v>3</v>
      </c>
      <c r="M6" s="36" t="s">
        <v>345</v>
      </c>
      <c r="N6" s="152">
        <v>180</v>
      </c>
      <c r="O6" s="152">
        <f>15.61*8</f>
        <v>124.88</v>
      </c>
      <c r="P6" s="152" t="s">
        <v>344</v>
      </c>
      <c r="Q6" s="151" t="s">
        <v>328</v>
      </c>
      <c r="R6" s="150">
        <f t="shared" si="3"/>
        <v>22478.399999999998</v>
      </c>
    </row>
    <row r="7" spans="1:19" x14ac:dyDescent="0.25">
      <c r="A7" s="35">
        <v>3</v>
      </c>
      <c r="B7" s="36" t="s">
        <v>343</v>
      </c>
      <c r="C7" s="35">
        <v>4</v>
      </c>
      <c r="D7" s="147">
        <v>3439.84</v>
      </c>
      <c r="E7" s="146">
        <f t="shared" si="0"/>
        <v>2530.6902880000002</v>
      </c>
      <c r="F7" s="146">
        <f t="shared" si="1"/>
        <v>748.8531680000001</v>
      </c>
      <c r="G7" s="146">
        <v>0</v>
      </c>
      <c r="H7" s="146">
        <f t="shared" ref="H7:H18" si="4">D7*$H$3</f>
        <v>1031.952</v>
      </c>
      <c r="I7" s="146">
        <v>0</v>
      </c>
      <c r="J7" s="146">
        <f t="shared" si="2"/>
        <v>372064.10188799998</v>
      </c>
      <c r="L7" s="7">
        <v>4</v>
      </c>
      <c r="M7" s="36" t="s">
        <v>342</v>
      </c>
      <c r="N7" s="152">
        <v>180</v>
      </c>
      <c r="O7" s="152">
        <f>19.16*8</f>
        <v>153.28</v>
      </c>
      <c r="P7" s="152" t="s">
        <v>341</v>
      </c>
      <c r="Q7" s="151" t="s">
        <v>328</v>
      </c>
      <c r="R7" s="150">
        <f t="shared" si="3"/>
        <v>27590.400000000001</v>
      </c>
      <c r="S7" t="s">
        <v>1274</v>
      </c>
    </row>
    <row r="8" spans="1:19" x14ac:dyDescent="0.25">
      <c r="A8" s="35">
        <v>4</v>
      </c>
      <c r="B8" s="36" t="s">
        <v>340</v>
      </c>
      <c r="C8" s="35">
        <v>6</v>
      </c>
      <c r="D8" s="147">
        <v>3455.15</v>
      </c>
      <c r="E8" s="146">
        <f t="shared" si="0"/>
        <v>2541.9538550000002</v>
      </c>
      <c r="F8" s="146">
        <f t="shared" si="1"/>
        <v>752.18615499999999</v>
      </c>
      <c r="G8" s="146">
        <v>0</v>
      </c>
      <c r="H8" s="146">
        <f t="shared" si="4"/>
        <v>1036.5450000000001</v>
      </c>
      <c r="I8" s="146">
        <v>0</v>
      </c>
      <c r="J8" s="146">
        <f t="shared" si="2"/>
        <v>560580.12072000001</v>
      </c>
      <c r="L8" s="7">
        <v>5</v>
      </c>
      <c r="M8" s="36" t="s">
        <v>339</v>
      </c>
      <c r="N8" s="152">
        <v>180</v>
      </c>
      <c r="O8" s="152">
        <f>54.63*8</f>
        <v>437.04</v>
      </c>
      <c r="P8" s="152" t="s">
        <v>338</v>
      </c>
      <c r="Q8" s="151" t="s">
        <v>328</v>
      </c>
      <c r="R8" s="150">
        <f t="shared" si="3"/>
        <v>78667.199999999997</v>
      </c>
      <c r="S8" t="s">
        <v>1274</v>
      </c>
    </row>
    <row r="9" spans="1:19" x14ac:dyDescent="0.25">
      <c r="A9" s="35">
        <v>5</v>
      </c>
      <c r="B9" s="36" t="s">
        <v>337</v>
      </c>
      <c r="C9" s="35">
        <v>8</v>
      </c>
      <c r="D9" s="147">
        <v>2062.59</v>
      </c>
      <c r="E9" s="146">
        <f t="shared" si="0"/>
        <v>1517.4474630000002</v>
      </c>
      <c r="F9" s="146">
        <f t="shared" si="1"/>
        <v>449.02584300000007</v>
      </c>
      <c r="G9" s="146">
        <v>0</v>
      </c>
      <c r="H9" s="146">
        <f t="shared" si="4"/>
        <v>618.77700000000004</v>
      </c>
      <c r="I9" s="146">
        <v>0</v>
      </c>
      <c r="J9" s="146">
        <f t="shared" si="2"/>
        <v>446192.66937600001</v>
      </c>
      <c r="L9" s="7">
        <v>6</v>
      </c>
      <c r="M9" s="36" t="s">
        <v>336</v>
      </c>
      <c r="N9" s="152">
        <v>180</v>
      </c>
      <c r="O9" s="152">
        <f>19.27*8</f>
        <v>154.16</v>
      </c>
      <c r="P9" s="152" t="s">
        <v>335</v>
      </c>
      <c r="Q9" s="151" t="s">
        <v>328</v>
      </c>
      <c r="R9" s="150">
        <f t="shared" si="3"/>
        <v>27748.799999999999</v>
      </c>
      <c r="S9" t="s">
        <v>1274</v>
      </c>
    </row>
    <row r="10" spans="1:19" x14ac:dyDescent="0.25">
      <c r="A10" s="35">
        <v>6</v>
      </c>
      <c r="B10" s="36" t="s">
        <v>334</v>
      </c>
      <c r="C10" s="35">
        <v>4</v>
      </c>
      <c r="D10" s="147">
        <v>3439.84</v>
      </c>
      <c r="E10" s="146">
        <f t="shared" si="0"/>
        <v>2530.6902880000002</v>
      </c>
      <c r="F10" s="146">
        <f t="shared" si="1"/>
        <v>748.8531680000001</v>
      </c>
      <c r="G10" s="146">
        <v>0</v>
      </c>
      <c r="H10" s="146">
        <f t="shared" si="4"/>
        <v>1031.952</v>
      </c>
      <c r="I10" s="146">
        <v>0</v>
      </c>
      <c r="J10" s="146">
        <f t="shared" si="2"/>
        <v>372064.10188799998</v>
      </c>
      <c r="L10" s="7">
        <v>7</v>
      </c>
      <c r="M10" s="36" t="s">
        <v>333</v>
      </c>
      <c r="N10" s="152">
        <v>180</v>
      </c>
      <c r="O10" s="152">
        <f>19.2*8</f>
        <v>153.6</v>
      </c>
      <c r="P10" s="152" t="s">
        <v>332</v>
      </c>
      <c r="Q10" s="151" t="s">
        <v>328</v>
      </c>
      <c r="R10" s="150">
        <f t="shared" si="3"/>
        <v>27648</v>
      </c>
      <c r="S10" t="s">
        <v>1274</v>
      </c>
    </row>
    <row r="11" spans="1:19" x14ac:dyDescent="0.25">
      <c r="A11" s="35">
        <v>7</v>
      </c>
      <c r="B11" s="36" t="s">
        <v>331</v>
      </c>
      <c r="C11" s="35">
        <v>2</v>
      </c>
      <c r="D11" s="147">
        <v>2062.59</v>
      </c>
      <c r="E11" s="146">
        <f t="shared" si="0"/>
        <v>1517.4474630000002</v>
      </c>
      <c r="F11" s="146">
        <f t="shared" si="1"/>
        <v>449.02584300000007</v>
      </c>
      <c r="G11" s="146">
        <v>0</v>
      </c>
      <c r="H11" s="146">
        <f t="shared" si="4"/>
        <v>618.77700000000004</v>
      </c>
      <c r="I11" s="146">
        <v>0</v>
      </c>
      <c r="J11" s="146">
        <f t="shared" si="2"/>
        <v>111548.167344</v>
      </c>
      <c r="L11" s="7">
        <v>8</v>
      </c>
      <c r="M11" s="36" t="s">
        <v>330</v>
      </c>
      <c r="N11" s="152">
        <v>180</v>
      </c>
      <c r="O11" s="152">
        <f>15.2*8</f>
        <v>121.6</v>
      </c>
      <c r="P11" s="152" t="s">
        <v>329</v>
      </c>
      <c r="Q11" s="151" t="s">
        <v>328</v>
      </c>
      <c r="R11" s="150">
        <f t="shared" si="3"/>
        <v>21888</v>
      </c>
      <c r="S11" t="s">
        <v>1274</v>
      </c>
    </row>
    <row r="12" spans="1:19" x14ac:dyDescent="0.25">
      <c r="A12" s="35">
        <v>8</v>
      </c>
      <c r="B12" s="36" t="s">
        <v>327</v>
      </c>
      <c r="C12" s="35">
        <v>6</v>
      </c>
      <c r="D12" s="147">
        <v>3439.84</v>
      </c>
      <c r="E12" s="146">
        <f t="shared" si="0"/>
        <v>2530.6902880000002</v>
      </c>
      <c r="F12" s="146">
        <f t="shared" si="1"/>
        <v>748.8531680000001</v>
      </c>
      <c r="G12" s="146">
        <v>0</v>
      </c>
      <c r="H12" s="146">
        <f t="shared" si="4"/>
        <v>1031.952</v>
      </c>
      <c r="I12" s="146">
        <v>0</v>
      </c>
      <c r="J12" s="146">
        <f t="shared" si="2"/>
        <v>558096.15283199993</v>
      </c>
      <c r="N12" s="149"/>
      <c r="O12" s="149"/>
      <c r="P12" s="149"/>
      <c r="Q12" s="149"/>
      <c r="R12" s="148">
        <f>SUM(R4:R11)</f>
        <v>710020.8</v>
      </c>
    </row>
    <row r="13" spans="1:19" x14ac:dyDescent="0.25">
      <c r="A13" s="35">
        <v>9</v>
      </c>
      <c r="B13" s="36" t="s">
        <v>326</v>
      </c>
      <c r="C13" s="35">
        <v>2</v>
      </c>
      <c r="D13" s="147">
        <v>10290.76</v>
      </c>
      <c r="E13" s="146">
        <f t="shared" si="0"/>
        <v>7570.9121320000004</v>
      </c>
      <c r="F13" s="146">
        <f t="shared" si="1"/>
        <v>2240.298452</v>
      </c>
      <c r="G13" s="146">
        <v>0</v>
      </c>
      <c r="H13" s="146">
        <f t="shared" si="4"/>
        <v>3087.2280000000001</v>
      </c>
      <c r="I13" s="146">
        <v>0</v>
      </c>
      <c r="J13" s="146">
        <f t="shared" si="2"/>
        <v>556540.76601599995</v>
      </c>
    </row>
    <row r="14" spans="1:19" x14ac:dyDescent="0.25">
      <c r="A14" s="35">
        <v>10</v>
      </c>
      <c r="B14" s="36" t="s">
        <v>325</v>
      </c>
      <c r="C14" s="35">
        <v>2</v>
      </c>
      <c r="D14" s="147">
        <v>10290.76</v>
      </c>
      <c r="E14" s="146">
        <f t="shared" si="0"/>
        <v>7570.9121320000004</v>
      </c>
      <c r="F14" s="146">
        <f t="shared" si="1"/>
        <v>2240.298452</v>
      </c>
      <c r="G14" s="146">
        <v>0</v>
      </c>
      <c r="H14" s="146">
        <f t="shared" si="4"/>
        <v>3087.2280000000001</v>
      </c>
      <c r="I14" s="146">
        <v>0</v>
      </c>
      <c r="J14" s="146">
        <f t="shared" si="2"/>
        <v>556540.76601599995</v>
      </c>
    </row>
    <row r="15" spans="1:19" x14ac:dyDescent="0.25">
      <c r="A15" s="35">
        <v>11</v>
      </c>
      <c r="B15" s="36" t="s">
        <v>324</v>
      </c>
      <c r="C15" s="35">
        <v>2</v>
      </c>
      <c r="D15" s="147">
        <v>10290.76</v>
      </c>
      <c r="E15" s="146">
        <f t="shared" si="0"/>
        <v>7570.9121320000004</v>
      </c>
      <c r="F15" s="146">
        <f t="shared" si="1"/>
        <v>2240.298452</v>
      </c>
      <c r="G15" s="146">
        <v>0</v>
      </c>
      <c r="H15" s="146">
        <f t="shared" si="4"/>
        <v>3087.2280000000001</v>
      </c>
      <c r="I15" s="146">
        <v>0</v>
      </c>
      <c r="J15" s="146">
        <f t="shared" si="2"/>
        <v>556540.76601599995</v>
      </c>
      <c r="M15" s="39" t="s">
        <v>323</v>
      </c>
      <c r="N15" s="39" t="s">
        <v>322</v>
      </c>
      <c r="O15" s="39" t="s">
        <v>321</v>
      </c>
      <c r="P15" s="39" t="s">
        <v>301</v>
      </c>
    </row>
    <row r="16" spans="1:19" x14ac:dyDescent="0.25">
      <c r="A16" s="35">
        <v>12</v>
      </c>
      <c r="B16" s="36" t="s">
        <v>320</v>
      </c>
      <c r="C16" s="35">
        <v>2</v>
      </c>
      <c r="D16" s="147">
        <v>10290.76</v>
      </c>
      <c r="E16" s="146">
        <f t="shared" si="0"/>
        <v>7570.9121320000004</v>
      </c>
      <c r="F16" s="146">
        <f t="shared" si="1"/>
        <v>2240.298452</v>
      </c>
      <c r="G16" s="146">
        <v>0</v>
      </c>
      <c r="H16" s="146">
        <f t="shared" si="4"/>
        <v>3087.2280000000001</v>
      </c>
      <c r="I16" s="146">
        <v>0</v>
      </c>
      <c r="J16" s="146">
        <f t="shared" si="2"/>
        <v>556540.76601599995</v>
      </c>
      <c r="M16" s="7" t="s">
        <v>319</v>
      </c>
      <c r="N16" s="143">
        <f>18343.79/176</f>
        <v>104.22607954545455</v>
      </c>
      <c r="O16" s="142">
        <v>40</v>
      </c>
      <c r="P16" s="142">
        <f>N16*O16</f>
        <v>4169.0431818181823</v>
      </c>
    </row>
    <row r="17" spans="1:16" x14ac:dyDescent="0.25">
      <c r="A17" s="35">
        <v>13</v>
      </c>
      <c r="B17" s="36" t="s">
        <v>318</v>
      </c>
      <c r="C17" s="35">
        <v>73</v>
      </c>
      <c r="D17" s="147">
        <v>1647.11</v>
      </c>
      <c r="E17" s="146">
        <f t="shared" si="0"/>
        <v>1211.7788269999999</v>
      </c>
      <c r="F17" s="146">
        <f t="shared" si="1"/>
        <v>358.57584700000001</v>
      </c>
      <c r="G17" s="146">
        <f>D17*$G$3</f>
        <v>247.06649999999996</v>
      </c>
      <c r="H17" s="146">
        <f t="shared" si="4"/>
        <v>494.13299999999992</v>
      </c>
      <c r="I17" s="146">
        <v>0</v>
      </c>
      <c r="J17" s="146">
        <f t="shared" si="2"/>
        <v>3467789.8164240001</v>
      </c>
      <c r="M17" s="7" t="s">
        <v>317</v>
      </c>
      <c r="N17" s="143"/>
      <c r="O17" s="142"/>
      <c r="P17" s="142">
        <f>P16*20%</f>
        <v>833.80863636363654</v>
      </c>
    </row>
    <row r="18" spans="1:16" x14ac:dyDescent="0.25">
      <c r="A18" s="35">
        <v>14</v>
      </c>
      <c r="B18" s="36" t="s">
        <v>316</v>
      </c>
      <c r="C18" s="35">
        <v>73</v>
      </c>
      <c r="D18" s="147">
        <v>1647.11</v>
      </c>
      <c r="E18" s="146">
        <f t="shared" si="0"/>
        <v>1211.7788269999999</v>
      </c>
      <c r="F18" s="146">
        <f t="shared" si="1"/>
        <v>358.57584700000001</v>
      </c>
      <c r="G18" s="146">
        <f>D18*$G$3</f>
        <v>247.06649999999996</v>
      </c>
      <c r="H18" s="146">
        <f t="shared" si="4"/>
        <v>494.13299999999992</v>
      </c>
      <c r="I18" s="146">
        <f>D18*(8/12)*$I$3</f>
        <v>230.59539999999998</v>
      </c>
      <c r="J18" s="146">
        <f t="shared" si="2"/>
        <v>3669791.3868239997</v>
      </c>
      <c r="M18" s="7" t="s">
        <v>304</v>
      </c>
      <c r="N18" s="143"/>
      <c r="O18" s="142"/>
      <c r="P18" s="142">
        <f>(P16+P17)*30%</f>
        <v>1500.8555454545456</v>
      </c>
    </row>
    <row r="19" spans="1:16" ht="18.95" customHeight="1" x14ac:dyDescent="0.25">
      <c r="A19" s="35">
        <v>15</v>
      </c>
      <c r="B19" s="36" t="s">
        <v>315</v>
      </c>
      <c r="C19" s="35">
        <v>8</v>
      </c>
      <c r="D19" s="147">
        <v>2062.59</v>
      </c>
      <c r="E19" s="146">
        <f t="shared" si="0"/>
        <v>1517.4474630000002</v>
      </c>
      <c r="F19" s="146">
        <f t="shared" si="1"/>
        <v>449.02584300000007</v>
      </c>
      <c r="G19" s="146">
        <v>0</v>
      </c>
      <c r="H19" s="146">
        <v>0</v>
      </c>
      <c r="I19" s="146">
        <v>0</v>
      </c>
      <c r="J19" s="146">
        <f t="shared" si="2"/>
        <v>386790.07737600006</v>
      </c>
      <c r="M19" s="7" t="s">
        <v>303</v>
      </c>
      <c r="N19" s="143"/>
      <c r="O19" s="142"/>
      <c r="P19" s="142">
        <f>SUM(P16:P18)*12%</f>
        <v>780.44488363636378</v>
      </c>
    </row>
    <row r="20" spans="1:16" x14ac:dyDescent="0.25">
      <c r="A20" s="418" t="s">
        <v>301</v>
      </c>
      <c r="B20" s="418" t="s">
        <v>301</v>
      </c>
      <c r="C20" s="419">
        <f>SUM(C4:C19)</f>
        <v>405</v>
      </c>
      <c r="D20" s="419"/>
      <c r="E20" s="419"/>
      <c r="F20" s="419"/>
      <c r="G20" s="147"/>
      <c r="H20" s="146"/>
      <c r="I20" s="146"/>
      <c r="J20" s="401">
        <f>SUM(J4:J19)</f>
        <v>24863568.771527998</v>
      </c>
      <c r="M20" s="7" t="s">
        <v>302</v>
      </c>
      <c r="N20" s="143"/>
      <c r="O20" s="142"/>
      <c r="P20" s="142">
        <f>SUM(P16:P19)*16.62%</f>
        <v>1210.6261034967276</v>
      </c>
    </row>
    <row r="21" spans="1:16" x14ac:dyDescent="0.25">
      <c r="A21" s="7"/>
      <c r="B21" s="36" t="s">
        <v>314</v>
      </c>
      <c r="C21" s="7"/>
      <c r="D21" s="7"/>
      <c r="E21" s="7"/>
      <c r="F21" s="146"/>
      <c r="G21" s="7"/>
      <c r="H21" s="7"/>
      <c r="I21" s="7"/>
      <c r="J21" s="147">
        <f>1.5%*J20</f>
        <v>372953.53157291998</v>
      </c>
      <c r="M21" s="7" t="s">
        <v>313</v>
      </c>
      <c r="N21" s="143">
        <v>1000</v>
      </c>
      <c r="O21" s="142">
        <v>1</v>
      </c>
      <c r="P21" s="142">
        <f>N21*O21</f>
        <v>1000</v>
      </c>
    </row>
    <row r="22" spans="1:16" x14ac:dyDescent="0.25">
      <c r="A22" s="7"/>
      <c r="B22" s="36" t="s">
        <v>312</v>
      </c>
      <c r="C22" s="7"/>
      <c r="D22" s="7"/>
      <c r="E22" s="7"/>
      <c r="F22" s="7"/>
      <c r="G22" s="7"/>
      <c r="H22" s="7"/>
      <c r="I22" s="7"/>
      <c r="J22" s="146">
        <f>R12</f>
        <v>710020.8</v>
      </c>
      <c r="M22" s="7" t="s">
        <v>311</v>
      </c>
      <c r="N22" s="143">
        <v>250</v>
      </c>
      <c r="O22" s="142">
        <v>4.5</v>
      </c>
      <c r="P22" s="142">
        <f>N22*O22</f>
        <v>1125</v>
      </c>
    </row>
    <row r="23" spans="1:16" x14ac:dyDescent="0.25">
      <c r="A23" s="7"/>
      <c r="B23" s="420" t="s">
        <v>9</v>
      </c>
      <c r="C23" s="7"/>
      <c r="D23" s="7"/>
      <c r="E23" s="7"/>
      <c r="F23" s="7"/>
      <c r="G23" s="7"/>
      <c r="H23" s="7"/>
      <c r="I23" s="7"/>
      <c r="J23" s="401">
        <f>J20+J21+J22</f>
        <v>25946543.103100918</v>
      </c>
      <c r="M23" s="7" t="s">
        <v>310</v>
      </c>
      <c r="N23" s="143">
        <v>250</v>
      </c>
      <c r="O23" s="142">
        <v>4.5</v>
      </c>
      <c r="P23" s="142">
        <f>N23*O23</f>
        <v>1125</v>
      </c>
    </row>
    <row r="24" spans="1:16" ht="12.95" customHeight="1" x14ac:dyDescent="0.25">
      <c r="M24" s="7" t="s">
        <v>301</v>
      </c>
      <c r="P24" s="142">
        <f>SUM(P16:P23)</f>
        <v>11744.778350769457</v>
      </c>
    </row>
    <row r="25" spans="1:16" x14ac:dyDescent="0.25">
      <c r="M25" s="7" t="s">
        <v>309</v>
      </c>
      <c r="P25" s="142">
        <f>P24/40</f>
        <v>293.61945876923642</v>
      </c>
    </row>
    <row r="26" spans="1:16" x14ac:dyDescent="0.25">
      <c r="M26" s="7" t="s">
        <v>308</v>
      </c>
      <c r="P26" s="142">
        <v>300</v>
      </c>
    </row>
    <row r="29" spans="1:16" x14ac:dyDescent="0.25">
      <c r="M29" s="39" t="s">
        <v>307</v>
      </c>
      <c r="N29" s="39" t="s">
        <v>301</v>
      </c>
    </row>
    <row r="30" spans="1:16" x14ac:dyDescent="0.25">
      <c r="M30" s="7" t="s">
        <v>306</v>
      </c>
      <c r="N30" s="142">
        <f>D8</f>
        <v>3455.15</v>
      </c>
    </row>
    <row r="31" spans="1:16" x14ac:dyDescent="0.25">
      <c r="M31" s="7" t="s">
        <v>305</v>
      </c>
      <c r="N31" s="142">
        <f>N30*84%</f>
        <v>2902.326</v>
      </c>
    </row>
    <row r="32" spans="1:16" x14ac:dyDescent="0.25">
      <c r="M32" s="7" t="s">
        <v>304</v>
      </c>
      <c r="N32" s="142">
        <f>(N30+N31)*30%</f>
        <v>1907.2428</v>
      </c>
    </row>
    <row r="33" spans="13:14" x14ac:dyDescent="0.25">
      <c r="M33" s="7" t="s">
        <v>303</v>
      </c>
      <c r="N33" s="142">
        <f>SUM(N30:N32)*12%</f>
        <v>991.766256</v>
      </c>
    </row>
    <row r="34" spans="13:14" x14ac:dyDescent="0.25">
      <c r="M34" s="7" t="s">
        <v>302</v>
      </c>
      <c r="N34" s="142">
        <f>SUM(N30:N33)*16.62%</f>
        <v>1538.4278163072004</v>
      </c>
    </row>
    <row r="35" spans="13:14" x14ac:dyDescent="0.25">
      <c r="M35" s="7" t="s">
        <v>301</v>
      </c>
      <c r="N35" s="142">
        <f>SUM(N30:N34)</f>
        <v>10794.912872307203</v>
      </c>
    </row>
    <row r="36" spans="13:14" x14ac:dyDescent="0.25">
      <c r="M36" s="7" t="s">
        <v>300</v>
      </c>
      <c r="N36" s="142">
        <f>N35/30</f>
        <v>359.83042907690674</v>
      </c>
    </row>
    <row r="37" spans="13:14" x14ac:dyDescent="0.25">
      <c r="M37" s="7" t="s">
        <v>299</v>
      </c>
      <c r="N37" s="142">
        <v>400</v>
      </c>
    </row>
  </sheetData>
  <mergeCells count="5">
    <mergeCell ref="C2:C3"/>
    <mergeCell ref="D2:D3"/>
    <mergeCell ref="J2:J3"/>
    <mergeCell ref="A2:A3"/>
    <mergeCell ref="B2:B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1"/>
  <sheetViews>
    <sheetView showGridLines="0" workbookViewId="0">
      <selection activeCell="H19" sqref="H19"/>
    </sheetView>
  </sheetViews>
  <sheetFormatPr defaultColWidth="12.5703125" defaultRowHeight="15" x14ac:dyDescent="0.25"/>
  <cols>
    <col min="2" max="2" width="45" customWidth="1"/>
    <col min="4" max="4" width="18.7109375" customWidth="1"/>
    <col min="6" max="6" width="17.85546875" customWidth="1"/>
  </cols>
  <sheetData>
    <row r="1" spans="2:6" x14ac:dyDescent="0.25">
      <c r="B1" s="17" t="s">
        <v>112</v>
      </c>
    </row>
    <row r="2" spans="2:6" x14ac:dyDescent="0.25">
      <c r="B2" s="7"/>
      <c r="C2" s="7" t="s">
        <v>111</v>
      </c>
    </row>
    <row r="3" spans="2:6" x14ac:dyDescent="0.25">
      <c r="B3" s="10" t="s">
        <v>110</v>
      </c>
      <c r="C3" s="146">
        <f>SUM(F9:F12)</f>
        <v>4490400</v>
      </c>
    </row>
    <row r="4" spans="2:6" x14ac:dyDescent="0.25">
      <c r="B4" s="10" t="s">
        <v>109</v>
      </c>
      <c r="C4" s="146">
        <f>F13</f>
        <v>828534</v>
      </c>
    </row>
    <row r="5" spans="2:6" x14ac:dyDescent="0.25">
      <c r="B5" s="10" t="s">
        <v>108</v>
      </c>
      <c r="C5" s="146">
        <f>SUM(C3:C4)</f>
        <v>5318934</v>
      </c>
    </row>
    <row r="6" spans="2:6" ht="15.75" thickBot="1" x14ac:dyDescent="0.3"/>
    <row r="7" spans="2:6" ht="15" customHeight="1" x14ac:dyDescent="0.25">
      <c r="B7" s="785" t="s">
        <v>41</v>
      </c>
      <c r="C7" s="785" t="s">
        <v>40</v>
      </c>
      <c r="D7" s="30" t="s">
        <v>39</v>
      </c>
      <c r="E7" s="30" t="s">
        <v>39</v>
      </c>
      <c r="F7" s="30" t="s">
        <v>39</v>
      </c>
    </row>
    <row r="8" spans="2:6" ht="24" x14ac:dyDescent="0.25">
      <c r="B8" s="786"/>
      <c r="C8" s="786"/>
      <c r="D8" s="29" t="s">
        <v>66</v>
      </c>
      <c r="E8" s="29" t="s">
        <v>37</v>
      </c>
      <c r="F8" s="29" t="s">
        <v>65</v>
      </c>
    </row>
    <row r="9" spans="2:6" x14ac:dyDescent="0.25">
      <c r="B9" s="36" t="s">
        <v>64</v>
      </c>
      <c r="C9" s="35">
        <v>23</v>
      </c>
      <c r="D9" s="34">
        <v>7000</v>
      </c>
      <c r="E9" s="34">
        <f>D9*C9</f>
        <v>161000</v>
      </c>
      <c r="F9" s="34">
        <f>E9*12</f>
        <v>1932000</v>
      </c>
    </row>
    <row r="10" spans="2:6" ht="25.5" x14ac:dyDescent="0.25">
      <c r="B10" s="36" t="s">
        <v>107</v>
      </c>
      <c r="C10" s="35">
        <f>2*9+4+4+8*2</f>
        <v>42</v>
      </c>
      <c r="D10" s="34">
        <v>1600</v>
      </c>
      <c r="E10" s="34">
        <f>D10*C10</f>
        <v>67200</v>
      </c>
      <c r="F10" s="34">
        <f>E10*12</f>
        <v>806400</v>
      </c>
    </row>
    <row r="11" spans="2:6" x14ac:dyDescent="0.25">
      <c r="B11" s="36" t="s">
        <v>106</v>
      </c>
      <c r="C11" s="35">
        <v>16</v>
      </c>
      <c r="D11" s="34">
        <v>3000</v>
      </c>
      <c r="E11" s="34">
        <f>D11*C11</f>
        <v>48000</v>
      </c>
      <c r="F11" s="34">
        <f>E11*12</f>
        <v>576000</v>
      </c>
    </row>
    <row r="12" spans="2:6" ht="25.5" x14ac:dyDescent="0.25">
      <c r="B12" s="36" t="s">
        <v>105</v>
      </c>
      <c r="C12" s="35">
        <v>7</v>
      </c>
      <c r="D12" s="34">
        <v>14000</v>
      </c>
      <c r="E12" s="34">
        <f>D12*C12</f>
        <v>98000</v>
      </c>
      <c r="F12" s="34">
        <f>E12*12</f>
        <v>1176000</v>
      </c>
    </row>
    <row r="13" spans="2:6" x14ac:dyDescent="0.25">
      <c r="B13" s="36" t="s">
        <v>63</v>
      </c>
      <c r="C13" s="7"/>
      <c r="D13" s="7"/>
      <c r="E13" s="7"/>
      <c r="F13" s="34">
        <v>828534</v>
      </c>
    </row>
    <row r="14" spans="2:6" x14ac:dyDescent="0.25">
      <c r="B14" s="420" t="s">
        <v>9</v>
      </c>
      <c r="C14" s="1"/>
      <c r="D14" s="1"/>
      <c r="E14" s="1"/>
      <c r="F14" s="421">
        <f>SUM(F9:F13)</f>
        <v>5318934</v>
      </c>
    </row>
    <row r="15" spans="2:6" ht="15" customHeight="1" x14ac:dyDescent="0.25"/>
    <row r="21" ht="15" customHeight="1" x14ac:dyDescent="0.25"/>
  </sheetData>
  <mergeCells count="2">
    <mergeCell ref="B7:B8"/>
    <mergeCell ref="C7:C8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34</vt:i4>
      </vt:variant>
    </vt:vector>
  </HeadingPairs>
  <TitlesOfParts>
    <vt:vector size="34" baseType="lpstr">
      <vt:lpstr>Tarifa</vt:lpstr>
      <vt:lpstr>Anexo 1_CF_CV Energia Elétrica</vt:lpstr>
      <vt:lpstr>Anexo 2_CF_O&amp;M</vt:lpstr>
      <vt:lpstr>CF_FRA_custos macro e vida útil</vt:lpstr>
      <vt:lpstr>Anexo 3_Custos Ambientais</vt:lpstr>
      <vt:lpstr>Anexo 4_CF_FRA</vt:lpstr>
      <vt:lpstr>CF_Fundo Reposição Ativos</vt:lpstr>
      <vt:lpstr>mão de obra</vt:lpstr>
      <vt:lpstr>Veículos</vt:lpstr>
      <vt:lpstr>Equipamentos</vt:lpstr>
      <vt:lpstr>amoxarifado</vt:lpstr>
      <vt:lpstr>Ferramentas</vt:lpstr>
      <vt:lpstr>Materiais de consumo</vt:lpstr>
      <vt:lpstr>auditoria contabilidade</vt:lpstr>
      <vt:lpstr>incendio</vt:lpstr>
      <vt:lpstr>automação</vt:lpstr>
      <vt:lpstr>helicoptero</vt:lpstr>
      <vt:lpstr>drone</vt:lpstr>
      <vt:lpstr>geomembranas</vt:lpstr>
      <vt:lpstr>linhas transmissão</vt:lpstr>
      <vt:lpstr>subestações</vt:lpstr>
      <vt:lpstr>baixa tensão</vt:lpstr>
      <vt:lpstr>materiais sobressalentes</vt:lpstr>
      <vt:lpstr>aferição medidores de vazão</vt:lpstr>
      <vt:lpstr>apoio rio Piranhas</vt:lpstr>
      <vt:lpstr>Depreciação</vt:lpstr>
      <vt:lpstr>Detalhe Custos Ambientais</vt:lpstr>
      <vt:lpstr>Despesas Adm. e tx adm.</vt:lpstr>
      <vt:lpstr>Anexo 5_Desp Adm</vt:lpstr>
      <vt:lpstr>salarios e encargos ajustada</vt:lpstr>
      <vt:lpstr>Tabela salarial FC Codevasf</vt:lpstr>
      <vt:lpstr>Custos Administrativos - Materi</vt:lpstr>
      <vt:lpstr>Benefícios </vt:lpstr>
      <vt:lpstr>Anexo 7_Tx Adm</vt:lpstr>
    </vt:vector>
  </TitlesOfParts>
  <Company>Agência Nacional de Águas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Maristela de Lourdes Barbosa</cp:lastModifiedBy>
  <dcterms:created xsi:type="dcterms:W3CDTF">2016-04-20T20:02:25Z</dcterms:created>
  <dcterms:modified xsi:type="dcterms:W3CDTF">2018-10-24T13:41:07Z</dcterms:modified>
</cp:coreProperties>
</file>