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aguas-my.sharepoint.com/personal/vandelene_melo_ana_gov_br/Documents/Área de Trabalho/Resoluções feitas/"/>
    </mc:Choice>
  </mc:AlternateContent>
  <xr:revisionPtr revIDLastSave="0" documentId="8_{855B2C5D-5A72-4318-81E2-840FD8447BF1}" xr6:coauthVersionLast="47" xr6:coauthVersionMax="47" xr10:uidLastSave="{00000000-0000-0000-0000-000000000000}"/>
  <bookViews>
    <workbookView xWindow="-165" yWindow="2685" windowWidth="21600" windowHeight="11295" xr2:uid="{00000000-000D-0000-FFFF-FFFF00000000}"/>
  </bookViews>
  <sheets>
    <sheet name="cobranças" sheetId="1" r:id="rId1"/>
    <sheet name="para conjuntura" sheetId="2" r:id="rId2"/>
    <sheet name="para conjuntura1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0">cobranças!$A$1:$EO$103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E9" i="1" l="1"/>
  <c r="EE6" i="1" l="1"/>
  <c r="EE7" i="1" l="1"/>
  <c r="EF73" i="1" l="1"/>
  <c r="EG73" i="1"/>
  <c r="EH73" i="1"/>
  <c r="EI73" i="1"/>
  <c r="EJ73" i="1"/>
  <c r="EK73" i="1"/>
  <c r="DY73" i="1"/>
  <c r="DZ73" i="1"/>
  <c r="EA73" i="1"/>
  <c r="EB73" i="1"/>
  <c r="EC73" i="1"/>
  <c r="ED73" i="1"/>
  <c r="EE5" i="1"/>
  <c r="EE8" i="1"/>
  <c r="EE10" i="1"/>
  <c r="EF11" i="1"/>
  <c r="EG11" i="1"/>
  <c r="EH11" i="1"/>
  <c r="EI11" i="1"/>
  <c r="EJ11" i="1"/>
  <c r="EK11" i="1"/>
  <c r="EL11" i="1"/>
  <c r="EE13" i="1"/>
  <c r="EL13" i="1"/>
  <c r="EE14" i="1"/>
  <c r="EL14" i="1"/>
  <c r="EE15" i="1"/>
  <c r="EL15" i="1"/>
  <c r="EE16" i="1"/>
  <c r="EL16" i="1"/>
  <c r="EE17" i="1"/>
  <c r="EL17" i="1"/>
  <c r="EE18" i="1"/>
  <c r="EL18" i="1"/>
  <c r="EE20" i="1"/>
  <c r="E19" i="3" s="1"/>
  <c r="EL20" i="1"/>
  <c r="F19" i="3" s="1"/>
  <c r="EE21" i="1"/>
  <c r="E20" i="3" s="1"/>
  <c r="EL21" i="1"/>
  <c r="F20" i="3" s="1"/>
  <c r="EE22" i="1"/>
  <c r="EL22" i="1"/>
  <c r="EE23" i="1"/>
  <c r="EL23" i="1"/>
  <c r="EE24" i="1"/>
  <c r="EL24" i="1"/>
  <c r="EE25" i="1"/>
  <c r="EL25" i="1"/>
  <c r="EF26" i="1"/>
  <c r="EG26" i="1"/>
  <c r="EH26" i="1"/>
  <c r="EI26" i="1"/>
  <c r="EJ26" i="1"/>
  <c r="EK26" i="1"/>
  <c r="EE27" i="1"/>
  <c r="EL27" i="1"/>
  <c r="EE28" i="1"/>
  <c r="EL28" i="1"/>
  <c r="EE29" i="1"/>
  <c r="EL29" i="1"/>
  <c r="EE30" i="1"/>
  <c r="EL30" i="1"/>
  <c r="EE31" i="1"/>
  <c r="EL31" i="1"/>
  <c r="EE32" i="1"/>
  <c r="EL32" i="1"/>
  <c r="EE33" i="1"/>
  <c r="EL33" i="1"/>
  <c r="EE34" i="1"/>
  <c r="EL34" i="1"/>
  <c r="EE35" i="1"/>
  <c r="EL35" i="1"/>
  <c r="EE36" i="1"/>
  <c r="EL36" i="1"/>
  <c r="EF37" i="1"/>
  <c r="EG37" i="1"/>
  <c r="EH37" i="1"/>
  <c r="EI37" i="1"/>
  <c r="EJ37" i="1"/>
  <c r="EK37" i="1"/>
  <c r="EL38" i="1"/>
  <c r="EE39" i="1"/>
  <c r="EL39" i="1"/>
  <c r="EE40" i="1"/>
  <c r="EL40" i="1"/>
  <c r="EL41" i="1"/>
  <c r="EL42" i="1"/>
  <c r="EL43" i="1"/>
  <c r="EL44" i="1"/>
  <c r="EL45" i="1"/>
  <c r="EL46" i="1"/>
  <c r="EL47" i="1"/>
  <c r="EL48" i="1"/>
  <c r="EL49" i="1"/>
  <c r="EL50" i="1"/>
  <c r="EL51" i="1"/>
  <c r="EE52" i="1"/>
  <c r="EL52" i="1"/>
  <c r="EL53" i="1"/>
  <c r="EL54" i="1"/>
  <c r="EL55" i="1"/>
  <c r="EL56" i="1"/>
  <c r="EL57" i="1"/>
  <c r="EF58" i="1"/>
  <c r="EG58" i="1"/>
  <c r="EH58" i="1"/>
  <c r="EI58" i="1"/>
  <c r="EJ58" i="1"/>
  <c r="EK58" i="1"/>
  <c r="EF59" i="1"/>
  <c r="EG59" i="1"/>
  <c r="EH59" i="1"/>
  <c r="EI59" i="1"/>
  <c r="EJ59" i="1"/>
  <c r="EK59" i="1"/>
  <c r="EF60" i="1"/>
  <c r="EG60" i="1"/>
  <c r="EH60" i="1"/>
  <c r="EI60" i="1"/>
  <c r="EJ60" i="1"/>
  <c r="EK60" i="1"/>
  <c r="EF61" i="1"/>
  <c r="EG61" i="1"/>
  <c r="EH61" i="1"/>
  <c r="EI61" i="1"/>
  <c r="EJ61" i="1"/>
  <c r="EK61" i="1"/>
  <c r="EF62" i="1"/>
  <c r="EG62" i="1"/>
  <c r="EH62" i="1"/>
  <c r="EI62" i="1"/>
  <c r="EJ62" i="1"/>
  <c r="EK62" i="1"/>
  <c r="EF63" i="1"/>
  <c r="EG63" i="1"/>
  <c r="EH63" i="1"/>
  <c r="EI63" i="1"/>
  <c r="EJ63" i="1"/>
  <c r="EK63" i="1"/>
  <c r="EF64" i="1"/>
  <c r="EG64" i="1"/>
  <c r="EH64" i="1"/>
  <c r="EI64" i="1"/>
  <c r="EJ64" i="1"/>
  <c r="EK64" i="1"/>
  <c r="EF65" i="1"/>
  <c r="EG65" i="1"/>
  <c r="EH65" i="1"/>
  <c r="EI65" i="1"/>
  <c r="EJ65" i="1"/>
  <c r="EK65" i="1"/>
  <c r="EF66" i="1"/>
  <c r="EG66" i="1"/>
  <c r="EH66" i="1"/>
  <c r="EI66" i="1"/>
  <c r="EJ66" i="1"/>
  <c r="EK66" i="1"/>
  <c r="EF67" i="1"/>
  <c r="EG67" i="1"/>
  <c r="EH67" i="1"/>
  <c r="EI67" i="1"/>
  <c r="EJ67" i="1"/>
  <c r="EK67" i="1"/>
  <c r="EF68" i="1"/>
  <c r="EG68" i="1"/>
  <c r="EH68" i="1"/>
  <c r="EI68" i="1"/>
  <c r="EJ68" i="1"/>
  <c r="EK68" i="1"/>
  <c r="EF69" i="1"/>
  <c r="EG69" i="1"/>
  <c r="EH69" i="1"/>
  <c r="EI69" i="1"/>
  <c r="EJ69" i="1"/>
  <c r="EK69" i="1"/>
  <c r="EF70" i="1"/>
  <c r="EG70" i="1"/>
  <c r="EH70" i="1"/>
  <c r="EI70" i="1"/>
  <c r="EJ70" i="1"/>
  <c r="EK70" i="1"/>
  <c r="EE72" i="1"/>
  <c r="EE73" i="1" s="1"/>
  <c r="EL72" i="1"/>
  <c r="EL73" i="1" s="1"/>
  <c r="EF74" i="1"/>
  <c r="EG74" i="1"/>
  <c r="EH74" i="1"/>
  <c r="EI74" i="1"/>
  <c r="EJ74" i="1"/>
  <c r="EK74" i="1"/>
  <c r="EF75" i="1"/>
  <c r="EG75" i="1"/>
  <c r="EH75" i="1"/>
  <c r="EI75" i="1"/>
  <c r="EJ75" i="1"/>
  <c r="EK75" i="1"/>
  <c r="EF76" i="1"/>
  <c r="EG76" i="1"/>
  <c r="EH76" i="1"/>
  <c r="EI76" i="1"/>
  <c r="EJ76" i="1"/>
  <c r="EK76" i="1"/>
  <c r="EF77" i="1"/>
  <c r="EG77" i="1"/>
  <c r="EH77" i="1"/>
  <c r="EI77" i="1"/>
  <c r="EJ77" i="1"/>
  <c r="EK77" i="1"/>
  <c r="EF78" i="1"/>
  <c r="EG78" i="1"/>
  <c r="EH78" i="1"/>
  <c r="EI78" i="1"/>
  <c r="EJ78" i="1"/>
  <c r="EK78" i="1"/>
  <c r="EF79" i="1"/>
  <c r="EG79" i="1"/>
  <c r="EH79" i="1"/>
  <c r="EI79" i="1"/>
  <c r="EJ79" i="1"/>
  <c r="EK79" i="1"/>
  <c r="EE37" i="1" l="1"/>
  <c r="EL37" i="1"/>
  <c r="EL58" i="1"/>
  <c r="EE26" i="1"/>
  <c r="EL26" i="1"/>
  <c r="EG80" i="1"/>
  <c r="EI71" i="1"/>
  <c r="EI80" i="1"/>
  <c r="EL59" i="1"/>
  <c r="EF71" i="1"/>
  <c r="EL69" i="1"/>
  <c r="EL61" i="1"/>
  <c r="EK71" i="1"/>
  <c r="EK81" i="1" s="1"/>
  <c r="EJ80" i="1"/>
  <c r="EH71" i="1"/>
  <c r="EL67" i="1"/>
  <c r="EL79" i="1"/>
  <c r="EK80" i="1"/>
  <c r="EG71" i="1"/>
  <c r="EL63" i="1"/>
  <c r="EL74" i="1"/>
  <c r="EL64" i="1"/>
  <c r="EH80" i="1"/>
  <c r="EH81" i="1" s="1"/>
  <c r="EL75" i="1"/>
  <c r="EL65" i="1"/>
  <c r="EL76" i="1"/>
  <c r="EL66" i="1"/>
  <c r="EL77" i="1"/>
  <c r="EJ71" i="1"/>
  <c r="EL78" i="1"/>
  <c r="EL68" i="1"/>
  <c r="EL60" i="1"/>
  <c r="EF80" i="1"/>
  <c r="EL70" i="1"/>
  <c r="EL62" i="1"/>
  <c r="EE11" i="1"/>
  <c r="DQ9" i="1"/>
  <c r="DC9" i="1"/>
  <c r="CO9" i="1"/>
  <c r="DQ10" i="1"/>
  <c r="DC10" i="1"/>
  <c r="CO10" i="1"/>
  <c r="EG81" i="1" l="1"/>
  <c r="EJ81" i="1"/>
  <c r="EI81" i="1"/>
  <c r="EF81" i="1"/>
  <c r="EL71" i="1"/>
  <c r="EL81" i="1" s="1"/>
  <c r="EL80" i="1"/>
  <c r="DQ7" i="1"/>
  <c r="DC7" i="1"/>
  <c r="CO7" i="1"/>
  <c r="DQ6" i="1" l="1"/>
  <c r="DC6" i="1"/>
  <c r="CO6" i="1"/>
  <c r="DQ8" i="1"/>
  <c r="DC8" i="1"/>
  <c r="CO8" i="1"/>
  <c r="CO5" i="1"/>
  <c r="DC5" i="1"/>
  <c r="DQ5" i="1"/>
  <c r="EM107" i="1" l="1"/>
  <c r="EN92" i="1" l="1"/>
  <c r="DC39" i="1"/>
  <c r="DY58" i="1"/>
  <c r="DZ58" i="1"/>
  <c r="EA58" i="1"/>
  <c r="EB58" i="1"/>
  <c r="EC58" i="1"/>
  <c r="ED58" i="1"/>
  <c r="ED70" i="1"/>
  <c r="EC70" i="1"/>
  <c r="EB70" i="1"/>
  <c r="EA70" i="1"/>
  <c r="DZ70" i="1"/>
  <c r="DY70" i="1"/>
  <c r="ED69" i="1"/>
  <c r="EC69" i="1"/>
  <c r="EB69" i="1"/>
  <c r="EA69" i="1"/>
  <c r="DZ69" i="1"/>
  <c r="DY69" i="1"/>
  <c r="ED68" i="1"/>
  <c r="EC68" i="1"/>
  <c r="EB68" i="1"/>
  <c r="EA68" i="1"/>
  <c r="DZ68" i="1"/>
  <c r="DY68" i="1"/>
  <c r="ED67" i="1"/>
  <c r="EC67" i="1"/>
  <c r="EB67" i="1"/>
  <c r="EA67" i="1"/>
  <c r="DZ67" i="1"/>
  <c r="DY67" i="1"/>
  <c r="EE67" i="1" s="1"/>
  <c r="ED66" i="1"/>
  <c r="EC66" i="1"/>
  <c r="EB66" i="1"/>
  <c r="EA66" i="1"/>
  <c r="DZ66" i="1"/>
  <c r="DY66" i="1"/>
  <c r="ED65" i="1"/>
  <c r="EC65" i="1"/>
  <c r="EB65" i="1"/>
  <c r="EA65" i="1"/>
  <c r="DZ65" i="1"/>
  <c r="DY65" i="1"/>
  <c r="ED64" i="1"/>
  <c r="EC64" i="1"/>
  <c r="EB64" i="1"/>
  <c r="EA64" i="1"/>
  <c r="DZ64" i="1"/>
  <c r="DY64" i="1"/>
  <c r="ED63" i="1"/>
  <c r="EC63" i="1"/>
  <c r="EB63" i="1"/>
  <c r="EA63" i="1"/>
  <c r="DZ63" i="1"/>
  <c r="DY63" i="1"/>
  <c r="EE63" i="1" s="1"/>
  <c r="ED62" i="1"/>
  <c r="EC62" i="1"/>
  <c r="EB62" i="1"/>
  <c r="EA62" i="1"/>
  <c r="DZ62" i="1"/>
  <c r="DY62" i="1"/>
  <c r="ED61" i="1"/>
  <c r="EC61" i="1"/>
  <c r="EB61" i="1"/>
  <c r="EA61" i="1"/>
  <c r="DZ61" i="1"/>
  <c r="DY61" i="1"/>
  <c r="ED60" i="1"/>
  <c r="EC60" i="1"/>
  <c r="EB60" i="1"/>
  <c r="EA60" i="1"/>
  <c r="DZ60" i="1"/>
  <c r="DY60" i="1"/>
  <c r="ED59" i="1"/>
  <c r="EC59" i="1"/>
  <c r="EB59" i="1"/>
  <c r="EA59" i="1"/>
  <c r="DZ59" i="1"/>
  <c r="DY59" i="1"/>
  <c r="EE59" i="1" s="1"/>
  <c r="EE70" i="1" l="1"/>
  <c r="EE66" i="1"/>
  <c r="EE62" i="1"/>
  <c r="EE61" i="1"/>
  <c r="EE69" i="1"/>
  <c r="EE60" i="1"/>
  <c r="EE68" i="1"/>
  <c r="EE65" i="1"/>
  <c r="EE64" i="1"/>
  <c r="DZ71" i="1"/>
  <c r="EB71" i="1"/>
  <c r="EA71" i="1"/>
  <c r="ED71" i="1"/>
  <c r="EC71" i="1"/>
  <c r="DY71" i="1"/>
  <c r="EE71" i="1" l="1"/>
  <c r="DY37" i="1"/>
  <c r="DZ37" i="1"/>
  <c r="EA37" i="1"/>
  <c r="EB37" i="1"/>
  <c r="EC37" i="1"/>
  <c r="ED37" i="1"/>
  <c r="DP23" i="1"/>
  <c r="DN23" i="1"/>
  <c r="DP25" i="1"/>
  <c r="DN25" i="1"/>
  <c r="DU16" i="1"/>
  <c r="DP16" i="1"/>
  <c r="DN16" i="1"/>
  <c r="DW22" i="1"/>
  <c r="DP22" i="1"/>
  <c r="DN22" i="1"/>
  <c r="DD22" i="1"/>
  <c r="CX22" i="1"/>
  <c r="CW22" i="1"/>
  <c r="DP18" i="1"/>
  <c r="DN18" i="1"/>
  <c r="DG19" i="1"/>
  <c r="DD19" i="1"/>
  <c r="EM20" i="1"/>
  <c r="EN20" i="1"/>
  <c r="EN21" i="1"/>
  <c r="EM21" i="1"/>
  <c r="DU24" i="1"/>
  <c r="DP24" i="1"/>
  <c r="DN24" i="1"/>
  <c r="CI14" i="1"/>
  <c r="DJ14" i="1"/>
  <c r="CW14" i="1"/>
  <c r="DW14" i="1"/>
  <c r="DU14" i="1"/>
  <c r="EN12" i="1"/>
  <c r="EM12" i="1"/>
  <c r="DY26" i="1"/>
  <c r="DZ26" i="1"/>
  <c r="EA26" i="1"/>
  <c r="EB26" i="1"/>
  <c r="EC26" i="1"/>
  <c r="ED26" i="1"/>
  <c r="DP14" i="1"/>
  <c r="DN14" i="1"/>
  <c r="G20" i="3" l="1"/>
  <c r="J20" i="3" s="1"/>
  <c r="H19" i="3"/>
  <c r="K19" i="3"/>
  <c r="H20" i="3"/>
  <c r="K20" i="3" s="1"/>
  <c r="G19" i="3"/>
  <c r="J19" i="3" s="1"/>
  <c r="F36" i="3"/>
  <c r="C13" i="2"/>
  <c r="F25" i="3"/>
  <c r="O87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1" i="3"/>
  <c r="E39" i="3"/>
  <c r="E38" i="3"/>
  <c r="E36" i="3"/>
  <c r="E35" i="3"/>
  <c r="E34" i="3"/>
  <c r="E33" i="3"/>
  <c r="E32" i="3"/>
  <c r="E31" i="3"/>
  <c r="E30" i="3"/>
  <c r="E29" i="3"/>
  <c r="E28" i="3"/>
  <c r="E27" i="3"/>
  <c r="E26" i="3"/>
  <c r="E24" i="3"/>
  <c r="E23" i="3"/>
  <c r="E22" i="3"/>
  <c r="E21" i="3"/>
  <c r="E18" i="3"/>
  <c r="E17" i="3"/>
  <c r="E16" i="3"/>
  <c r="E15" i="3"/>
  <c r="E14" i="3"/>
  <c r="E13" i="3"/>
  <c r="E12" i="3"/>
  <c r="E9" i="3"/>
  <c r="E8" i="3"/>
  <c r="E7" i="3"/>
  <c r="E6" i="3"/>
  <c r="E5" i="3"/>
  <c r="E4" i="3"/>
  <c r="F72" i="3"/>
  <c r="F70" i="3"/>
  <c r="F57" i="3"/>
  <c r="F10" i="3"/>
  <c r="F71" i="3"/>
  <c r="F69" i="3"/>
  <c r="F68" i="3"/>
  <c r="F67" i="3"/>
  <c r="F66" i="3"/>
  <c r="F65" i="3"/>
  <c r="F64" i="3"/>
  <c r="F63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5" i="3"/>
  <c r="F34" i="3"/>
  <c r="F33" i="3"/>
  <c r="F32" i="3"/>
  <c r="F31" i="3"/>
  <c r="F30" i="3"/>
  <c r="F29" i="3"/>
  <c r="F28" i="3"/>
  <c r="F27" i="3"/>
  <c r="F26" i="3"/>
  <c r="F24" i="3"/>
  <c r="F23" i="3"/>
  <c r="F22" i="3"/>
  <c r="F21" i="3"/>
  <c r="F18" i="3"/>
  <c r="F17" i="3"/>
  <c r="F16" i="3"/>
  <c r="F15" i="3"/>
  <c r="F14" i="3"/>
  <c r="F13" i="3"/>
  <c r="F12" i="3"/>
  <c r="F9" i="3"/>
  <c r="F8" i="3"/>
  <c r="F7" i="3"/>
  <c r="F6" i="3"/>
  <c r="F5" i="3"/>
  <c r="F4" i="3"/>
  <c r="K33" i="2"/>
  <c r="K29" i="2"/>
  <c r="K25" i="2"/>
  <c r="D17" i="2"/>
  <c r="D16" i="2"/>
  <c r="D15" i="2"/>
  <c r="D10" i="2"/>
  <c r="D9" i="2"/>
  <c r="D8" i="2"/>
  <c r="D7" i="2"/>
  <c r="D6" i="2"/>
  <c r="C17" i="2"/>
  <c r="C16" i="2"/>
  <c r="C14" i="2"/>
  <c r="C10" i="2"/>
  <c r="C9" i="2"/>
  <c r="C8" i="2"/>
  <c r="C7" i="2"/>
  <c r="C6" i="2"/>
  <c r="D5" i="2"/>
  <c r="C5" i="2"/>
  <c r="EM99" i="1"/>
  <c r="ED76" i="1"/>
  <c r="EC76" i="1"/>
  <c r="EB76" i="1"/>
  <c r="EA76" i="1"/>
  <c r="DZ76" i="1"/>
  <c r="DY76" i="1"/>
  <c r="ED79" i="1"/>
  <c r="EC79" i="1"/>
  <c r="EB79" i="1"/>
  <c r="EA79" i="1"/>
  <c r="DZ79" i="1"/>
  <c r="DY79" i="1"/>
  <c r="ED77" i="1"/>
  <c r="EC77" i="1"/>
  <c r="EB77" i="1"/>
  <c r="EA77" i="1"/>
  <c r="DZ77" i="1"/>
  <c r="DY77" i="1"/>
  <c r="ED78" i="1"/>
  <c r="EC78" i="1"/>
  <c r="EB78" i="1"/>
  <c r="EA78" i="1"/>
  <c r="DZ78" i="1"/>
  <c r="DY78" i="1"/>
  <c r="EE78" i="1" s="1"/>
  <c r="ED75" i="1"/>
  <c r="EC75" i="1"/>
  <c r="EB75" i="1"/>
  <c r="EA75" i="1"/>
  <c r="DZ75" i="1"/>
  <c r="DY75" i="1"/>
  <c r="EA74" i="1"/>
  <c r="ED74" i="1"/>
  <c r="EC74" i="1"/>
  <c r="EB74" i="1"/>
  <c r="DZ74" i="1"/>
  <c r="DY74" i="1"/>
  <c r="EE76" i="1" l="1"/>
  <c r="E75" i="3" s="1"/>
  <c r="EE75" i="1"/>
  <c r="E74" i="3" s="1"/>
  <c r="EE79" i="1"/>
  <c r="E78" i="3" s="1"/>
  <c r="EE77" i="1"/>
  <c r="E76" i="3" s="1"/>
  <c r="EE74" i="1"/>
  <c r="E73" i="3" s="1"/>
  <c r="D14" i="2"/>
  <c r="D13" i="2"/>
  <c r="E25" i="3"/>
  <c r="EN76" i="1"/>
  <c r="H75" i="3" s="1"/>
  <c r="F75" i="3"/>
  <c r="F77" i="3"/>
  <c r="F78" i="3"/>
  <c r="F76" i="3"/>
  <c r="F73" i="3"/>
  <c r="F74" i="3"/>
  <c r="DZ80" i="1"/>
  <c r="EC80" i="1"/>
  <c r="ED80" i="1"/>
  <c r="EB80" i="1"/>
  <c r="EB81" i="1" s="1"/>
  <c r="E77" i="3"/>
  <c r="EA80" i="1"/>
  <c r="EA81" i="1" s="1"/>
  <c r="DY80" i="1"/>
  <c r="DY11" i="1"/>
  <c r="DZ11" i="1"/>
  <c r="EA11" i="1"/>
  <c r="EB11" i="1"/>
  <c r="EC11" i="1"/>
  <c r="ED11" i="1"/>
  <c r="E10" i="3"/>
  <c r="DY81" i="1" l="1"/>
  <c r="ED81" i="1"/>
  <c r="DZ81" i="1"/>
  <c r="EC81" i="1"/>
  <c r="EE80" i="1"/>
  <c r="EM76" i="1"/>
  <c r="G75" i="3" s="1"/>
  <c r="DO73" i="1"/>
  <c r="DP73" i="1"/>
  <c r="DR73" i="1"/>
  <c r="DS73" i="1"/>
  <c r="DT73" i="1"/>
  <c r="DU73" i="1"/>
  <c r="DV73" i="1"/>
  <c r="DW73" i="1"/>
  <c r="DK73" i="1"/>
  <c r="DL73" i="1"/>
  <c r="DM73" i="1"/>
  <c r="DN73" i="1"/>
  <c r="DX72" i="1"/>
  <c r="DX73" i="1" s="1"/>
  <c r="DQ72" i="1"/>
  <c r="DQ73" i="1" s="1"/>
  <c r="CC72" i="1"/>
  <c r="C18" i="2" l="1"/>
  <c r="E79" i="3"/>
  <c r="F80" i="3"/>
  <c r="D18" i="2"/>
  <c r="F79" i="3"/>
  <c r="DR26" i="1" l="1"/>
  <c r="DS26" i="1"/>
  <c r="DT26" i="1"/>
  <c r="DU26" i="1"/>
  <c r="DV26" i="1"/>
  <c r="DW26" i="1"/>
  <c r="DX14" i="1"/>
  <c r="DX15" i="1"/>
  <c r="DX16" i="1"/>
  <c r="DX17" i="1"/>
  <c r="DX18" i="1"/>
  <c r="DX19" i="1"/>
  <c r="DX22" i="1"/>
  <c r="DX23" i="1"/>
  <c r="DX24" i="1"/>
  <c r="DX25" i="1"/>
  <c r="DX13" i="1"/>
  <c r="DL26" i="1"/>
  <c r="DM26" i="1"/>
  <c r="DN26" i="1"/>
  <c r="DO26" i="1"/>
  <c r="DP26" i="1"/>
  <c r="DK26" i="1"/>
  <c r="DQ14" i="1"/>
  <c r="DQ15" i="1"/>
  <c r="DQ16" i="1"/>
  <c r="DQ17" i="1"/>
  <c r="DQ18" i="1"/>
  <c r="DQ19" i="1"/>
  <c r="DQ22" i="1"/>
  <c r="DQ23" i="1"/>
  <c r="DQ24" i="1"/>
  <c r="DQ25" i="1"/>
  <c r="DQ13" i="1"/>
  <c r="DQ26" i="1" l="1"/>
  <c r="DX26" i="1"/>
  <c r="E58" i="1" l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S58" i="1"/>
  <c r="AT58" i="1"/>
  <c r="AU58" i="1"/>
  <c r="AV58" i="1"/>
  <c r="AW58" i="1"/>
  <c r="AX58" i="1"/>
  <c r="AZ58" i="1"/>
  <c r="BA58" i="1"/>
  <c r="BB58" i="1"/>
  <c r="BC58" i="1"/>
  <c r="BD58" i="1"/>
  <c r="BE58" i="1"/>
  <c r="BG58" i="1"/>
  <c r="BH58" i="1"/>
  <c r="BI58" i="1"/>
  <c r="BJ58" i="1"/>
  <c r="BK58" i="1"/>
  <c r="BL58" i="1"/>
  <c r="BN58" i="1"/>
  <c r="BO58" i="1"/>
  <c r="BP58" i="1"/>
  <c r="BQ58" i="1"/>
  <c r="BR58" i="1"/>
  <c r="BS58" i="1"/>
  <c r="BU58" i="1"/>
  <c r="BV58" i="1"/>
  <c r="BW58" i="1"/>
  <c r="BX58" i="1"/>
  <c r="BY58" i="1"/>
  <c r="BZ58" i="1"/>
  <c r="CB58" i="1"/>
  <c r="CC58" i="1"/>
  <c r="CD58" i="1"/>
  <c r="CE58" i="1"/>
  <c r="CF58" i="1"/>
  <c r="CG58" i="1"/>
  <c r="CI58" i="1"/>
  <c r="CJ58" i="1"/>
  <c r="CK58" i="1"/>
  <c r="CL58" i="1"/>
  <c r="CM58" i="1"/>
  <c r="CN58" i="1"/>
  <c r="CP58" i="1"/>
  <c r="CQ58" i="1"/>
  <c r="CR58" i="1"/>
  <c r="CS58" i="1"/>
  <c r="CT58" i="1"/>
  <c r="CU58" i="1"/>
  <c r="CW58" i="1"/>
  <c r="CX58" i="1"/>
  <c r="CY58" i="1"/>
  <c r="CZ58" i="1"/>
  <c r="DA58" i="1"/>
  <c r="DB58" i="1"/>
  <c r="DD58" i="1"/>
  <c r="DE58" i="1"/>
  <c r="DF58" i="1"/>
  <c r="DG58" i="1"/>
  <c r="DH58" i="1"/>
  <c r="DI58" i="1"/>
  <c r="DK58" i="1"/>
  <c r="DL58" i="1"/>
  <c r="DM58" i="1"/>
  <c r="DN58" i="1"/>
  <c r="DO58" i="1"/>
  <c r="DP58" i="1"/>
  <c r="DR58" i="1"/>
  <c r="DS58" i="1"/>
  <c r="DT58" i="1"/>
  <c r="DU58" i="1"/>
  <c r="DV58" i="1"/>
  <c r="DW58" i="1"/>
  <c r="DQ39" i="1"/>
  <c r="DX39" i="1"/>
  <c r="DQ40" i="1"/>
  <c r="DX40" i="1"/>
  <c r="DQ41" i="1"/>
  <c r="DX41" i="1"/>
  <c r="DQ42" i="1"/>
  <c r="DX42" i="1"/>
  <c r="DQ43" i="1"/>
  <c r="DX43" i="1"/>
  <c r="DQ44" i="1"/>
  <c r="DX44" i="1"/>
  <c r="DQ45" i="1"/>
  <c r="DX45" i="1"/>
  <c r="DQ46" i="1"/>
  <c r="DX46" i="1"/>
  <c r="DQ47" i="1"/>
  <c r="DX47" i="1"/>
  <c r="DQ48" i="1"/>
  <c r="DX48" i="1"/>
  <c r="DQ49" i="1"/>
  <c r="DX49" i="1"/>
  <c r="DQ50" i="1"/>
  <c r="DX50" i="1"/>
  <c r="DQ51" i="1"/>
  <c r="DX51" i="1"/>
  <c r="DQ52" i="1"/>
  <c r="DX52" i="1"/>
  <c r="DQ53" i="1"/>
  <c r="DX53" i="1"/>
  <c r="DQ54" i="1"/>
  <c r="DX54" i="1"/>
  <c r="DQ55" i="1"/>
  <c r="DX55" i="1"/>
  <c r="DQ56" i="1"/>
  <c r="DX56" i="1"/>
  <c r="DQ57" i="1"/>
  <c r="EQ57" i="1" s="1"/>
  <c r="DX57" i="1"/>
  <c r="EN57" i="1" s="1"/>
  <c r="DX38" i="1"/>
  <c r="DQ38" i="1"/>
  <c r="ER57" i="1" l="1"/>
  <c r="ES57" i="1" s="1"/>
  <c r="EE57" i="1" s="1"/>
  <c r="H56" i="3"/>
  <c r="K56" i="3" s="1"/>
  <c r="DQ58" i="1"/>
  <c r="DX58" i="1"/>
  <c r="N87" i="3"/>
  <c r="DS27" i="1"/>
  <c r="DT27" i="1"/>
  <c r="DU27" i="1"/>
  <c r="DV27" i="1"/>
  <c r="DW27" i="1"/>
  <c r="DS28" i="1"/>
  <c r="DT28" i="1"/>
  <c r="DU28" i="1"/>
  <c r="DV28" i="1"/>
  <c r="DW28" i="1"/>
  <c r="DS29" i="1"/>
  <c r="DT29" i="1"/>
  <c r="DU29" i="1"/>
  <c r="DV29" i="1"/>
  <c r="DW29" i="1"/>
  <c r="DS30" i="1"/>
  <c r="DT30" i="1"/>
  <c r="DU30" i="1"/>
  <c r="DV30" i="1"/>
  <c r="DW30" i="1"/>
  <c r="DS31" i="1"/>
  <c r="DT31" i="1"/>
  <c r="DU31" i="1"/>
  <c r="DV31" i="1"/>
  <c r="DW31" i="1"/>
  <c r="DS32" i="1"/>
  <c r="DT32" i="1"/>
  <c r="DU32" i="1"/>
  <c r="DV32" i="1"/>
  <c r="DW32" i="1"/>
  <c r="DS33" i="1"/>
  <c r="DT33" i="1"/>
  <c r="DU33" i="1"/>
  <c r="DV33" i="1"/>
  <c r="DW33" i="1"/>
  <c r="DS34" i="1"/>
  <c r="DT34" i="1"/>
  <c r="DU34" i="1"/>
  <c r="DV34" i="1"/>
  <c r="DW34" i="1"/>
  <c r="DS35" i="1"/>
  <c r="DT35" i="1"/>
  <c r="DU35" i="1"/>
  <c r="DV35" i="1"/>
  <c r="DW35" i="1"/>
  <c r="DS36" i="1"/>
  <c r="DT36" i="1"/>
  <c r="DU36" i="1"/>
  <c r="DV36" i="1"/>
  <c r="DW36" i="1"/>
  <c r="DR28" i="1"/>
  <c r="DR29" i="1"/>
  <c r="DR30" i="1"/>
  <c r="DR31" i="1"/>
  <c r="DR32" i="1"/>
  <c r="DR33" i="1"/>
  <c r="DR34" i="1"/>
  <c r="DR35" i="1"/>
  <c r="DR36" i="1"/>
  <c r="DR27" i="1"/>
  <c r="DL27" i="1"/>
  <c r="DM27" i="1"/>
  <c r="DN27" i="1"/>
  <c r="DO27" i="1"/>
  <c r="DP27" i="1"/>
  <c r="DL28" i="1"/>
  <c r="DM28" i="1"/>
  <c r="DN28" i="1"/>
  <c r="DO28" i="1"/>
  <c r="DP28" i="1"/>
  <c r="DL29" i="1"/>
  <c r="DM29" i="1"/>
  <c r="DN29" i="1"/>
  <c r="DO29" i="1"/>
  <c r="DP29" i="1"/>
  <c r="DL30" i="1"/>
  <c r="DM30" i="1"/>
  <c r="DN30" i="1"/>
  <c r="DO30" i="1"/>
  <c r="DP30" i="1"/>
  <c r="DL31" i="1"/>
  <c r="DM31" i="1"/>
  <c r="DN31" i="1"/>
  <c r="DO31" i="1"/>
  <c r="DP31" i="1"/>
  <c r="DL32" i="1"/>
  <c r="DM32" i="1"/>
  <c r="DN32" i="1"/>
  <c r="DO32" i="1"/>
  <c r="DP32" i="1"/>
  <c r="DL33" i="1"/>
  <c r="DM33" i="1"/>
  <c r="DN33" i="1"/>
  <c r="DO33" i="1"/>
  <c r="DP33" i="1"/>
  <c r="DL34" i="1"/>
  <c r="DM34" i="1"/>
  <c r="DN34" i="1"/>
  <c r="DO34" i="1"/>
  <c r="DP34" i="1"/>
  <c r="DL35" i="1"/>
  <c r="DM35" i="1"/>
  <c r="DN35" i="1"/>
  <c r="DO35" i="1"/>
  <c r="DP35" i="1"/>
  <c r="DL36" i="1"/>
  <c r="DM36" i="1"/>
  <c r="DN36" i="1"/>
  <c r="DO36" i="1"/>
  <c r="DP36" i="1"/>
  <c r="DK28" i="1"/>
  <c r="DK29" i="1"/>
  <c r="DK30" i="1"/>
  <c r="DK31" i="1"/>
  <c r="DK32" i="1"/>
  <c r="DK33" i="1"/>
  <c r="DK34" i="1"/>
  <c r="DK35" i="1"/>
  <c r="DK36" i="1"/>
  <c r="DK27" i="1"/>
  <c r="EM57" i="1" l="1"/>
  <c r="E56" i="3"/>
  <c r="DX35" i="1"/>
  <c r="DQ35" i="1"/>
  <c r="DX27" i="1"/>
  <c r="DQ31" i="1"/>
  <c r="DQ27" i="1"/>
  <c r="DX32" i="1"/>
  <c r="DX36" i="1"/>
  <c r="DX29" i="1"/>
  <c r="DX28" i="1"/>
  <c r="DQ33" i="1"/>
  <c r="DN37" i="1"/>
  <c r="DX30" i="1"/>
  <c r="DP37" i="1"/>
  <c r="DX31" i="1"/>
  <c r="DQ29" i="1"/>
  <c r="DO37" i="1"/>
  <c r="DQ36" i="1"/>
  <c r="DQ28" i="1"/>
  <c r="DQ32" i="1"/>
  <c r="DM37" i="1"/>
  <c r="DX34" i="1"/>
  <c r="DQ34" i="1"/>
  <c r="DQ30" i="1"/>
  <c r="DL37" i="1"/>
  <c r="DX33" i="1"/>
  <c r="DU37" i="1"/>
  <c r="DK37" i="1"/>
  <c r="DR37" i="1"/>
  <c r="DW37" i="1"/>
  <c r="DT37" i="1"/>
  <c r="C11" i="2"/>
  <c r="DV37" i="1"/>
  <c r="DS37" i="1"/>
  <c r="DE59" i="1"/>
  <c r="DF59" i="1"/>
  <c r="DG59" i="1"/>
  <c r="DH59" i="1"/>
  <c r="DI59" i="1"/>
  <c r="DE60" i="1"/>
  <c r="DF60" i="1"/>
  <c r="DG60" i="1"/>
  <c r="DH60" i="1"/>
  <c r="DI60" i="1"/>
  <c r="DE61" i="1"/>
  <c r="DF61" i="1"/>
  <c r="DG61" i="1"/>
  <c r="DH61" i="1"/>
  <c r="DI61" i="1"/>
  <c r="DE62" i="1"/>
  <c r="DF62" i="1"/>
  <c r="DG62" i="1"/>
  <c r="DH62" i="1"/>
  <c r="DI62" i="1"/>
  <c r="DE63" i="1"/>
  <c r="DF63" i="1"/>
  <c r="DG63" i="1"/>
  <c r="DH63" i="1"/>
  <c r="DI63" i="1"/>
  <c r="DE64" i="1"/>
  <c r="DF64" i="1"/>
  <c r="DG64" i="1"/>
  <c r="DH64" i="1"/>
  <c r="DI64" i="1"/>
  <c r="DE65" i="1"/>
  <c r="DF65" i="1"/>
  <c r="DG65" i="1"/>
  <c r="DH65" i="1"/>
  <c r="DI65" i="1"/>
  <c r="DE66" i="1"/>
  <c r="DF66" i="1"/>
  <c r="DG66" i="1"/>
  <c r="DH66" i="1"/>
  <c r="DI66" i="1"/>
  <c r="DE67" i="1"/>
  <c r="DF67" i="1"/>
  <c r="DG67" i="1"/>
  <c r="DH67" i="1"/>
  <c r="DI67" i="1"/>
  <c r="DE68" i="1"/>
  <c r="DF68" i="1"/>
  <c r="DG68" i="1"/>
  <c r="DH68" i="1"/>
  <c r="DI68" i="1"/>
  <c r="DE69" i="1"/>
  <c r="DF69" i="1"/>
  <c r="DG69" i="1"/>
  <c r="DH69" i="1"/>
  <c r="DI69" i="1"/>
  <c r="DE70" i="1"/>
  <c r="DF70" i="1"/>
  <c r="DG70" i="1"/>
  <c r="DH70" i="1"/>
  <c r="DI70" i="1"/>
  <c r="DD60" i="1"/>
  <c r="DD61" i="1"/>
  <c r="DD62" i="1"/>
  <c r="DD63" i="1"/>
  <c r="DD64" i="1"/>
  <c r="DD65" i="1"/>
  <c r="DD66" i="1"/>
  <c r="DD67" i="1"/>
  <c r="DD68" i="1"/>
  <c r="DD69" i="1"/>
  <c r="DD70" i="1"/>
  <c r="DD59" i="1"/>
  <c r="CX59" i="1"/>
  <c r="CY59" i="1"/>
  <c r="CZ59" i="1"/>
  <c r="DA59" i="1"/>
  <c r="DB59" i="1"/>
  <c r="DC59" i="1"/>
  <c r="CX60" i="1"/>
  <c r="CY60" i="1"/>
  <c r="CZ60" i="1"/>
  <c r="DA60" i="1"/>
  <c r="DB60" i="1"/>
  <c r="DC60" i="1"/>
  <c r="CX61" i="1"/>
  <c r="CY61" i="1"/>
  <c r="CZ61" i="1"/>
  <c r="DA61" i="1"/>
  <c r="DB61" i="1"/>
  <c r="DC61" i="1"/>
  <c r="CX62" i="1"/>
  <c r="CY62" i="1"/>
  <c r="CZ62" i="1"/>
  <c r="DA62" i="1"/>
  <c r="DB62" i="1"/>
  <c r="DC62" i="1"/>
  <c r="CX63" i="1"/>
  <c r="CY63" i="1"/>
  <c r="CZ63" i="1"/>
  <c r="DA63" i="1"/>
  <c r="DB63" i="1"/>
  <c r="DC63" i="1"/>
  <c r="CX64" i="1"/>
  <c r="CY64" i="1"/>
  <c r="CZ64" i="1"/>
  <c r="DA64" i="1"/>
  <c r="DB64" i="1"/>
  <c r="DC64" i="1"/>
  <c r="CX65" i="1"/>
  <c r="CY65" i="1"/>
  <c r="CZ65" i="1"/>
  <c r="DA65" i="1"/>
  <c r="DB65" i="1"/>
  <c r="DC65" i="1"/>
  <c r="CX66" i="1"/>
  <c r="CY66" i="1"/>
  <c r="CZ66" i="1"/>
  <c r="DA66" i="1"/>
  <c r="DB66" i="1"/>
  <c r="DC66" i="1"/>
  <c r="CX67" i="1"/>
  <c r="CY67" i="1"/>
  <c r="CZ67" i="1"/>
  <c r="DA67" i="1"/>
  <c r="DB67" i="1"/>
  <c r="DC67" i="1"/>
  <c r="CX68" i="1"/>
  <c r="CY68" i="1"/>
  <c r="CZ68" i="1"/>
  <c r="DA68" i="1"/>
  <c r="DB68" i="1"/>
  <c r="DC68" i="1"/>
  <c r="CX69" i="1"/>
  <c r="CY69" i="1"/>
  <c r="CZ69" i="1"/>
  <c r="DA69" i="1"/>
  <c r="DB69" i="1"/>
  <c r="DC69" i="1"/>
  <c r="CX70" i="1"/>
  <c r="CY70" i="1"/>
  <c r="CZ70" i="1"/>
  <c r="DA70" i="1"/>
  <c r="DB70" i="1"/>
  <c r="DC70" i="1"/>
  <c r="CW60" i="1"/>
  <c r="CW61" i="1"/>
  <c r="CW62" i="1"/>
  <c r="CW63" i="1"/>
  <c r="CW64" i="1"/>
  <c r="CW65" i="1"/>
  <c r="CW66" i="1"/>
  <c r="CW67" i="1"/>
  <c r="CW68" i="1"/>
  <c r="CW69" i="1"/>
  <c r="CW70" i="1"/>
  <c r="CW59" i="1"/>
  <c r="CQ59" i="1"/>
  <c r="CR59" i="1"/>
  <c r="CS59" i="1"/>
  <c r="CT59" i="1"/>
  <c r="CU59" i="1"/>
  <c r="CQ60" i="1"/>
  <c r="CR60" i="1"/>
  <c r="CS60" i="1"/>
  <c r="CT60" i="1"/>
  <c r="CU60" i="1"/>
  <c r="CQ61" i="1"/>
  <c r="CR61" i="1"/>
  <c r="CS61" i="1"/>
  <c r="CT61" i="1"/>
  <c r="CU61" i="1"/>
  <c r="CQ62" i="1"/>
  <c r="CR62" i="1"/>
  <c r="CS62" i="1"/>
  <c r="CT62" i="1"/>
  <c r="CU62" i="1"/>
  <c r="CQ63" i="1"/>
  <c r="CR63" i="1"/>
  <c r="CS63" i="1"/>
  <c r="CT63" i="1"/>
  <c r="CU63" i="1"/>
  <c r="CQ64" i="1"/>
  <c r="CR64" i="1"/>
  <c r="CS64" i="1"/>
  <c r="CT64" i="1"/>
  <c r="CU64" i="1"/>
  <c r="CQ65" i="1"/>
  <c r="CR65" i="1"/>
  <c r="CS65" i="1"/>
  <c r="CT65" i="1"/>
  <c r="CU65" i="1"/>
  <c r="CQ66" i="1"/>
  <c r="CR66" i="1"/>
  <c r="CS66" i="1"/>
  <c r="CT66" i="1"/>
  <c r="CU66" i="1"/>
  <c r="CQ67" i="1"/>
  <c r="CR67" i="1"/>
  <c r="CS67" i="1"/>
  <c r="CT67" i="1"/>
  <c r="CU67" i="1"/>
  <c r="CQ68" i="1"/>
  <c r="CR68" i="1"/>
  <c r="CS68" i="1"/>
  <c r="CT68" i="1"/>
  <c r="CU68" i="1"/>
  <c r="CQ69" i="1"/>
  <c r="CR69" i="1"/>
  <c r="CS69" i="1"/>
  <c r="CT69" i="1"/>
  <c r="CU69" i="1"/>
  <c r="CQ70" i="1"/>
  <c r="CR70" i="1"/>
  <c r="CS70" i="1"/>
  <c r="CT70" i="1"/>
  <c r="CU70" i="1"/>
  <c r="CP60" i="1"/>
  <c r="CP61" i="1"/>
  <c r="CP62" i="1"/>
  <c r="CP63" i="1"/>
  <c r="CP64" i="1"/>
  <c r="CP65" i="1"/>
  <c r="CP66" i="1"/>
  <c r="CP67" i="1"/>
  <c r="CP68" i="1"/>
  <c r="CP69" i="1"/>
  <c r="CP70" i="1"/>
  <c r="CP59" i="1"/>
  <c r="CJ59" i="1"/>
  <c r="CK59" i="1"/>
  <c r="CL59" i="1"/>
  <c r="CM59" i="1"/>
  <c r="CN59" i="1"/>
  <c r="CJ60" i="1"/>
  <c r="CK60" i="1"/>
  <c r="CL60" i="1"/>
  <c r="CM60" i="1"/>
  <c r="CN60" i="1"/>
  <c r="CJ61" i="1"/>
  <c r="CK61" i="1"/>
  <c r="CL61" i="1"/>
  <c r="CM61" i="1"/>
  <c r="CN61" i="1"/>
  <c r="CJ62" i="1"/>
  <c r="CK62" i="1"/>
  <c r="CL62" i="1"/>
  <c r="CM62" i="1"/>
  <c r="CN62" i="1"/>
  <c r="CJ63" i="1"/>
  <c r="CK63" i="1"/>
  <c r="CL63" i="1"/>
  <c r="CM63" i="1"/>
  <c r="CN63" i="1"/>
  <c r="CJ64" i="1"/>
  <c r="CK64" i="1"/>
  <c r="CL64" i="1"/>
  <c r="CM64" i="1"/>
  <c r="CN64" i="1"/>
  <c r="CJ65" i="1"/>
  <c r="CK65" i="1"/>
  <c r="CL65" i="1"/>
  <c r="CM65" i="1"/>
  <c r="CN65" i="1"/>
  <c r="CJ66" i="1"/>
  <c r="CK66" i="1"/>
  <c r="CL66" i="1"/>
  <c r="CM66" i="1"/>
  <c r="CN66" i="1"/>
  <c r="CJ67" i="1"/>
  <c r="CK67" i="1"/>
  <c r="CL67" i="1"/>
  <c r="CM67" i="1"/>
  <c r="CN67" i="1"/>
  <c r="CJ68" i="1"/>
  <c r="CK68" i="1"/>
  <c r="CL68" i="1"/>
  <c r="CM68" i="1"/>
  <c r="CN68" i="1"/>
  <c r="CJ69" i="1"/>
  <c r="CK69" i="1"/>
  <c r="CL69" i="1"/>
  <c r="CM69" i="1"/>
  <c r="CN69" i="1"/>
  <c r="CJ70" i="1"/>
  <c r="CK70" i="1"/>
  <c r="CL70" i="1"/>
  <c r="CM70" i="1"/>
  <c r="CN70" i="1"/>
  <c r="CI60" i="1"/>
  <c r="CI61" i="1"/>
  <c r="CI62" i="1"/>
  <c r="CI63" i="1"/>
  <c r="CI64" i="1"/>
  <c r="CI65" i="1"/>
  <c r="CI66" i="1"/>
  <c r="CI67" i="1"/>
  <c r="CI68" i="1"/>
  <c r="CI69" i="1"/>
  <c r="CI70" i="1"/>
  <c r="CI59" i="1"/>
  <c r="DR60" i="1"/>
  <c r="DS60" i="1"/>
  <c r="DT60" i="1"/>
  <c r="DU60" i="1"/>
  <c r="DV60" i="1"/>
  <c r="DW60" i="1"/>
  <c r="DR61" i="1"/>
  <c r="DS61" i="1"/>
  <c r="DT61" i="1"/>
  <c r="DU61" i="1"/>
  <c r="DV61" i="1"/>
  <c r="DW61" i="1"/>
  <c r="DR62" i="1"/>
  <c r="DS62" i="1"/>
  <c r="DT62" i="1"/>
  <c r="DU62" i="1"/>
  <c r="DV62" i="1"/>
  <c r="DW62" i="1"/>
  <c r="DR63" i="1"/>
  <c r="DS63" i="1"/>
  <c r="DT63" i="1"/>
  <c r="DU63" i="1"/>
  <c r="DV63" i="1"/>
  <c r="DW63" i="1"/>
  <c r="DR64" i="1"/>
  <c r="DS64" i="1"/>
  <c r="DT64" i="1"/>
  <c r="DU64" i="1"/>
  <c r="DV64" i="1"/>
  <c r="DW64" i="1"/>
  <c r="DR65" i="1"/>
  <c r="DS65" i="1"/>
  <c r="DT65" i="1"/>
  <c r="DU65" i="1"/>
  <c r="DV65" i="1"/>
  <c r="DW65" i="1"/>
  <c r="DR66" i="1"/>
  <c r="DS66" i="1"/>
  <c r="DT66" i="1"/>
  <c r="DU66" i="1"/>
  <c r="DV66" i="1"/>
  <c r="DW66" i="1"/>
  <c r="DR67" i="1"/>
  <c r="DS67" i="1"/>
  <c r="DT67" i="1"/>
  <c r="DU67" i="1"/>
  <c r="DV67" i="1"/>
  <c r="DW67" i="1"/>
  <c r="DR68" i="1"/>
  <c r="DS68" i="1"/>
  <c r="DT68" i="1"/>
  <c r="DU68" i="1"/>
  <c r="DV68" i="1"/>
  <c r="DW68" i="1"/>
  <c r="DR69" i="1"/>
  <c r="DS69" i="1"/>
  <c r="DT69" i="1"/>
  <c r="DU69" i="1"/>
  <c r="DV69" i="1"/>
  <c r="DW69" i="1"/>
  <c r="DR70" i="1"/>
  <c r="DS70" i="1"/>
  <c r="DT70" i="1"/>
  <c r="DU70" i="1"/>
  <c r="DV70" i="1"/>
  <c r="DW70" i="1"/>
  <c r="DS59" i="1"/>
  <c r="DT59" i="1"/>
  <c r="DU59" i="1"/>
  <c r="DV59" i="1"/>
  <c r="DW59" i="1"/>
  <c r="DR59" i="1"/>
  <c r="DL59" i="1"/>
  <c r="DM59" i="1"/>
  <c r="DN59" i="1"/>
  <c r="DO59" i="1"/>
  <c r="DP59" i="1"/>
  <c r="DL60" i="1"/>
  <c r="DM60" i="1"/>
  <c r="DN60" i="1"/>
  <c r="DO60" i="1"/>
  <c r="DP60" i="1"/>
  <c r="DL61" i="1"/>
  <c r="DM61" i="1"/>
  <c r="DN61" i="1"/>
  <c r="DO61" i="1"/>
  <c r="DP61" i="1"/>
  <c r="DL62" i="1"/>
  <c r="DM62" i="1"/>
  <c r="DN62" i="1"/>
  <c r="DO62" i="1"/>
  <c r="DP62" i="1"/>
  <c r="DL63" i="1"/>
  <c r="DM63" i="1"/>
  <c r="DN63" i="1"/>
  <c r="DO63" i="1"/>
  <c r="DP63" i="1"/>
  <c r="DL64" i="1"/>
  <c r="DM64" i="1"/>
  <c r="DN64" i="1"/>
  <c r="DO64" i="1"/>
  <c r="DP64" i="1"/>
  <c r="DL65" i="1"/>
  <c r="DM65" i="1"/>
  <c r="DN65" i="1"/>
  <c r="DO65" i="1"/>
  <c r="DP65" i="1"/>
  <c r="DL66" i="1"/>
  <c r="DM66" i="1"/>
  <c r="DN66" i="1"/>
  <c r="DO66" i="1"/>
  <c r="DP66" i="1"/>
  <c r="DL67" i="1"/>
  <c r="DM67" i="1"/>
  <c r="DN67" i="1"/>
  <c r="DO67" i="1"/>
  <c r="DP67" i="1"/>
  <c r="DL68" i="1"/>
  <c r="DM68" i="1"/>
  <c r="DN68" i="1"/>
  <c r="DO68" i="1"/>
  <c r="DP68" i="1"/>
  <c r="DL69" i="1"/>
  <c r="DM69" i="1"/>
  <c r="DN69" i="1"/>
  <c r="DO69" i="1"/>
  <c r="DP69" i="1"/>
  <c r="DL70" i="1"/>
  <c r="DM70" i="1"/>
  <c r="DN70" i="1"/>
  <c r="DO70" i="1"/>
  <c r="DP70" i="1"/>
  <c r="DK60" i="1"/>
  <c r="DK61" i="1"/>
  <c r="DK62" i="1"/>
  <c r="DK63" i="1"/>
  <c r="DK64" i="1"/>
  <c r="DK65" i="1"/>
  <c r="DK66" i="1"/>
  <c r="DK67" i="1"/>
  <c r="DK68" i="1"/>
  <c r="DK69" i="1"/>
  <c r="DK70" i="1"/>
  <c r="DK59" i="1"/>
  <c r="G56" i="3" l="1"/>
  <c r="J56" i="3" s="1"/>
  <c r="DQ66" i="1"/>
  <c r="DS71" i="1"/>
  <c r="DX37" i="1"/>
  <c r="DQ37" i="1"/>
  <c r="DX68" i="1"/>
  <c r="DQ64" i="1"/>
  <c r="DX60" i="1"/>
  <c r="DX64" i="1"/>
  <c r="DW71" i="1"/>
  <c r="DN71" i="1"/>
  <c r="DX63" i="1"/>
  <c r="DX67" i="1"/>
  <c r="DQ65" i="1"/>
  <c r="DM71" i="1"/>
  <c r="DV71" i="1"/>
  <c r="DX69" i="1"/>
  <c r="DL71" i="1"/>
  <c r="DQ63" i="1"/>
  <c r="DR71" i="1"/>
  <c r="DX61" i="1"/>
  <c r="DQ62" i="1"/>
  <c r="DX65" i="1"/>
  <c r="DX62" i="1"/>
  <c r="DQ61" i="1"/>
  <c r="DQ59" i="1"/>
  <c r="DQ69" i="1"/>
  <c r="DQ68" i="1"/>
  <c r="DP71" i="1"/>
  <c r="DU71" i="1"/>
  <c r="DX66" i="1"/>
  <c r="DX70" i="1"/>
  <c r="DQ70" i="1"/>
  <c r="DK71" i="1"/>
  <c r="DQ67" i="1"/>
  <c r="DO71" i="1"/>
  <c r="DT71" i="1"/>
  <c r="DX59" i="1"/>
  <c r="DQ60" i="1"/>
  <c r="DQ71" i="1" l="1"/>
  <c r="DX71" i="1"/>
  <c r="DQ11" i="1"/>
  <c r="DR11" i="1"/>
  <c r="DS11" i="1"/>
  <c r="DT11" i="1"/>
  <c r="DU11" i="1"/>
  <c r="DV11" i="1"/>
  <c r="DW11" i="1"/>
  <c r="DX5" i="1"/>
  <c r="DX7" i="1"/>
  <c r="DP79" i="1"/>
  <c r="DW79" i="1"/>
  <c r="DV79" i="1"/>
  <c r="DU79" i="1"/>
  <c r="DT79" i="1"/>
  <c r="DS79" i="1"/>
  <c r="DR79" i="1"/>
  <c r="DO79" i="1"/>
  <c r="DN79" i="1"/>
  <c r="DM79" i="1"/>
  <c r="DL79" i="1"/>
  <c r="DK79" i="1"/>
  <c r="DW77" i="1"/>
  <c r="DV77" i="1"/>
  <c r="DU77" i="1"/>
  <c r="DT77" i="1"/>
  <c r="DS77" i="1"/>
  <c r="DR77" i="1"/>
  <c r="DP77" i="1"/>
  <c r="DO77" i="1"/>
  <c r="DN77" i="1"/>
  <c r="DM77" i="1"/>
  <c r="DL77" i="1"/>
  <c r="DK77" i="1"/>
  <c r="DW74" i="1"/>
  <c r="DV74" i="1"/>
  <c r="DU74" i="1"/>
  <c r="DT74" i="1"/>
  <c r="DS74" i="1"/>
  <c r="DR74" i="1"/>
  <c r="DP74" i="1"/>
  <c r="DO74" i="1"/>
  <c r="DN74" i="1"/>
  <c r="DM74" i="1"/>
  <c r="DL74" i="1"/>
  <c r="DK74" i="1"/>
  <c r="DW75" i="1"/>
  <c r="DV75" i="1"/>
  <c r="DU75" i="1"/>
  <c r="DT75" i="1"/>
  <c r="DS75" i="1"/>
  <c r="DR75" i="1"/>
  <c r="DP75" i="1"/>
  <c r="DO75" i="1"/>
  <c r="DN75" i="1"/>
  <c r="DM75" i="1"/>
  <c r="DL75" i="1"/>
  <c r="DK75" i="1"/>
  <c r="DW78" i="1"/>
  <c r="DV78" i="1"/>
  <c r="DU78" i="1"/>
  <c r="DT78" i="1"/>
  <c r="DS78" i="1"/>
  <c r="DR78" i="1"/>
  <c r="DP78" i="1"/>
  <c r="DO78" i="1"/>
  <c r="DN78" i="1"/>
  <c r="DM78" i="1"/>
  <c r="DL78" i="1"/>
  <c r="DK78" i="1"/>
  <c r="DN80" i="1" l="1"/>
  <c r="DN81" i="1" s="1"/>
  <c r="DL80" i="1"/>
  <c r="DL81" i="1" s="1"/>
  <c r="DX11" i="1"/>
  <c r="DU80" i="1"/>
  <c r="DU81" i="1" s="1"/>
  <c r="DP80" i="1"/>
  <c r="DP81" i="1" s="1"/>
  <c r="DO80" i="1"/>
  <c r="DO81" i="1" s="1"/>
  <c r="DV80" i="1"/>
  <c r="DV81" i="1" s="1"/>
  <c r="DR80" i="1"/>
  <c r="DR81" i="1" s="1"/>
  <c r="DW80" i="1"/>
  <c r="DW81" i="1" s="1"/>
  <c r="DS80" i="1"/>
  <c r="DS81" i="1" s="1"/>
  <c r="DM80" i="1"/>
  <c r="DM81" i="1" s="1"/>
  <c r="DK80" i="1"/>
  <c r="DK81" i="1" s="1"/>
  <c r="DT80" i="1"/>
  <c r="DT81" i="1" s="1"/>
  <c r="DX79" i="1"/>
  <c r="DX78" i="1"/>
  <c r="DX77" i="1"/>
  <c r="DX75" i="1"/>
  <c r="DX74" i="1"/>
  <c r="DQ79" i="1"/>
  <c r="DQ78" i="1"/>
  <c r="DQ77" i="1"/>
  <c r="DQ75" i="1"/>
  <c r="DQ74" i="1"/>
  <c r="D11" i="2" l="1"/>
  <c r="DQ80" i="1"/>
  <c r="DX80" i="1"/>
  <c r="DX81" i="1" s="1"/>
  <c r="DJ10" i="1"/>
  <c r="DJ9" i="1"/>
  <c r="DJ8" i="1"/>
  <c r="DJ7" i="1"/>
  <c r="DJ6" i="1"/>
  <c r="DJ5" i="1"/>
  <c r="DC38" i="1"/>
  <c r="DQ81" i="1" l="1"/>
  <c r="D19" i="2"/>
  <c r="D20" i="2" s="1"/>
  <c r="DC40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58" i="1" l="1"/>
  <c r="CV56" i="1"/>
  <c r="CV55" i="1"/>
  <c r="CV54" i="1"/>
  <c r="CV52" i="1"/>
  <c r="CV53" i="1"/>
  <c r="CV51" i="1"/>
  <c r="CV50" i="1"/>
  <c r="CV49" i="1"/>
  <c r="CV48" i="1"/>
  <c r="CV46" i="1"/>
  <c r="CV47" i="1"/>
  <c r="CV45" i="1"/>
  <c r="CV44" i="1"/>
  <c r="CV43" i="1"/>
  <c r="CV42" i="1"/>
  <c r="CV41" i="1"/>
  <c r="CV40" i="1"/>
  <c r="CV39" i="1"/>
  <c r="CV38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F46" i="1"/>
  <c r="BF45" i="1"/>
  <c r="BF44" i="1"/>
  <c r="BF43" i="1"/>
  <c r="BF42" i="1"/>
  <c r="BF41" i="1"/>
  <c r="BF40" i="1"/>
  <c r="BF39" i="1"/>
  <c r="BF38" i="1"/>
  <c r="AR43" i="1"/>
  <c r="AR41" i="1"/>
  <c r="AR42" i="1"/>
  <c r="AR39" i="1"/>
  <c r="AR40" i="1"/>
  <c r="AQ39" i="1"/>
  <c r="AQ40" i="1"/>
  <c r="AQ41" i="1"/>
  <c r="AQ42" i="1"/>
  <c r="AQ43" i="1"/>
  <c r="AP43" i="1"/>
  <c r="AP41" i="1"/>
  <c r="AP42" i="1"/>
  <c r="AP39" i="1"/>
  <c r="AP40" i="1"/>
  <c r="AO39" i="1"/>
  <c r="AO40" i="1"/>
  <c r="AO41" i="1"/>
  <c r="AO42" i="1"/>
  <c r="AO43" i="1"/>
  <c r="AN41" i="1"/>
  <c r="AN42" i="1"/>
  <c r="AN40" i="1"/>
  <c r="AN39" i="1"/>
  <c r="AM39" i="1"/>
  <c r="AM40" i="1"/>
  <c r="AM41" i="1"/>
  <c r="AM42" i="1"/>
  <c r="AL41" i="1"/>
  <c r="AL40" i="1"/>
  <c r="AL39" i="1"/>
  <c r="AK39" i="1"/>
  <c r="AK40" i="1"/>
  <c r="AK41" i="1"/>
  <c r="AJ39" i="1"/>
  <c r="AJ40" i="1"/>
  <c r="AI39" i="1"/>
  <c r="AI40" i="1"/>
  <c r="AH40" i="1"/>
  <c r="AH39" i="1"/>
  <c r="AG40" i="1"/>
  <c r="AG39" i="1"/>
  <c r="AF39" i="1"/>
  <c r="AE39" i="1"/>
  <c r="AD39" i="1"/>
  <c r="AC39" i="1"/>
  <c r="AB39" i="1"/>
  <c r="AA39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AG58" i="1" l="1"/>
  <c r="AC58" i="1"/>
  <c r="AF58" i="1"/>
  <c r="AN58" i="1"/>
  <c r="AO58" i="1"/>
  <c r="AH58" i="1"/>
  <c r="AQ58" i="1"/>
  <c r="AR58" i="1"/>
  <c r="AP58" i="1"/>
  <c r="AI58" i="1"/>
  <c r="AK58" i="1"/>
  <c r="BF58" i="1"/>
  <c r="CV58" i="1"/>
  <c r="AA58" i="1"/>
  <c r="AJ58" i="1"/>
  <c r="AD58" i="1"/>
  <c r="AL58" i="1"/>
  <c r="BT58" i="1"/>
  <c r="CH58" i="1"/>
  <c r="AB58" i="1"/>
  <c r="AE58" i="1"/>
  <c r="AM58" i="1"/>
  <c r="DJ56" i="1"/>
  <c r="EN56" i="1" s="1"/>
  <c r="ER56" i="1" s="1"/>
  <c r="DJ55" i="1"/>
  <c r="EN55" i="1" s="1"/>
  <c r="ER55" i="1" s="1"/>
  <c r="DJ54" i="1"/>
  <c r="EN54" i="1" s="1"/>
  <c r="ER54" i="1" s="1"/>
  <c r="DJ53" i="1"/>
  <c r="EN53" i="1" s="1"/>
  <c r="ER53" i="1" s="1"/>
  <c r="DJ52" i="1"/>
  <c r="EN52" i="1" s="1"/>
  <c r="ER52" i="1" s="1"/>
  <c r="DJ51" i="1"/>
  <c r="EN51" i="1" s="1"/>
  <c r="ER51" i="1" s="1"/>
  <c r="DJ50" i="1"/>
  <c r="EN50" i="1" s="1"/>
  <c r="ER50" i="1" s="1"/>
  <c r="DJ49" i="1"/>
  <c r="EN49" i="1" s="1"/>
  <c r="ER49" i="1" s="1"/>
  <c r="DJ48" i="1"/>
  <c r="EN48" i="1" s="1"/>
  <c r="ER48" i="1" s="1"/>
  <c r="DJ47" i="1"/>
  <c r="EN47" i="1" s="1"/>
  <c r="ER47" i="1" s="1"/>
  <c r="DJ46" i="1"/>
  <c r="EN46" i="1" s="1"/>
  <c r="ER46" i="1" s="1"/>
  <c r="DJ45" i="1"/>
  <c r="EN45" i="1" s="1"/>
  <c r="ER45" i="1" s="1"/>
  <c r="DJ44" i="1"/>
  <c r="EN44" i="1" s="1"/>
  <c r="ER44" i="1" s="1"/>
  <c r="DJ43" i="1"/>
  <c r="EN43" i="1" s="1"/>
  <c r="ER43" i="1" s="1"/>
  <c r="DJ42" i="1"/>
  <c r="EN42" i="1" s="1"/>
  <c r="ER42" i="1" s="1"/>
  <c r="DJ41" i="1"/>
  <c r="EN41" i="1" s="1"/>
  <c r="ER41" i="1" s="1"/>
  <c r="DJ40" i="1"/>
  <c r="EN40" i="1" s="1"/>
  <c r="ER40" i="1" s="1"/>
  <c r="DJ39" i="1"/>
  <c r="EN39" i="1" s="1"/>
  <c r="ER39" i="1" s="1"/>
  <c r="DJ38" i="1"/>
  <c r="EN38" i="1" s="1"/>
  <c r="ER38" i="1" s="1"/>
  <c r="EN58" i="1" l="1"/>
  <c r="DJ58" i="1"/>
  <c r="DE27" i="1"/>
  <c r="DF27" i="1"/>
  <c r="DG27" i="1"/>
  <c r="DH27" i="1"/>
  <c r="DI27" i="1"/>
  <c r="DJ27" i="1"/>
  <c r="DE28" i="1"/>
  <c r="DF28" i="1"/>
  <c r="DG28" i="1"/>
  <c r="DH28" i="1"/>
  <c r="DI28" i="1"/>
  <c r="DJ28" i="1"/>
  <c r="DE29" i="1"/>
  <c r="DF29" i="1"/>
  <c r="DG29" i="1"/>
  <c r="DH29" i="1"/>
  <c r="DI29" i="1"/>
  <c r="DJ29" i="1"/>
  <c r="DE30" i="1"/>
  <c r="DF30" i="1"/>
  <c r="DG30" i="1"/>
  <c r="DH30" i="1"/>
  <c r="DI30" i="1"/>
  <c r="DJ30" i="1"/>
  <c r="DE31" i="1"/>
  <c r="DF31" i="1"/>
  <c r="DG31" i="1"/>
  <c r="DH31" i="1"/>
  <c r="DI31" i="1"/>
  <c r="DJ31" i="1"/>
  <c r="DE32" i="1"/>
  <c r="DF32" i="1"/>
  <c r="DG32" i="1"/>
  <c r="DH32" i="1"/>
  <c r="DI32" i="1"/>
  <c r="DJ32" i="1"/>
  <c r="DE33" i="1"/>
  <c r="DF33" i="1"/>
  <c r="DG33" i="1"/>
  <c r="DH33" i="1"/>
  <c r="DI33" i="1"/>
  <c r="DJ33" i="1"/>
  <c r="DE34" i="1"/>
  <c r="DF34" i="1"/>
  <c r="DG34" i="1"/>
  <c r="DH34" i="1"/>
  <c r="DI34" i="1"/>
  <c r="DJ34" i="1"/>
  <c r="DE35" i="1"/>
  <c r="DF35" i="1"/>
  <c r="DG35" i="1"/>
  <c r="DH35" i="1"/>
  <c r="DI35" i="1"/>
  <c r="DJ35" i="1"/>
  <c r="DE36" i="1"/>
  <c r="DF36" i="1"/>
  <c r="DG36" i="1"/>
  <c r="DH36" i="1"/>
  <c r="DI36" i="1"/>
  <c r="DJ36" i="1"/>
  <c r="DD28" i="1"/>
  <c r="DD29" i="1"/>
  <c r="DD30" i="1"/>
  <c r="DD31" i="1"/>
  <c r="DD32" i="1"/>
  <c r="DD33" i="1"/>
  <c r="DD34" i="1"/>
  <c r="DD35" i="1"/>
  <c r="DD36" i="1"/>
  <c r="DD27" i="1"/>
  <c r="CX27" i="1"/>
  <c r="CY27" i="1"/>
  <c r="CZ27" i="1"/>
  <c r="DA27" i="1"/>
  <c r="DB27" i="1"/>
  <c r="CX28" i="1"/>
  <c r="CY28" i="1"/>
  <c r="CZ28" i="1"/>
  <c r="DA28" i="1"/>
  <c r="DB28" i="1"/>
  <c r="CX29" i="1"/>
  <c r="CY29" i="1"/>
  <c r="CZ29" i="1"/>
  <c r="DA29" i="1"/>
  <c r="DB29" i="1"/>
  <c r="CX30" i="1"/>
  <c r="CY30" i="1"/>
  <c r="CZ30" i="1"/>
  <c r="DA30" i="1"/>
  <c r="DB30" i="1"/>
  <c r="CX31" i="1"/>
  <c r="CY31" i="1"/>
  <c r="CZ31" i="1"/>
  <c r="DA31" i="1"/>
  <c r="DB31" i="1"/>
  <c r="CX32" i="1"/>
  <c r="CY32" i="1"/>
  <c r="CZ32" i="1"/>
  <c r="DA32" i="1"/>
  <c r="DB32" i="1"/>
  <c r="CX33" i="1"/>
  <c r="CY33" i="1"/>
  <c r="CZ33" i="1"/>
  <c r="DA33" i="1"/>
  <c r="DB33" i="1"/>
  <c r="CX34" i="1"/>
  <c r="CY34" i="1"/>
  <c r="CZ34" i="1"/>
  <c r="DA34" i="1"/>
  <c r="DB34" i="1"/>
  <c r="CX35" i="1"/>
  <c r="CY35" i="1"/>
  <c r="CZ35" i="1"/>
  <c r="DA35" i="1"/>
  <c r="DB35" i="1"/>
  <c r="CX36" i="1"/>
  <c r="CY36" i="1"/>
  <c r="CZ36" i="1"/>
  <c r="DA36" i="1"/>
  <c r="DB36" i="1"/>
  <c r="CW28" i="1"/>
  <c r="CW29" i="1"/>
  <c r="CW30" i="1"/>
  <c r="CW31" i="1"/>
  <c r="CW32" i="1"/>
  <c r="CW33" i="1"/>
  <c r="CW34" i="1"/>
  <c r="CW35" i="1"/>
  <c r="CW36" i="1"/>
  <c r="CW27" i="1"/>
  <c r="DC30" i="1" l="1"/>
  <c r="DC27" i="1"/>
  <c r="DC29" i="1"/>
  <c r="DC36" i="1"/>
  <c r="DC28" i="1"/>
  <c r="DI37" i="1"/>
  <c r="DC35" i="1"/>
  <c r="CX37" i="1"/>
  <c r="DJ37" i="1"/>
  <c r="DC34" i="1"/>
  <c r="DC33" i="1"/>
  <c r="DD37" i="1"/>
  <c r="DC31" i="1"/>
  <c r="CZ37" i="1"/>
  <c r="DB37" i="1"/>
  <c r="CW37" i="1"/>
  <c r="DC32" i="1"/>
  <c r="CY37" i="1"/>
  <c r="DA37" i="1"/>
  <c r="DF37" i="1"/>
  <c r="DG37" i="1"/>
  <c r="DE37" i="1"/>
  <c r="DH37" i="1"/>
  <c r="DC37" i="1" l="1"/>
  <c r="CY73" i="1" l="1"/>
  <c r="CZ73" i="1"/>
  <c r="DA73" i="1"/>
  <c r="DB73" i="1"/>
  <c r="DF73" i="1"/>
  <c r="DG73" i="1"/>
  <c r="DH73" i="1"/>
  <c r="DI73" i="1"/>
  <c r="DC11" i="1"/>
  <c r="DJ11" i="1" l="1"/>
  <c r="DE72" i="1"/>
  <c r="DE73" i="1" s="1"/>
  <c r="DD72" i="1"/>
  <c r="CX72" i="1"/>
  <c r="CX73" i="1" s="1"/>
  <c r="CW72" i="1"/>
  <c r="CQ72" i="1"/>
  <c r="CJ72" i="1"/>
  <c r="CB72" i="1"/>
  <c r="CH72" i="1" s="1"/>
  <c r="BV72" i="1"/>
  <c r="BU72" i="1"/>
  <c r="BO72" i="1"/>
  <c r="BN72" i="1"/>
  <c r="BH72" i="1"/>
  <c r="BG72" i="1"/>
  <c r="BA72" i="1"/>
  <c r="AZ72" i="1"/>
  <c r="AT72" i="1"/>
  <c r="AS72" i="1"/>
  <c r="AR72" i="1"/>
  <c r="AQ72" i="1"/>
  <c r="AP72" i="1"/>
  <c r="AO72" i="1"/>
  <c r="AN72" i="1"/>
  <c r="AM72" i="1"/>
  <c r="DD73" i="1" l="1"/>
  <c r="DJ72" i="1"/>
  <c r="DJ73" i="1" s="1"/>
  <c r="DC72" i="1"/>
  <c r="CW73" i="1"/>
  <c r="DB18" i="1"/>
  <c r="CU18" i="1"/>
  <c r="CS18" i="1"/>
  <c r="CQ18" i="1"/>
  <c r="CP18" i="1"/>
  <c r="CN18" i="1"/>
  <c r="CL18" i="1"/>
  <c r="CJ18" i="1"/>
  <c r="CI18" i="1"/>
  <c r="DG25" i="1"/>
  <c r="CZ25" i="1"/>
  <c r="CX25" i="1"/>
  <c r="CW25" i="1"/>
  <c r="CU25" i="1"/>
  <c r="CS25" i="1"/>
  <c r="CQ25" i="1"/>
  <c r="CP25" i="1"/>
  <c r="CN25" i="1"/>
  <c r="CL25" i="1"/>
  <c r="CJ25" i="1"/>
  <c r="CI25" i="1"/>
  <c r="DH17" i="1"/>
  <c r="DA17" i="1"/>
  <c r="CZ17" i="1"/>
  <c r="CW17" i="1"/>
  <c r="CU17" i="1"/>
  <c r="CT17" i="1"/>
  <c r="CS17" i="1"/>
  <c r="CQ17" i="1"/>
  <c r="CP17" i="1"/>
  <c r="CN17" i="1"/>
  <c r="CM17" i="1"/>
  <c r="CL17" i="1"/>
  <c r="CJ17" i="1"/>
  <c r="CI17" i="1"/>
  <c r="DH23" i="1"/>
  <c r="DA23" i="1"/>
  <c r="CU23" i="1"/>
  <c r="CS23" i="1"/>
  <c r="CQ23" i="1"/>
  <c r="CP23" i="1"/>
  <c r="CT23" i="1"/>
  <c r="CN23" i="1"/>
  <c r="CM23" i="1"/>
  <c r="CL23" i="1"/>
  <c r="CJ23" i="1"/>
  <c r="CI23" i="1"/>
  <c r="DI15" i="1"/>
  <c r="DD15" i="1"/>
  <c r="DB15" i="1"/>
  <c r="CZ15" i="1"/>
  <c r="CX15" i="1"/>
  <c r="CW15" i="1"/>
  <c r="CU15" i="1"/>
  <c r="CS15" i="1"/>
  <c r="CQ15" i="1"/>
  <c r="CP15" i="1"/>
  <c r="CN15" i="1"/>
  <c r="CL15" i="1"/>
  <c r="CJ15" i="1"/>
  <c r="CI15" i="1"/>
  <c r="DG16" i="1"/>
  <c r="DH16" i="1"/>
  <c r="CZ16" i="1"/>
  <c r="CX16" i="1"/>
  <c r="DA16" i="1"/>
  <c r="CU16" i="1"/>
  <c r="CS16" i="1"/>
  <c r="CQ16" i="1"/>
  <c r="CP16" i="1"/>
  <c r="CT16" i="1"/>
  <c r="CN16" i="1"/>
  <c r="CM16" i="1"/>
  <c r="CL16" i="1"/>
  <c r="CJ16" i="1"/>
  <c r="CI16" i="1"/>
  <c r="DG13" i="1"/>
  <c r="DE13" i="1"/>
  <c r="DD13" i="1"/>
  <c r="DB13" i="1"/>
  <c r="CZ13" i="1"/>
  <c r="CX13" i="1"/>
  <c r="CW13" i="1"/>
  <c r="CN24" i="1"/>
  <c r="CL24" i="1"/>
  <c r="CJ24" i="1"/>
  <c r="CI24" i="1"/>
  <c r="CN22" i="1"/>
  <c r="CL22" i="1"/>
  <c r="CJ22" i="1"/>
  <c r="CI22" i="1"/>
  <c r="CN19" i="1"/>
  <c r="CL19" i="1"/>
  <c r="CJ19" i="1"/>
  <c r="CI19" i="1"/>
  <c r="CN14" i="1"/>
  <c r="CL14" i="1"/>
  <c r="CJ14" i="1"/>
  <c r="CN13" i="1"/>
  <c r="CL13" i="1"/>
  <c r="CJ13" i="1"/>
  <c r="CI13" i="1"/>
  <c r="CU13" i="1"/>
  <c r="CS13" i="1"/>
  <c r="CQ13" i="1"/>
  <c r="CP13" i="1"/>
  <c r="DB14" i="1"/>
  <c r="CZ14" i="1"/>
  <c r="CX14" i="1"/>
  <c r="DB22" i="1"/>
  <c r="CZ22" i="1"/>
  <c r="CU22" i="1"/>
  <c r="CS22" i="1"/>
  <c r="CQ22" i="1"/>
  <c r="CP22" i="1"/>
  <c r="CU19" i="1"/>
  <c r="CS19" i="1"/>
  <c r="CQ19" i="1"/>
  <c r="CP19" i="1"/>
  <c r="DB19" i="1"/>
  <c r="CZ19" i="1"/>
  <c r="CX19" i="1"/>
  <c r="CW19" i="1"/>
  <c r="DE19" i="1"/>
  <c r="CZ24" i="1"/>
  <c r="CX24" i="1"/>
  <c r="CW24" i="1"/>
  <c r="CU24" i="1"/>
  <c r="CS24" i="1"/>
  <c r="CQ24" i="1"/>
  <c r="CP24" i="1"/>
  <c r="CU14" i="1"/>
  <c r="CS14" i="1"/>
  <c r="CQ14" i="1"/>
  <c r="CP14" i="1"/>
  <c r="CK26" i="1"/>
  <c r="CR26" i="1"/>
  <c r="CY26" i="1"/>
  <c r="DF26" i="1"/>
  <c r="CF26" i="1"/>
  <c r="CG26" i="1"/>
  <c r="CV18" i="1" l="1"/>
  <c r="DJ18" i="1"/>
  <c r="DC22" i="1"/>
  <c r="DJ13" i="1"/>
  <c r="DC17" i="1"/>
  <c r="DJ16" i="1"/>
  <c r="DJ15" i="1"/>
  <c r="DC73" i="1"/>
  <c r="DJ24" i="1"/>
  <c r="DJ19" i="1"/>
  <c r="CP26" i="1"/>
  <c r="CW26" i="1"/>
  <c r="DC23" i="1"/>
  <c r="DC19" i="1"/>
  <c r="DD26" i="1"/>
  <c r="DJ25" i="1"/>
  <c r="DJ17" i="1"/>
  <c r="DJ22" i="1"/>
  <c r="DC16" i="1"/>
  <c r="DC15" i="1"/>
  <c r="CV19" i="1"/>
  <c r="DC14" i="1"/>
  <c r="DJ23" i="1"/>
  <c r="DC25" i="1"/>
  <c r="DC18" i="1"/>
  <c r="DH26" i="1"/>
  <c r="CT26" i="1"/>
  <c r="DA26" i="1"/>
  <c r="CM26" i="1"/>
  <c r="CJ26" i="1"/>
  <c r="DC13" i="1"/>
  <c r="CN26" i="1"/>
  <c r="DI26" i="1"/>
  <c r="CL26" i="1"/>
  <c r="CZ26" i="1"/>
  <c r="CX26" i="1"/>
  <c r="DG26" i="1"/>
  <c r="DB26" i="1"/>
  <c r="CQ26" i="1"/>
  <c r="DE26" i="1"/>
  <c r="DC24" i="1"/>
  <c r="CU26" i="1"/>
  <c r="CS26" i="1"/>
  <c r="CI26" i="1"/>
  <c r="CO72" i="1"/>
  <c r="DJ26" i="1" l="1"/>
  <c r="DC26" i="1"/>
  <c r="DJ60" i="1"/>
  <c r="DJ61" i="1"/>
  <c r="DJ62" i="1"/>
  <c r="DJ63" i="1"/>
  <c r="DJ64" i="1"/>
  <c r="DJ65" i="1"/>
  <c r="DJ66" i="1"/>
  <c r="DJ67" i="1"/>
  <c r="DJ68" i="1"/>
  <c r="DJ69" i="1"/>
  <c r="DJ70" i="1"/>
  <c r="DJ59" i="1"/>
  <c r="CW71" i="1"/>
  <c r="CX71" i="1"/>
  <c r="CY71" i="1"/>
  <c r="CZ71" i="1"/>
  <c r="DA71" i="1"/>
  <c r="DB71" i="1"/>
  <c r="DD71" i="1"/>
  <c r="DE71" i="1"/>
  <c r="DF71" i="1"/>
  <c r="DG71" i="1"/>
  <c r="DH71" i="1"/>
  <c r="DI71" i="1"/>
  <c r="DJ71" i="1" l="1"/>
  <c r="DC71" i="1"/>
  <c r="CW80" i="1"/>
  <c r="CW81" i="1" s="1"/>
  <c r="CX80" i="1"/>
  <c r="CX81" i="1" s="1"/>
  <c r="CY80" i="1"/>
  <c r="CY81" i="1" s="1"/>
  <c r="CZ80" i="1"/>
  <c r="CZ81" i="1" s="1"/>
  <c r="DA80" i="1"/>
  <c r="DB80" i="1"/>
  <c r="DD80" i="1"/>
  <c r="DE80" i="1"/>
  <c r="DF80" i="1"/>
  <c r="DG80" i="1"/>
  <c r="DH80" i="1"/>
  <c r="DI80" i="1"/>
  <c r="DJ75" i="1"/>
  <c r="DJ77" i="1"/>
  <c r="DJ78" i="1"/>
  <c r="DJ79" i="1"/>
  <c r="DJ74" i="1"/>
  <c r="DC75" i="1"/>
  <c r="DC77" i="1"/>
  <c r="DC78" i="1"/>
  <c r="DC79" i="1"/>
  <c r="DC74" i="1"/>
  <c r="DC80" i="1" l="1"/>
  <c r="DJ80" i="1"/>
  <c r="DA81" i="1"/>
  <c r="DB81" i="1" l="1"/>
  <c r="DC81" i="1"/>
  <c r="CV72" i="1"/>
  <c r="DD81" i="1" l="1"/>
  <c r="DF81" i="1"/>
  <c r="CV60" i="1"/>
  <c r="CV61" i="1"/>
  <c r="CV62" i="1"/>
  <c r="CV63" i="1"/>
  <c r="CV64" i="1"/>
  <c r="CV65" i="1"/>
  <c r="CV66" i="1"/>
  <c r="CV67" i="1"/>
  <c r="CV68" i="1"/>
  <c r="CV69" i="1"/>
  <c r="CV70" i="1"/>
  <c r="CV59" i="1"/>
  <c r="CO60" i="1"/>
  <c r="CO61" i="1"/>
  <c r="CO62" i="1"/>
  <c r="CO63" i="1"/>
  <c r="CO64" i="1"/>
  <c r="CO65" i="1"/>
  <c r="CO66" i="1"/>
  <c r="CO67" i="1"/>
  <c r="CO68" i="1"/>
  <c r="CO69" i="1"/>
  <c r="CO70" i="1"/>
  <c r="CO59" i="1"/>
  <c r="DE81" i="1" l="1"/>
  <c r="DG81" i="1"/>
  <c r="CV71" i="1"/>
  <c r="DH81" i="1" l="1"/>
  <c r="H55" i="3"/>
  <c r="K55" i="3" s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38" i="1"/>
  <c r="EQ56" i="1" l="1"/>
  <c r="ES56" i="1" s="1"/>
  <c r="EE56" i="1" s="1"/>
  <c r="E55" i="3" s="1"/>
  <c r="EM56" i="1"/>
  <c r="G55" i="3" s="1"/>
  <c r="J55" i="3" s="1"/>
  <c r="CO58" i="1"/>
  <c r="DI81" i="1"/>
  <c r="DJ81" i="1" l="1"/>
  <c r="CV28" i="1"/>
  <c r="CV29" i="1"/>
  <c r="CV30" i="1"/>
  <c r="CV31" i="1"/>
  <c r="CV32" i="1"/>
  <c r="CV33" i="1"/>
  <c r="CV34" i="1"/>
  <c r="CV35" i="1"/>
  <c r="CV36" i="1"/>
  <c r="CV27" i="1"/>
  <c r="CO28" i="1"/>
  <c r="CO29" i="1"/>
  <c r="CO30" i="1"/>
  <c r="CO31" i="1"/>
  <c r="CO32" i="1"/>
  <c r="CO33" i="1"/>
  <c r="CO34" i="1"/>
  <c r="CO35" i="1"/>
  <c r="CO36" i="1"/>
  <c r="CO27" i="1"/>
  <c r="CV13" i="1"/>
  <c r="CO13" i="1"/>
  <c r="CV15" i="1"/>
  <c r="CV16" i="1"/>
  <c r="CV17" i="1"/>
  <c r="CV22" i="1"/>
  <c r="CV23" i="1"/>
  <c r="CV24" i="1"/>
  <c r="CV25" i="1"/>
  <c r="CV14" i="1"/>
  <c r="CO15" i="1"/>
  <c r="CO16" i="1"/>
  <c r="CO17" i="1"/>
  <c r="CO18" i="1"/>
  <c r="CO19" i="1"/>
  <c r="CO22" i="1"/>
  <c r="CO23" i="1"/>
  <c r="CO24" i="1"/>
  <c r="CO25" i="1"/>
  <c r="CO14" i="1"/>
  <c r="CV37" i="1" l="1"/>
  <c r="CV26" i="1"/>
  <c r="CO26" i="1"/>
  <c r="CP73" i="1" l="1"/>
  <c r="CQ73" i="1"/>
  <c r="CR73" i="1"/>
  <c r="CS73" i="1"/>
  <c r="CT73" i="1"/>
  <c r="CU73" i="1"/>
  <c r="CP71" i="1"/>
  <c r="CQ71" i="1"/>
  <c r="CR71" i="1"/>
  <c r="CS71" i="1"/>
  <c r="CT71" i="1"/>
  <c r="CU71" i="1"/>
  <c r="CP37" i="1"/>
  <c r="CQ37" i="1"/>
  <c r="CR37" i="1"/>
  <c r="CS37" i="1"/>
  <c r="CT37" i="1"/>
  <c r="CU37" i="1"/>
  <c r="CP11" i="1"/>
  <c r="CQ11" i="1"/>
  <c r="CR11" i="1"/>
  <c r="CS11" i="1"/>
  <c r="CT11" i="1"/>
  <c r="CU11" i="1"/>
  <c r="CV75" i="1"/>
  <c r="CV77" i="1"/>
  <c r="CV78" i="1"/>
  <c r="CV79" i="1"/>
  <c r="CV74" i="1"/>
  <c r="CP80" i="1"/>
  <c r="CQ80" i="1"/>
  <c r="CR80" i="1"/>
  <c r="CS80" i="1"/>
  <c r="CT80" i="1"/>
  <c r="CU80" i="1"/>
  <c r="CO75" i="1"/>
  <c r="CO77" i="1"/>
  <c r="CO78" i="1"/>
  <c r="CO79" i="1"/>
  <c r="CO74" i="1"/>
  <c r="CI80" i="1"/>
  <c r="CJ80" i="1"/>
  <c r="CK80" i="1"/>
  <c r="CL80" i="1"/>
  <c r="CM80" i="1"/>
  <c r="CN80" i="1"/>
  <c r="CI73" i="1"/>
  <c r="CJ73" i="1"/>
  <c r="CK73" i="1"/>
  <c r="CL73" i="1"/>
  <c r="CM73" i="1"/>
  <c r="CN73" i="1"/>
  <c r="CO73" i="1"/>
  <c r="CV73" i="1"/>
  <c r="CI71" i="1"/>
  <c r="CJ71" i="1"/>
  <c r="CK71" i="1"/>
  <c r="CL71" i="1"/>
  <c r="CM71" i="1"/>
  <c r="CN71" i="1"/>
  <c r="CO71" i="1"/>
  <c r="CI37" i="1"/>
  <c r="CJ37" i="1"/>
  <c r="CK37" i="1"/>
  <c r="CL37" i="1"/>
  <c r="CM37" i="1"/>
  <c r="CN37" i="1"/>
  <c r="CO37" i="1"/>
  <c r="CI11" i="1"/>
  <c r="CJ11" i="1"/>
  <c r="CK11" i="1"/>
  <c r="CL11" i="1"/>
  <c r="CM11" i="1"/>
  <c r="CN11" i="1"/>
  <c r="CV80" i="1" l="1"/>
  <c r="CP81" i="1"/>
  <c r="CJ81" i="1"/>
  <c r="CL81" i="1"/>
  <c r="CM81" i="1"/>
  <c r="CQ81" i="1"/>
  <c r="CI81" i="1"/>
  <c r="CK81" i="1"/>
  <c r="CN81" i="1"/>
  <c r="CU81" i="1"/>
  <c r="CT81" i="1"/>
  <c r="CS81" i="1"/>
  <c r="CR81" i="1"/>
  <c r="CO80" i="1"/>
  <c r="CV11" i="1" l="1"/>
  <c r="CO11" i="1"/>
  <c r="CO81" i="1" s="1"/>
  <c r="CV81" i="1" l="1"/>
  <c r="BM78" i="1"/>
  <c r="BT78" i="1"/>
  <c r="AR80" i="1"/>
  <c r="AQ80" i="1"/>
  <c r="BF72" i="1" l="1"/>
  <c r="BT72" i="1"/>
  <c r="EN72" i="1" l="1"/>
  <c r="BM72" i="1"/>
  <c r="AY59" i="1"/>
  <c r="AY60" i="1"/>
  <c r="AY61" i="1"/>
  <c r="AY62" i="1"/>
  <c r="AY63" i="1"/>
  <c r="AY64" i="1"/>
  <c r="AY65" i="1"/>
  <c r="AY66" i="1"/>
  <c r="AY67" i="1"/>
  <c r="AY68" i="1"/>
  <c r="AY69" i="1"/>
  <c r="P87" i="3" l="1"/>
  <c r="L33" i="2"/>
  <c r="D73" i="3"/>
  <c r="D74" i="3"/>
  <c r="D76" i="3"/>
  <c r="D77" i="3"/>
  <c r="D78" i="3"/>
  <c r="D71" i="3"/>
  <c r="D59" i="3"/>
  <c r="D60" i="3"/>
  <c r="D61" i="3"/>
  <c r="D62" i="3"/>
  <c r="D63" i="3"/>
  <c r="D64" i="3"/>
  <c r="D65" i="3"/>
  <c r="D66" i="3"/>
  <c r="D67" i="3"/>
  <c r="D68" i="3"/>
  <c r="D69" i="3"/>
  <c r="D58" i="3"/>
  <c r="D49" i="3"/>
  <c r="D50" i="3"/>
  <c r="D51" i="3"/>
  <c r="D52" i="3"/>
  <c r="D53" i="3"/>
  <c r="D54" i="3"/>
  <c r="D44" i="3"/>
  <c r="D45" i="3"/>
  <c r="D46" i="3"/>
  <c r="D47" i="3"/>
  <c r="D48" i="3"/>
  <c r="D41" i="3"/>
  <c r="D42" i="3"/>
  <c r="D43" i="3"/>
  <c r="D38" i="3"/>
  <c r="D39" i="3"/>
  <c r="D40" i="3"/>
  <c r="D37" i="3"/>
  <c r="D32" i="3"/>
  <c r="D33" i="3"/>
  <c r="D34" i="3"/>
  <c r="D35" i="3"/>
  <c r="D27" i="3"/>
  <c r="D28" i="3"/>
  <c r="D29" i="3"/>
  <c r="D30" i="3"/>
  <c r="D31" i="3"/>
  <c r="D26" i="3"/>
  <c r="D12" i="3"/>
  <c r="D11" i="3"/>
  <c r="D7" i="3"/>
  <c r="D8" i="3"/>
  <c r="D9" i="3"/>
  <c r="D5" i="3"/>
  <c r="D6" i="3"/>
  <c r="D4" i="3"/>
  <c r="CH79" i="1"/>
  <c r="CH75" i="1"/>
  <c r="CH77" i="1"/>
  <c r="CH78" i="1"/>
  <c r="CH60" i="1"/>
  <c r="CH61" i="1"/>
  <c r="CH62" i="1"/>
  <c r="CH63" i="1"/>
  <c r="CH64" i="1"/>
  <c r="CH65" i="1"/>
  <c r="CH66" i="1"/>
  <c r="CH67" i="1"/>
  <c r="CH68" i="1"/>
  <c r="CH69" i="1"/>
  <c r="CH70" i="1"/>
  <c r="CH74" i="1"/>
  <c r="CH59" i="1"/>
  <c r="H53" i="3"/>
  <c r="K53" i="3" s="1"/>
  <c r="CH33" i="1"/>
  <c r="CH34" i="1"/>
  <c r="CH35" i="1"/>
  <c r="CH36" i="1"/>
  <c r="CH19" i="1"/>
  <c r="CH22" i="1"/>
  <c r="CH23" i="1"/>
  <c r="CH24" i="1"/>
  <c r="CH25" i="1"/>
  <c r="CH32" i="1"/>
  <c r="CH31" i="1"/>
  <c r="CH30" i="1"/>
  <c r="CH29" i="1"/>
  <c r="CH28" i="1"/>
  <c r="CH27" i="1"/>
  <c r="CH18" i="1"/>
  <c r="CH17" i="1"/>
  <c r="CH16" i="1"/>
  <c r="CH15" i="1"/>
  <c r="CH14" i="1"/>
  <c r="CH13" i="1"/>
  <c r="CH6" i="1"/>
  <c r="CH7" i="1"/>
  <c r="CH8" i="1"/>
  <c r="CH9" i="1"/>
  <c r="EN9" i="1" s="1"/>
  <c r="CH10" i="1"/>
  <c r="EN10" i="1" s="1"/>
  <c r="CH5" i="1"/>
  <c r="CA79" i="1"/>
  <c r="CA75" i="1"/>
  <c r="CA77" i="1"/>
  <c r="CA78" i="1"/>
  <c r="EM78" i="1" s="1"/>
  <c r="CA74" i="1"/>
  <c r="CA72" i="1"/>
  <c r="CA60" i="1"/>
  <c r="CA61" i="1"/>
  <c r="CA62" i="1"/>
  <c r="CA63" i="1"/>
  <c r="CA64" i="1"/>
  <c r="CA65" i="1"/>
  <c r="CA66" i="1"/>
  <c r="CA67" i="1"/>
  <c r="CA68" i="1"/>
  <c r="CA69" i="1"/>
  <c r="CA70" i="1"/>
  <c r="CA59" i="1"/>
  <c r="CA48" i="1"/>
  <c r="CA49" i="1"/>
  <c r="CA50" i="1"/>
  <c r="CA51" i="1"/>
  <c r="CA52" i="1"/>
  <c r="CA53" i="1"/>
  <c r="CA54" i="1"/>
  <c r="CA55" i="1"/>
  <c r="CA47" i="1"/>
  <c r="CA46" i="1"/>
  <c r="CA45" i="1"/>
  <c r="CA44" i="1"/>
  <c r="CA43" i="1"/>
  <c r="CA42" i="1"/>
  <c r="CA41" i="1"/>
  <c r="CA40" i="1"/>
  <c r="CA39" i="1"/>
  <c r="CA38" i="1"/>
  <c r="CA28" i="1"/>
  <c r="CA29" i="1"/>
  <c r="CA30" i="1"/>
  <c r="CA31" i="1"/>
  <c r="CA32" i="1"/>
  <c r="CA33" i="1"/>
  <c r="CA34" i="1"/>
  <c r="CA35" i="1"/>
  <c r="CA36" i="1"/>
  <c r="CA27" i="1"/>
  <c r="CA19" i="1"/>
  <c r="CA22" i="1"/>
  <c r="CA23" i="1"/>
  <c r="CA24" i="1"/>
  <c r="CA25" i="1"/>
  <c r="CA18" i="1"/>
  <c r="CA17" i="1"/>
  <c r="CA16" i="1"/>
  <c r="CA15" i="1"/>
  <c r="CA14" i="1"/>
  <c r="CA13" i="1"/>
  <c r="CA6" i="1"/>
  <c r="CA7" i="1"/>
  <c r="CA8" i="1"/>
  <c r="CA9" i="1"/>
  <c r="EM9" i="1" s="1"/>
  <c r="CA10" i="1"/>
  <c r="EM10" i="1" s="1"/>
  <c r="CA5" i="1"/>
  <c r="BF78" i="1"/>
  <c r="AY78" i="1"/>
  <c r="AS80" i="1"/>
  <c r="BU80" i="1"/>
  <c r="BV80" i="1"/>
  <c r="BW80" i="1"/>
  <c r="BX80" i="1"/>
  <c r="BY80" i="1"/>
  <c r="BZ80" i="1"/>
  <c r="CB80" i="1"/>
  <c r="CC80" i="1"/>
  <c r="CD80" i="1"/>
  <c r="CE80" i="1"/>
  <c r="CF80" i="1"/>
  <c r="CG80" i="1"/>
  <c r="BV71" i="1"/>
  <c r="BU73" i="1"/>
  <c r="BV73" i="1"/>
  <c r="BW73" i="1"/>
  <c r="BX73" i="1"/>
  <c r="BY73" i="1"/>
  <c r="BZ73" i="1"/>
  <c r="CB73" i="1"/>
  <c r="CC73" i="1"/>
  <c r="CD73" i="1"/>
  <c r="CE73" i="1"/>
  <c r="CF73" i="1"/>
  <c r="CG73" i="1"/>
  <c r="BU71" i="1"/>
  <c r="BW71" i="1"/>
  <c r="BX71" i="1"/>
  <c r="BY71" i="1"/>
  <c r="BZ71" i="1"/>
  <c r="CB71" i="1"/>
  <c r="CC71" i="1"/>
  <c r="CD71" i="1"/>
  <c r="CE71" i="1"/>
  <c r="CF71" i="1"/>
  <c r="CG71" i="1"/>
  <c r="BX11" i="1"/>
  <c r="BW26" i="1"/>
  <c r="BV37" i="1"/>
  <c r="BU37" i="1"/>
  <c r="BW37" i="1"/>
  <c r="BX37" i="1"/>
  <c r="BY37" i="1"/>
  <c r="BZ37" i="1"/>
  <c r="CB37" i="1"/>
  <c r="CC37" i="1"/>
  <c r="CD37" i="1"/>
  <c r="CE37" i="1"/>
  <c r="CF37" i="1"/>
  <c r="CG37" i="1"/>
  <c r="BU26" i="1"/>
  <c r="BV26" i="1"/>
  <c r="BX26" i="1"/>
  <c r="BY26" i="1"/>
  <c r="BZ26" i="1"/>
  <c r="CB26" i="1"/>
  <c r="CC26" i="1"/>
  <c r="CD26" i="1"/>
  <c r="CE26" i="1"/>
  <c r="BU11" i="1"/>
  <c r="BV11" i="1"/>
  <c r="BW11" i="1"/>
  <c r="BY11" i="1"/>
  <c r="BZ11" i="1"/>
  <c r="CB11" i="1"/>
  <c r="CC11" i="1"/>
  <c r="CD11" i="1"/>
  <c r="CE11" i="1"/>
  <c r="CF11" i="1"/>
  <c r="CG11" i="1"/>
  <c r="H51" i="3"/>
  <c r="K51" i="3" s="1"/>
  <c r="H52" i="3"/>
  <c r="K52" i="3" s="1"/>
  <c r="H54" i="3"/>
  <c r="K54" i="3" s="1"/>
  <c r="H50" i="3"/>
  <c r="K50" i="3" s="1"/>
  <c r="Q87" i="3"/>
  <c r="EQ53" i="1" l="1"/>
  <c r="ES53" i="1" s="1"/>
  <c r="EE53" i="1" s="1"/>
  <c r="E52" i="3" s="1"/>
  <c r="EQ51" i="1"/>
  <c r="ES51" i="1" s="1"/>
  <c r="EE51" i="1" s="1"/>
  <c r="E50" i="3" s="1"/>
  <c r="EM51" i="1"/>
  <c r="G51" i="3"/>
  <c r="J51" i="3" s="1"/>
  <c r="EQ52" i="1"/>
  <c r="ES52" i="1" s="1"/>
  <c r="EM52" i="1"/>
  <c r="EN78" i="1"/>
  <c r="EQ55" i="1"/>
  <c r="ES55" i="1" s="1"/>
  <c r="EE55" i="1" s="1"/>
  <c r="E54" i="3" s="1"/>
  <c r="EM55" i="1"/>
  <c r="EQ54" i="1"/>
  <c r="ES54" i="1" s="1"/>
  <c r="EE54" i="1" s="1"/>
  <c r="E53" i="3" s="1"/>
  <c r="EM54" i="1"/>
  <c r="CA58" i="1"/>
  <c r="G54" i="3"/>
  <c r="J54" i="3" s="1"/>
  <c r="CH26" i="1"/>
  <c r="G53" i="3"/>
  <c r="J53" i="3" s="1"/>
  <c r="H77" i="3"/>
  <c r="K77" i="3" s="1"/>
  <c r="CH37" i="1"/>
  <c r="G50" i="3"/>
  <c r="J50" i="3" s="1"/>
  <c r="G9" i="3"/>
  <c r="J9" i="3" s="1"/>
  <c r="G8" i="3"/>
  <c r="J8" i="3" s="1"/>
  <c r="G77" i="3"/>
  <c r="J77" i="3" s="1"/>
  <c r="CA80" i="1"/>
  <c r="CH73" i="1"/>
  <c r="H9" i="3"/>
  <c r="K9" i="3" s="1"/>
  <c r="F9" i="2"/>
  <c r="CA73" i="1"/>
  <c r="BU81" i="1"/>
  <c r="CA37" i="1"/>
  <c r="CA11" i="1"/>
  <c r="E10" i="2"/>
  <c r="E9" i="2"/>
  <c r="CH80" i="1"/>
  <c r="CH71" i="1"/>
  <c r="CH11" i="1"/>
  <c r="CA71" i="1"/>
  <c r="CA26" i="1"/>
  <c r="BX81" i="1"/>
  <c r="BV81" i="1"/>
  <c r="CG81" i="1"/>
  <c r="BY81" i="1"/>
  <c r="CF81" i="1"/>
  <c r="BW81" i="1"/>
  <c r="CE81" i="1"/>
  <c r="CD81" i="1"/>
  <c r="CC81" i="1"/>
  <c r="CB81" i="1"/>
  <c r="BZ81" i="1"/>
  <c r="EM53" i="1" l="1"/>
  <c r="G52" i="3" s="1"/>
  <c r="J52" i="3" s="1"/>
  <c r="F10" i="2"/>
  <c r="H8" i="3"/>
  <c r="K8" i="3" s="1"/>
  <c r="CA81" i="1"/>
  <c r="CH81" i="1"/>
  <c r="BK71" i="1" l="1"/>
  <c r="BI5" i="1" l="1"/>
  <c r="BP11" i="1" l="1"/>
  <c r="BO11" i="1"/>
  <c r="BN11" i="1"/>
  <c r="BT8" i="1"/>
  <c r="BM8" i="1"/>
  <c r="BT7" i="1" l="1"/>
  <c r="EN7" i="1" s="1"/>
  <c r="BM7" i="1"/>
  <c r="BT6" i="1" l="1"/>
  <c r="BM6" i="1"/>
  <c r="BT5" i="1" l="1"/>
  <c r="BM5" i="1"/>
  <c r="BM11" i="1" s="1"/>
  <c r="BT11" i="1" l="1"/>
  <c r="BT79" i="1"/>
  <c r="EN79" i="1" s="1"/>
  <c r="BT77" i="1"/>
  <c r="BT75" i="1"/>
  <c r="BT74" i="1"/>
  <c r="BT36" i="1"/>
  <c r="BT35" i="1"/>
  <c r="BT34" i="1"/>
  <c r="BT33" i="1"/>
  <c r="BT32" i="1"/>
  <c r="BT31" i="1"/>
  <c r="BT30" i="1"/>
  <c r="BT29" i="1"/>
  <c r="BT28" i="1"/>
  <c r="BT27" i="1"/>
  <c r="BT25" i="1"/>
  <c r="BT24" i="1"/>
  <c r="BT23" i="1"/>
  <c r="BT22" i="1"/>
  <c r="BT19" i="1"/>
  <c r="BT18" i="1"/>
  <c r="BT17" i="1"/>
  <c r="BT16" i="1"/>
  <c r="BT15" i="1"/>
  <c r="BT14" i="1"/>
  <c r="BT13" i="1"/>
  <c r="BM79" i="1"/>
  <c r="EM79" i="1" s="1"/>
  <c r="BM77" i="1"/>
  <c r="BM75" i="1"/>
  <c r="BM74" i="1"/>
  <c r="BM38" i="1"/>
  <c r="BM36" i="1"/>
  <c r="BM35" i="1"/>
  <c r="BM34" i="1"/>
  <c r="BM33" i="1"/>
  <c r="BM32" i="1"/>
  <c r="BM31" i="1"/>
  <c r="BM30" i="1"/>
  <c r="BM29" i="1"/>
  <c r="BM28" i="1"/>
  <c r="BM27" i="1"/>
  <c r="BM14" i="1"/>
  <c r="BM15" i="1"/>
  <c r="BM16" i="1"/>
  <c r="BM17" i="1"/>
  <c r="BM18" i="1"/>
  <c r="BM19" i="1"/>
  <c r="BM22" i="1"/>
  <c r="BM23" i="1"/>
  <c r="BM24" i="1"/>
  <c r="BM25" i="1"/>
  <c r="BM13" i="1"/>
  <c r="BF77" i="1"/>
  <c r="BF75" i="1"/>
  <c r="BF74" i="1"/>
  <c r="EN74" i="1" s="1"/>
  <c r="BF69" i="1"/>
  <c r="BF68" i="1"/>
  <c r="BF67" i="1"/>
  <c r="BF66" i="1"/>
  <c r="BF65" i="1"/>
  <c r="BF64" i="1"/>
  <c r="BF63" i="1"/>
  <c r="BF62" i="1"/>
  <c r="BF61" i="1"/>
  <c r="BF60" i="1"/>
  <c r="BF59" i="1"/>
  <c r="BF36" i="1"/>
  <c r="BF35" i="1"/>
  <c r="EN35" i="1" s="1"/>
  <c r="BF34" i="1"/>
  <c r="BF33" i="1"/>
  <c r="EN33" i="1" s="1"/>
  <c r="BF32" i="1"/>
  <c r="EN32" i="1" s="1"/>
  <c r="BF30" i="1"/>
  <c r="EN30" i="1" s="1"/>
  <c r="BF31" i="1"/>
  <c r="EN31" i="1" s="1"/>
  <c r="BF29" i="1"/>
  <c r="EN29" i="1" s="1"/>
  <c r="BF28" i="1"/>
  <c r="BF27" i="1"/>
  <c r="EN27" i="1" s="1"/>
  <c r="BF25" i="1"/>
  <c r="BF24" i="1"/>
  <c r="EN24" i="1" s="1"/>
  <c r="BF23" i="1"/>
  <c r="EN23" i="1" s="1"/>
  <c r="BF22" i="1"/>
  <c r="EN22" i="1" s="1"/>
  <c r="BF19" i="1"/>
  <c r="BF18" i="1"/>
  <c r="BF17" i="1"/>
  <c r="BF16" i="1"/>
  <c r="EN16" i="1" s="1"/>
  <c r="BF15" i="1"/>
  <c r="BF14" i="1"/>
  <c r="EN14" i="1" s="1"/>
  <c r="BF13" i="1"/>
  <c r="EN13" i="1" s="1"/>
  <c r="BF8" i="1"/>
  <c r="EN8" i="1" s="1"/>
  <c r="BF6" i="1"/>
  <c r="EN6" i="1" s="1"/>
  <c r="BF5" i="1"/>
  <c r="EN5" i="1" s="1"/>
  <c r="AY77" i="1"/>
  <c r="AY75" i="1"/>
  <c r="AY74" i="1"/>
  <c r="AY72" i="1"/>
  <c r="EM72" i="1" s="1"/>
  <c r="AY46" i="1"/>
  <c r="AY45" i="1"/>
  <c r="AY44" i="1"/>
  <c r="AY43" i="1"/>
  <c r="AY42" i="1"/>
  <c r="AY41" i="1"/>
  <c r="AY39" i="1"/>
  <c r="AY38" i="1"/>
  <c r="AY36" i="1"/>
  <c r="EM36" i="1" s="1"/>
  <c r="AY35" i="1"/>
  <c r="EM35" i="1" s="1"/>
  <c r="AY34" i="1"/>
  <c r="EM34" i="1" s="1"/>
  <c r="AY33" i="1"/>
  <c r="EM33" i="1" s="1"/>
  <c r="AY32" i="1"/>
  <c r="EM32" i="1" s="1"/>
  <c r="AY31" i="1"/>
  <c r="EM31" i="1" s="1"/>
  <c r="AY30" i="1"/>
  <c r="AY29" i="1"/>
  <c r="EM29" i="1" s="1"/>
  <c r="AY28" i="1"/>
  <c r="EM28" i="1" s="1"/>
  <c r="AY27" i="1"/>
  <c r="EM27" i="1" s="1"/>
  <c r="AY25" i="1"/>
  <c r="AY24" i="1"/>
  <c r="EM24" i="1" s="1"/>
  <c r="AY23" i="1"/>
  <c r="EM23" i="1" s="1"/>
  <c r="AY22" i="1"/>
  <c r="AY19" i="1"/>
  <c r="AY18" i="1"/>
  <c r="EM18" i="1" s="1"/>
  <c r="AY17" i="1"/>
  <c r="EM17" i="1" s="1"/>
  <c r="AY16" i="1"/>
  <c r="EM16" i="1" s="1"/>
  <c r="AY15" i="1"/>
  <c r="EM15" i="1" s="1"/>
  <c r="AY14" i="1"/>
  <c r="EM14" i="1" s="1"/>
  <c r="AY13" i="1"/>
  <c r="EM13" i="1" s="1"/>
  <c r="AY8" i="1"/>
  <c r="EM8" i="1" s="1"/>
  <c r="AY7" i="1"/>
  <c r="EM7" i="1" s="1"/>
  <c r="AY6" i="1"/>
  <c r="EM6" i="1" s="1"/>
  <c r="BT70" i="1"/>
  <c r="EN70" i="1" s="1"/>
  <c r="BT69" i="1"/>
  <c r="BT68" i="1"/>
  <c r="BT67" i="1"/>
  <c r="BT66" i="1"/>
  <c r="BT65" i="1"/>
  <c r="BT64" i="1"/>
  <c r="BT63" i="1"/>
  <c r="BT62" i="1"/>
  <c r="BT61" i="1"/>
  <c r="BT60" i="1"/>
  <c r="BT59" i="1"/>
  <c r="H49" i="3"/>
  <c r="K49" i="3" s="1"/>
  <c r="BM70" i="1"/>
  <c r="EM70" i="1" s="1"/>
  <c r="BM69" i="1"/>
  <c r="EM69" i="1" s="1"/>
  <c r="BM68" i="1"/>
  <c r="EM68" i="1" s="1"/>
  <c r="BM67" i="1"/>
  <c r="EM67" i="1" s="1"/>
  <c r="BM66" i="1"/>
  <c r="EM66" i="1" s="1"/>
  <c r="BM65" i="1"/>
  <c r="EM65" i="1" s="1"/>
  <c r="BM64" i="1"/>
  <c r="EM64" i="1" s="1"/>
  <c r="BM63" i="1"/>
  <c r="EM63" i="1" s="1"/>
  <c r="BM62" i="1"/>
  <c r="EM62" i="1" s="1"/>
  <c r="BM61" i="1"/>
  <c r="EM61" i="1" s="1"/>
  <c r="BM60" i="1"/>
  <c r="EM60" i="1" s="1"/>
  <c r="BM59" i="1"/>
  <c r="EM59" i="1" s="1"/>
  <c r="BM49" i="1"/>
  <c r="BM50" i="1"/>
  <c r="BM47" i="1"/>
  <c r="BM48" i="1"/>
  <c r="BM45" i="1"/>
  <c r="BM46" i="1"/>
  <c r="BM44" i="1"/>
  <c r="BM43" i="1"/>
  <c r="BM42" i="1"/>
  <c r="BM41" i="1"/>
  <c r="BM40" i="1"/>
  <c r="BM39" i="1"/>
  <c r="EQ45" i="1" l="1"/>
  <c r="ES45" i="1" s="1"/>
  <c r="EE45" i="1" s="1"/>
  <c r="E44" i="3" s="1"/>
  <c r="EM45" i="1"/>
  <c r="EN61" i="1"/>
  <c r="EN69" i="1"/>
  <c r="EQ49" i="1"/>
  <c r="ES49" i="1" s="1"/>
  <c r="EE49" i="1" s="1"/>
  <c r="E48" i="3" s="1"/>
  <c r="EM49" i="1"/>
  <c r="EQ46" i="1"/>
  <c r="ES46" i="1" s="1"/>
  <c r="EE46" i="1" s="1"/>
  <c r="E45" i="3" s="1"/>
  <c r="EN62" i="1"/>
  <c r="EM30" i="1"/>
  <c r="EM39" i="1"/>
  <c r="EQ39" i="1"/>
  <c r="ES39" i="1" s="1"/>
  <c r="EM74" i="1"/>
  <c r="EN34" i="1"/>
  <c r="EN64" i="1"/>
  <c r="EM75" i="1"/>
  <c r="EQ38" i="1"/>
  <c r="ES38" i="1" s="1"/>
  <c r="EE38" i="1" s="1"/>
  <c r="EM38" i="1"/>
  <c r="EN63" i="1"/>
  <c r="EQ41" i="1"/>
  <c r="ES41" i="1" s="1"/>
  <c r="EE41" i="1" s="1"/>
  <c r="E40" i="3" s="1"/>
  <c r="EM41" i="1"/>
  <c r="EN65" i="1"/>
  <c r="EM77" i="1"/>
  <c r="EN75" i="1"/>
  <c r="EQ42" i="1"/>
  <c r="ES42" i="1" s="1"/>
  <c r="EE42" i="1" s="1"/>
  <c r="E41" i="3" s="1"/>
  <c r="EN28" i="1"/>
  <c r="EN36" i="1"/>
  <c r="EN66" i="1"/>
  <c r="EN77" i="1"/>
  <c r="EN80" i="1" s="1"/>
  <c r="EQ40" i="1"/>
  <c r="ES40" i="1" s="1"/>
  <c r="EM40" i="1"/>
  <c r="EQ43" i="1"/>
  <c r="ES43" i="1" s="1"/>
  <c r="EE43" i="1" s="1"/>
  <c r="E42" i="3" s="1"/>
  <c r="EN59" i="1"/>
  <c r="EN67" i="1"/>
  <c r="EQ48" i="1"/>
  <c r="ES48" i="1" s="1"/>
  <c r="EE48" i="1" s="1"/>
  <c r="E47" i="3" s="1"/>
  <c r="EM48" i="1"/>
  <c r="EQ47" i="1"/>
  <c r="ES47" i="1" s="1"/>
  <c r="EE47" i="1" s="1"/>
  <c r="E46" i="3" s="1"/>
  <c r="EQ50" i="1"/>
  <c r="ES50" i="1" s="1"/>
  <c r="EE50" i="1" s="1"/>
  <c r="E49" i="3" s="1"/>
  <c r="EQ44" i="1"/>
  <c r="ES44" i="1" s="1"/>
  <c r="EE44" i="1" s="1"/>
  <c r="E43" i="3" s="1"/>
  <c r="EM44" i="1"/>
  <c r="EN60" i="1"/>
  <c r="EN68" i="1"/>
  <c r="EM19" i="1"/>
  <c r="EN15" i="1"/>
  <c r="EN25" i="1"/>
  <c r="EM22" i="1"/>
  <c r="EN17" i="1"/>
  <c r="EN18" i="1"/>
  <c r="EM25" i="1"/>
  <c r="EN19" i="1"/>
  <c r="BM58" i="1"/>
  <c r="AY58" i="1"/>
  <c r="EN11" i="1"/>
  <c r="EM80" i="1"/>
  <c r="AY73" i="1"/>
  <c r="G78" i="3"/>
  <c r="J78" i="3" s="1"/>
  <c r="H69" i="3"/>
  <c r="K69" i="3" s="1"/>
  <c r="H78" i="3"/>
  <c r="K78" i="3" s="1"/>
  <c r="AY80" i="1"/>
  <c r="BF11" i="1"/>
  <c r="AY71" i="1"/>
  <c r="BF80" i="1"/>
  <c r="BF71" i="1"/>
  <c r="BF26" i="1"/>
  <c r="BF37" i="1"/>
  <c r="BN26" i="1"/>
  <c r="BO26" i="1"/>
  <c r="BP26" i="1"/>
  <c r="BQ26" i="1"/>
  <c r="BR26" i="1"/>
  <c r="BS26" i="1"/>
  <c r="BN37" i="1"/>
  <c r="BO37" i="1"/>
  <c r="BP37" i="1"/>
  <c r="BQ37" i="1"/>
  <c r="BR37" i="1"/>
  <c r="BS37" i="1"/>
  <c r="BM37" i="1"/>
  <c r="BO73" i="1"/>
  <c r="BP73" i="1"/>
  <c r="BQ73" i="1"/>
  <c r="BR73" i="1"/>
  <c r="BS73" i="1"/>
  <c r="BN73" i="1"/>
  <c r="BH73" i="1"/>
  <c r="BI73" i="1"/>
  <c r="BJ73" i="1"/>
  <c r="BK73" i="1"/>
  <c r="BL73" i="1"/>
  <c r="BG73" i="1"/>
  <c r="BF73" i="1"/>
  <c r="BL37" i="1"/>
  <c r="BG37" i="1"/>
  <c r="BH37" i="1"/>
  <c r="BI37" i="1"/>
  <c r="BJ37" i="1"/>
  <c r="BK37" i="1"/>
  <c r="BG26" i="1"/>
  <c r="BH26" i="1"/>
  <c r="BI26" i="1"/>
  <c r="BJ26" i="1"/>
  <c r="BK26" i="1"/>
  <c r="BL26" i="1"/>
  <c r="BH11" i="1"/>
  <c r="BG11" i="1"/>
  <c r="EM46" i="1" l="1"/>
  <c r="EM50" i="1"/>
  <c r="G49" i="3" s="1"/>
  <c r="J49" i="3" s="1"/>
  <c r="EM43" i="1"/>
  <c r="EM42" i="1"/>
  <c r="EM47" i="1"/>
  <c r="EE58" i="1"/>
  <c r="EE81" i="1" s="1"/>
  <c r="EM26" i="1"/>
  <c r="EN37" i="1"/>
  <c r="EM71" i="1"/>
  <c r="EM37" i="1"/>
  <c r="EN26" i="1"/>
  <c r="BT37" i="1" l="1"/>
  <c r="BT73" i="1" l="1"/>
  <c r="BM73" i="1"/>
  <c r="BT26" i="1" l="1"/>
  <c r="BM26" i="1"/>
  <c r="AT80" i="1" l="1"/>
  <c r="AU80" i="1"/>
  <c r="AV80" i="1"/>
  <c r="AW80" i="1"/>
  <c r="AX80" i="1"/>
  <c r="AZ80" i="1"/>
  <c r="BA80" i="1"/>
  <c r="BB80" i="1"/>
  <c r="BC80" i="1"/>
  <c r="BD80" i="1"/>
  <c r="BE80" i="1"/>
  <c r="BG80" i="1"/>
  <c r="BH80" i="1"/>
  <c r="BI80" i="1"/>
  <c r="BJ80" i="1"/>
  <c r="BK80" i="1"/>
  <c r="BL80" i="1"/>
  <c r="BN80" i="1"/>
  <c r="BO80" i="1"/>
  <c r="BP80" i="1"/>
  <c r="BQ80" i="1"/>
  <c r="BR80" i="1"/>
  <c r="BS80" i="1"/>
  <c r="G69" i="3"/>
  <c r="J69" i="3" s="1"/>
  <c r="AZ71" i="1"/>
  <c r="BA71" i="1"/>
  <c r="BB71" i="1"/>
  <c r="BC71" i="1"/>
  <c r="BD71" i="1"/>
  <c r="BE71" i="1"/>
  <c r="BG71" i="1"/>
  <c r="BH71" i="1"/>
  <c r="BI71" i="1"/>
  <c r="BJ71" i="1"/>
  <c r="BL71" i="1"/>
  <c r="BN71" i="1"/>
  <c r="BN81" i="1" s="1"/>
  <c r="BO71" i="1"/>
  <c r="BP71" i="1"/>
  <c r="BQ71" i="1"/>
  <c r="BR71" i="1"/>
  <c r="BS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I71" i="1"/>
  <c r="AJ71" i="1"/>
  <c r="AK71" i="1"/>
  <c r="AL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E71" i="1"/>
  <c r="BI11" i="1"/>
  <c r="BJ11" i="1"/>
  <c r="BK11" i="1"/>
  <c r="BL11" i="1"/>
  <c r="BQ11" i="1"/>
  <c r="BR11" i="1"/>
  <c r="BS11" i="1"/>
  <c r="AJ11" i="1"/>
  <c r="AK11" i="1"/>
  <c r="AL11" i="1"/>
  <c r="AM11" i="1"/>
  <c r="AN11" i="1"/>
  <c r="AO11" i="1"/>
  <c r="AP11" i="1"/>
  <c r="AQ11" i="1"/>
  <c r="AR11" i="1"/>
  <c r="AS11" i="1"/>
  <c r="AT11" i="1"/>
  <c r="AV11" i="1"/>
  <c r="AW11" i="1"/>
  <c r="AX11" i="1"/>
  <c r="AZ11" i="1"/>
  <c r="BA11" i="1"/>
  <c r="BB11" i="1"/>
  <c r="BC11" i="1"/>
  <c r="BD11" i="1"/>
  <c r="BE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T11" i="1"/>
  <c r="U11" i="1"/>
  <c r="V11" i="1"/>
  <c r="I11" i="1"/>
  <c r="J11" i="1"/>
  <c r="K11" i="1"/>
  <c r="L11" i="1"/>
  <c r="M11" i="1"/>
  <c r="N11" i="1"/>
  <c r="O11" i="1"/>
  <c r="P11" i="1"/>
  <c r="Q11" i="1"/>
  <c r="R11" i="1"/>
  <c r="S11" i="1"/>
  <c r="F11" i="1"/>
  <c r="G11" i="1"/>
  <c r="H11" i="1"/>
  <c r="E11" i="1"/>
  <c r="BK81" i="1" l="1"/>
  <c r="BG81" i="1"/>
  <c r="BR81" i="1"/>
  <c r="BL81" i="1"/>
  <c r="BS81" i="1"/>
  <c r="BJ81" i="1"/>
  <c r="BI81" i="1"/>
  <c r="BQ81" i="1"/>
  <c r="BP81" i="1"/>
  <c r="BO81" i="1"/>
  <c r="BH81" i="1"/>
  <c r="BT80" i="1"/>
  <c r="G48" i="3"/>
  <c r="J48" i="3" s="1"/>
  <c r="H46" i="3"/>
  <c r="K46" i="3" s="1"/>
  <c r="G47" i="3"/>
  <c r="J47" i="3" s="1"/>
  <c r="H47" i="3"/>
  <c r="K47" i="3" s="1"/>
  <c r="G46" i="3"/>
  <c r="J46" i="3" s="1"/>
  <c r="H48" i="3"/>
  <c r="K48" i="3" s="1"/>
  <c r="BM80" i="1"/>
  <c r="BT71" i="1"/>
  <c r="BM71" i="1"/>
  <c r="BT81" i="1" l="1"/>
  <c r="BM81" i="1"/>
  <c r="AU5" i="1" l="1"/>
  <c r="AU11" i="1" l="1"/>
  <c r="AY5" i="1"/>
  <c r="EM5" i="1" s="1"/>
  <c r="EM11" i="1" s="1"/>
  <c r="AX26" i="1"/>
  <c r="AW26" i="1"/>
  <c r="AV26" i="1"/>
  <c r="AU26" i="1"/>
  <c r="AT26" i="1"/>
  <c r="AS26" i="1"/>
  <c r="AY11" i="1" l="1"/>
  <c r="AZ26" i="1"/>
  <c r="BA26" i="1"/>
  <c r="BB26" i="1"/>
  <c r="BC26" i="1"/>
  <c r="BD26" i="1"/>
  <c r="BE26" i="1"/>
  <c r="AS37" i="1"/>
  <c r="AT37" i="1"/>
  <c r="AU37" i="1"/>
  <c r="AV37" i="1"/>
  <c r="AW37" i="1"/>
  <c r="AX37" i="1"/>
  <c r="AZ37" i="1"/>
  <c r="BA37" i="1"/>
  <c r="BB37" i="1"/>
  <c r="BC37" i="1"/>
  <c r="BD37" i="1"/>
  <c r="BE37" i="1"/>
  <c r="AS73" i="1"/>
  <c r="AT73" i="1"/>
  <c r="AV73" i="1"/>
  <c r="AX73" i="1"/>
  <c r="AZ73" i="1"/>
  <c r="BA73" i="1"/>
  <c r="BC73" i="1"/>
  <c r="BE73" i="1"/>
  <c r="AV81" i="1" l="1"/>
  <c r="AS81" i="1"/>
  <c r="BD81" i="1"/>
  <c r="AX81" i="1"/>
  <c r="AT81" i="1"/>
  <c r="BA81" i="1"/>
  <c r="BB81" i="1"/>
  <c r="AY37" i="1"/>
  <c r="AW81" i="1"/>
  <c r="AZ81" i="1"/>
  <c r="BE81" i="1"/>
  <c r="AU81" i="1"/>
  <c r="AY26" i="1"/>
  <c r="BC81" i="1"/>
  <c r="EN71" i="1" l="1"/>
  <c r="AY81" i="1"/>
  <c r="BF81" i="1"/>
  <c r="H43" i="3" l="1"/>
  <c r="K43" i="3" s="1"/>
  <c r="H44" i="3"/>
  <c r="K44" i="3" s="1"/>
  <c r="H45" i="3"/>
  <c r="K45" i="3" s="1"/>
  <c r="G44" i="3"/>
  <c r="J44" i="3" s="1"/>
  <c r="H74" i="3"/>
  <c r="K74" i="3" s="1"/>
  <c r="H76" i="3"/>
  <c r="K76" i="3" s="1"/>
  <c r="G74" i="3"/>
  <c r="J74" i="3" s="1"/>
  <c r="G76" i="3"/>
  <c r="J76" i="3" s="1"/>
  <c r="H73" i="3" l="1"/>
  <c r="K73" i="3" s="1"/>
  <c r="G45" i="3"/>
  <c r="J45" i="3" s="1"/>
  <c r="G43" i="3"/>
  <c r="J43" i="3" s="1"/>
  <c r="G73" i="3" l="1"/>
  <c r="J73" i="3" s="1"/>
  <c r="L29" i="2" l="1"/>
  <c r="L25" i="2"/>
  <c r="H71" i="3"/>
  <c r="K71" i="3" s="1"/>
  <c r="G71" i="3"/>
  <c r="J71" i="3" s="1"/>
  <c r="G62" i="3"/>
  <c r="J62" i="3" s="1"/>
  <c r="H62" i="3"/>
  <c r="K62" i="3" s="1"/>
  <c r="G63" i="3"/>
  <c r="J63" i="3" s="1"/>
  <c r="H63" i="3"/>
  <c r="K63" i="3" s="1"/>
  <c r="G64" i="3"/>
  <c r="J64" i="3" s="1"/>
  <c r="H64" i="3"/>
  <c r="K64" i="3" s="1"/>
  <c r="G65" i="3"/>
  <c r="J65" i="3" s="1"/>
  <c r="H65" i="3"/>
  <c r="K65" i="3" s="1"/>
  <c r="G66" i="3"/>
  <c r="J66" i="3" s="1"/>
  <c r="H66" i="3"/>
  <c r="K66" i="3" s="1"/>
  <c r="G67" i="3"/>
  <c r="J67" i="3" s="1"/>
  <c r="H67" i="3"/>
  <c r="K67" i="3" s="1"/>
  <c r="G68" i="3"/>
  <c r="J68" i="3" s="1"/>
  <c r="H68" i="3"/>
  <c r="K68" i="3" s="1"/>
  <c r="H61" i="3"/>
  <c r="K61" i="3" s="1"/>
  <c r="G61" i="3"/>
  <c r="J61" i="3" s="1"/>
  <c r="G59" i="3"/>
  <c r="J59" i="3" s="1"/>
  <c r="H59" i="3"/>
  <c r="K59" i="3" s="1"/>
  <c r="G60" i="3"/>
  <c r="J60" i="3" s="1"/>
  <c r="H60" i="3"/>
  <c r="K60" i="3" s="1"/>
  <c r="H58" i="3"/>
  <c r="K58" i="3" s="1"/>
  <c r="G58" i="3"/>
  <c r="J58" i="3" s="1"/>
  <c r="G38" i="3"/>
  <c r="J38" i="3" s="1"/>
  <c r="H38" i="3"/>
  <c r="K38" i="3" s="1"/>
  <c r="G39" i="3"/>
  <c r="J39" i="3" s="1"/>
  <c r="H39" i="3"/>
  <c r="K39" i="3" s="1"/>
  <c r="G40" i="3"/>
  <c r="J40" i="3" s="1"/>
  <c r="H40" i="3"/>
  <c r="K40" i="3" s="1"/>
  <c r="G41" i="3"/>
  <c r="J41" i="3" s="1"/>
  <c r="H41" i="3"/>
  <c r="K41" i="3" s="1"/>
  <c r="G42" i="3"/>
  <c r="J42" i="3" s="1"/>
  <c r="H42" i="3"/>
  <c r="K42" i="3" s="1"/>
  <c r="G27" i="3"/>
  <c r="J27" i="3" s="1"/>
  <c r="G28" i="3"/>
  <c r="J28" i="3" s="1"/>
  <c r="G29" i="3"/>
  <c r="J29" i="3" s="1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26" i="3"/>
  <c r="J26" i="3" s="1"/>
  <c r="H33" i="3"/>
  <c r="K33" i="3" s="1"/>
  <c r="H35" i="3"/>
  <c r="K35" i="3" s="1"/>
  <c r="H34" i="3"/>
  <c r="K34" i="3" s="1"/>
  <c r="H27" i="3"/>
  <c r="K27" i="3" s="1"/>
  <c r="H28" i="3"/>
  <c r="K28" i="3" s="1"/>
  <c r="H29" i="3"/>
  <c r="K29" i="3" s="1"/>
  <c r="H30" i="3"/>
  <c r="K30" i="3" s="1"/>
  <c r="H31" i="3"/>
  <c r="K31" i="3" s="1"/>
  <c r="H32" i="3"/>
  <c r="K32" i="3" s="1"/>
  <c r="H26" i="3"/>
  <c r="K26" i="3" s="1"/>
  <c r="G13" i="3"/>
  <c r="J13" i="3" s="1"/>
  <c r="H13" i="3"/>
  <c r="K13" i="3" s="1"/>
  <c r="G14" i="3"/>
  <c r="J14" i="3" s="1"/>
  <c r="H14" i="3"/>
  <c r="K14" i="3" s="1"/>
  <c r="G15" i="3"/>
  <c r="J15" i="3" s="1"/>
  <c r="H15" i="3"/>
  <c r="K15" i="3" s="1"/>
  <c r="G16" i="3"/>
  <c r="J16" i="3" s="1"/>
  <c r="H16" i="3"/>
  <c r="K16" i="3" s="1"/>
  <c r="G17" i="3"/>
  <c r="J17" i="3" s="1"/>
  <c r="H17" i="3"/>
  <c r="K17" i="3" s="1"/>
  <c r="G18" i="3"/>
  <c r="J18" i="3" s="1"/>
  <c r="H18" i="3"/>
  <c r="K18" i="3" s="1"/>
  <c r="G21" i="3"/>
  <c r="J21" i="3" s="1"/>
  <c r="H21" i="3"/>
  <c r="K21" i="3" s="1"/>
  <c r="G22" i="3"/>
  <c r="J22" i="3" s="1"/>
  <c r="H22" i="3"/>
  <c r="K22" i="3" s="1"/>
  <c r="G23" i="3"/>
  <c r="J23" i="3" s="1"/>
  <c r="H23" i="3"/>
  <c r="K23" i="3" s="1"/>
  <c r="G24" i="3"/>
  <c r="J24" i="3" s="1"/>
  <c r="H24" i="3"/>
  <c r="K24" i="3" s="1"/>
  <c r="H12" i="3"/>
  <c r="K12" i="3" s="1"/>
  <c r="H11" i="3" l="1"/>
  <c r="K11" i="3" s="1"/>
  <c r="G12" i="3"/>
  <c r="J12" i="3" s="1"/>
  <c r="H10" i="3"/>
  <c r="K10" i="3" s="1"/>
  <c r="H37" i="3"/>
  <c r="K37" i="3" s="1"/>
  <c r="G4" i="3"/>
  <c r="J4" i="3" s="1"/>
  <c r="E5" i="2"/>
  <c r="G11" i="3"/>
  <c r="J11" i="3" s="1"/>
  <c r="G7" i="3"/>
  <c r="J7" i="3" s="1"/>
  <c r="E8" i="2"/>
  <c r="F5" i="2"/>
  <c r="H4" i="3"/>
  <c r="K4" i="3" s="1"/>
  <c r="G6" i="3"/>
  <c r="J6" i="3" s="1"/>
  <c r="E7" i="2"/>
  <c r="F8" i="2"/>
  <c r="H7" i="3"/>
  <c r="K7" i="3" s="1"/>
  <c r="G10" i="3"/>
  <c r="J10" i="3" s="1"/>
  <c r="H5" i="3"/>
  <c r="K5" i="3" s="1"/>
  <c r="F6" i="2"/>
  <c r="G5" i="3"/>
  <c r="J5" i="3" s="1"/>
  <c r="E6" i="2"/>
  <c r="F7" i="2"/>
  <c r="H6" i="3"/>
  <c r="K6" i="3" s="1"/>
  <c r="AQ73" i="1"/>
  <c r="AR73" i="1"/>
  <c r="E11" i="2" l="1"/>
  <c r="F11" i="2"/>
  <c r="G25" i="3"/>
  <c r="J25" i="3" s="1"/>
  <c r="E13" i="2"/>
  <c r="AM73" i="1" l="1"/>
  <c r="EN73" i="1"/>
  <c r="EN81" i="1" s="1"/>
  <c r="EM73" i="1"/>
  <c r="AR37" i="1"/>
  <c r="AQ37" i="1"/>
  <c r="AR26" i="1"/>
  <c r="AQ26" i="1"/>
  <c r="AP26" i="1"/>
  <c r="AR81" i="1" l="1"/>
  <c r="AQ81" i="1"/>
  <c r="H72" i="3"/>
  <c r="K72" i="3" s="1"/>
  <c r="F17" i="2"/>
  <c r="H79" i="3"/>
  <c r="K79" i="3" s="1"/>
  <c r="F18" i="2"/>
  <c r="E18" i="2"/>
  <c r="G79" i="3"/>
  <c r="J79" i="3" s="1"/>
  <c r="H25" i="3"/>
  <c r="K25" i="3" s="1"/>
  <c r="F13" i="2"/>
  <c r="F15" i="2"/>
  <c r="H57" i="3"/>
  <c r="K57" i="3" s="1"/>
  <c r="G72" i="3"/>
  <c r="J72" i="3" s="1"/>
  <c r="E17" i="2"/>
  <c r="G70" i="3" l="1"/>
  <c r="J70" i="3" s="1"/>
  <c r="E16" i="2"/>
  <c r="E14" i="2"/>
  <c r="G36" i="3"/>
  <c r="J36" i="3" s="1"/>
  <c r="H36" i="3"/>
  <c r="K36" i="3" s="1"/>
  <c r="F14" i="2"/>
  <c r="F16" i="2"/>
  <c r="H70" i="3"/>
  <c r="K70" i="3" s="1"/>
  <c r="E26" i="1"/>
  <c r="H80" i="3" l="1"/>
  <c r="K80" i="3" s="1"/>
  <c r="F19" i="2"/>
  <c r="F20" i="2" s="1"/>
  <c r="AO73" i="1"/>
  <c r="AP73" i="1"/>
  <c r="AN73" i="1"/>
  <c r="E37" i="1"/>
  <c r="AO37" i="1"/>
  <c r="AP37" i="1"/>
  <c r="AN37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P81" i="1" l="1"/>
  <c r="AO81" i="1"/>
  <c r="AN81" i="1"/>
  <c r="D14" i="1"/>
  <c r="D15" i="1" l="1"/>
  <c r="D13" i="3"/>
  <c r="J25" i="2"/>
  <c r="B17" i="2"/>
  <c r="B16" i="2"/>
  <c r="B15" i="2"/>
  <c r="B14" i="2"/>
  <c r="B13" i="2"/>
  <c r="B8" i="2"/>
  <c r="B7" i="2"/>
  <c r="B6" i="2"/>
  <c r="B5" i="2"/>
  <c r="D16" i="1" l="1"/>
  <c r="D14" i="3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E73" i="1"/>
  <c r="E81" i="1" s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M81" i="1" s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F26" i="1"/>
  <c r="G26" i="1"/>
  <c r="H26" i="1"/>
  <c r="I26" i="1"/>
  <c r="J26" i="1"/>
  <c r="K26" i="1"/>
  <c r="L26" i="1"/>
  <c r="M26" i="1"/>
  <c r="N26" i="1"/>
  <c r="K81" i="1" l="1"/>
  <c r="AI81" i="1"/>
  <c r="D17" i="1"/>
  <c r="D15" i="3"/>
  <c r="G81" i="1"/>
  <c r="AE81" i="1"/>
  <c r="Z81" i="1"/>
  <c r="V81" i="1"/>
  <c r="R81" i="1"/>
  <c r="N81" i="1"/>
  <c r="J81" i="1"/>
  <c r="F81" i="1"/>
  <c r="AL81" i="1"/>
  <c r="AH81" i="1"/>
  <c r="AD81" i="1"/>
  <c r="AB81" i="1"/>
  <c r="P81" i="1"/>
  <c r="X81" i="1"/>
  <c r="T81" i="1"/>
  <c r="L81" i="1"/>
  <c r="H81" i="1"/>
  <c r="AJ81" i="1"/>
  <c r="AF81" i="1"/>
  <c r="Y81" i="1"/>
  <c r="U81" i="1"/>
  <c r="Q81" i="1"/>
  <c r="M81" i="1"/>
  <c r="I81" i="1"/>
  <c r="AK81" i="1"/>
  <c r="AG81" i="1"/>
  <c r="AC81" i="1"/>
  <c r="AA81" i="1"/>
  <c r="W81" i="1"/>
  <c r="S81" i="1"/>
  <c r="O81" i="1"/>
  <c r="EQ81" i="1" l="1"/>
  <c r="ER81" i="1"/>
  <c r="ER83" i="1" s="1"/>
  <c r="D18" i="1"/>
  <c r="D16" i="3"/>
  <c r="D19" i="1" l="1"/>
  <c r="D20" i="1" s="1"/>
  <c r="D17" i="3"/>
  <c r="D21" i="1" l="1"/>
  <c r="D20" i="3" s="1"/>
  <c r="D19" i="3"/>
  <c r="D22" i="1"/>
  <c r="D18" i="3"/>
  <c r="D23" i="1" l="1"/>
  <c r="D21" i="3"/>
  <c r="D24" i="1" l="1"/>
  <c r="D22" i="3"/>
  <c r="D25" i="1" l="1"/>
  <c r="D24" i="3" s="1"/>
  <c r="D23" i="3"/>
  <c r="E57" i="3"/>
  <c r="E37" i="3"/>
  <c r="G37" i="3"/>
  <c r="E80" i="3" l="1"/>
  <c r="C15" i="2"/>
  <c r="C19" i="2" s="1"/>
  <c r="C20" i="2" s="1"/>
  <c r="J37" i="3"/>
  <c r="EM58" i="1"/>
  <c r="G57" i="3" l="1"/>
  <c r="J57" i="3" s="1"/>
  <c r="E15" i="2"/>
  <c r="E19" i="2" s="1"/>
  <c r="E20" i="2" s="1"/>
  <c r="EM81" i="1"/>
  <c r="G80" i="3" l="1"/>
  <c r="J80" i="3" s="1"/>
  <c r="EQ83" i="1"/>
</calcChain>
</file>

<file path=xl/sharedStrings.xml><?xml version="1.0" encoding="utf-8"?>
<sst xmlns="http://schemas.openxmlformats.org/spreadsheetml/2006/main" count="1219" uniqueCount="173">
  <si>
    <t>Bacia Hidrográfica</t>
  </si>
  <si>
    <t>Domínio</t>
  </si>
  <si>
    <t>Início</t>
  </si>
  <si>
    <t>TOTAL</t>
  </si>
  <si>
    <t>Fonte</t>
  </si>
  <si>
    <t>Cobrado</t>
  </si>
  <si>
    <t>Arrecadado</t>
  </si>
  <si>
    <t>União</t>
  </si>
  <si>
    <t>ANA</t>
  </si>
  <si>
    <t>INEA/RJ</t>
  </si>
  <si>
    <t>RJ</t>
  </si>
  <si>
    <t>...</t>
  </si>
  <si>
    <t>Paraíba do Sul</t>
  </si>
  <si>
    <t>SP</t>
  </si>
  <si>
    <t>MG</t>
  </si>
  <si>
    <t>Fundação PCJ</t>
  </si>
  <si>
    <t>PCJ (paulista)</t>
  </si>
  <si>
    <t>PJ</t>
  </si>
  <si>
    <t>IGAM/MG</t>
  </si>
  <si>
    <t>das Velhas</t>
  </si>
  <si>
    <t>Araguari</t>
  </si>
  <si>
    <t>Piranga</t>
  </si>
  <si>
    <t>Piracicaba</t>
  </si>
  <si>
    <t>Santo Antônio</t>
  </si>
  <si>
    <t>Suaçuí</t>
  </si>
  <si>
    <t>Caratinga</t>
  </si>
  <si>
    <t>Manhuaçu</t>
  </si>
  <si>
    <t>Guandu</t>
  </si>
  <si>
    <t>CE</t>
  </si>
  <si>
    <t>COGERH/CE</t>
  </si>
  <si>
    <t>Sorocaba e Médio Tietê</t>
  </si>
  <si>
    <t>Baixo Tietê</t>
  </si>
  <si>
    <t>Baixada Santista</t>
  </si>
  <si>
    <t>Alto Iguaçu e Afluentes do Alto Ribeira</t>
  </si>
  <si>
    <t>PR</t>
  </si>
  <si>
    <t>ANEEL</t>
  </si>
  <si>
    <t>PARANÁ</t>
  </si>
  <si>
    <t>SÃO PAULO</t>
  </si>
  <si>
    <t>INTERESTADUAL</t>
  </si>
  <si>
    <t>Total CE</t>
  </si>
  <si>
    <t>Total RJ</t>
  </si>
  <si>
    <t>Total SP</t>
  </si>
  <si>
    <t>Total MG</t>
  </si>
  <si>
    <t>MINAS GERAIS</t>
  </si>
  <si>
    <t>Total PR</t>
  </si>
  <si>
    <t>UHEs</t>
  </si>
  <si>
    <t>1- De acordo com o Decreto nº 7.402/10, a parcela referida no inciso II do § 1º do art. 17 da Lei nº 9.648/98, constitui cobrança pelo uso de recursos hídricos, prevista no inciso IV do art. 5º da Lei nº 9.433/97, e será destinada ao Ministério do Meio Ambiente para as despesas que constituem obrigações legais referentes à Política Nacional de Recursos Hídricos e ao Sistema Nacional de Gerenciamento de Recursos Hídricos.</t>
  </si>
  <si>
    <t>Médio Paraíba do Sul</t>
  </si>
  <si>
    <t>Piabanha</t>
  </si>
  <si>
    <t>Baixo Paraíba do Sul</t>
  </si>
  <si>
    <t>Baía de Guanabara</t>
  </si>
  <si>
    <t>Baía da Ilha Grande</t>
  </si>
  <si>
    <t>Itabapoana</t>
  </si>
  <si>
    <t>Lagos São João</t>
  </si>
  <si>
    <t>Macaé e Rio das Ostras</t>
  </si>
  <si>
    <t>São Francisco</t>
  </si>
  <si>
    <t>Doce</t>
  </si>
  <si>
    <t>Ceará</t>
  </si>
  <si>
    <t>Rio de Janeiro</t>
  </si>
  <si>
    <t>São Paulo</t>
  </si>
  <si>
    <t>Minas Gerais</t>
  </si>
  <si>
    <t>Paraná</t>
  </si>
  <si>
    <t>TOTAL INTERESTADUAL</t>
  </si>
  <si>
    <t>Piracicaba, Capivari, Jundiaí (PCJ)</t>
  </si>
  <si>
    <t>Cobranças Implementadas</t>
  </si>
  <si>
    <t>Cobranças Interestaduais</t>
  </si>
  <si>
    <t>Cobranças Estaduais</t>
  </si>
  <si>
    <t>Total</t>
  </si>
  <si>
    <t>Cobrança</t>
  </si>
  <si>
    <t>Valores Arrecadados com a Cobrança pelo Uso de Recursos Hídricos do Setor Hidrelétrico no País, em R$ 1,00</t>
  </si>
  <si>
    <t>Valores Cobrados e Arrecadados com a Cobrança pelo Uso de Recursos Hídricos em Bacias Hidrográficas no País, em R$ 1,00</t>
  </si>
  <si>
    <t>Piracicaba, Capivari, Jundiaí (Comitês PCJ)</t>
  </si>
  <si>
    <t>São Francisco (CBHSF)</t>
  </si>
  <si>
    <t>Paraíba do Sul (CEIVAP)</t>
  </si>
  <si>
    <t>Mecanismo Diferenciado de Pagamento - MDP, em R$ 1,00</t>
  </si>
  <si>
    <t>1- MDP = Mecanismo Diferenciado de Pagamento (refere a mecanismo de redução do valor cobrado em razão de investimentos voluntários dos usuários em ações de melhoria da quantidade/qualidade da água.</t>
  </si>
  <si>
    <t>Tipo de Usina</t>
  </si>
  <si>
    <r>
      <t>SETOR HIDRELÉTRICO</t>
    </r>
    <r>
      <rPr>
        <b/>
        <vertAlign val="superscript"/>
        <sz val="10"/>
        <rFont val="Arial"/>
        <family val="2"/>
      </rPr>
      <t>1</t>
    </r>
  </si>
  <si>
    <r>
      <t>MDP</t>
    </r>
    <r>
      <rPr>
        <b/>
        <vertAlign val="superscript"/>
        <sz val="10"/>
        <rFont val="Arial"/>
        <family val="2"/>
      </rPr>
      <t>1</t>
    </r>
  </si>
  <si>
    <r>
      <t>Piracicaba, Capivari, Jundiaí (Comitês PCJ)</t>
    </r>
    <r>
      <rPr>
        <vertAlign val="superscript"/>
        <sz val="10"/>
        <color rgb="FF000000"/>
        <rFont val="Arial"/>
        <family val="2"/>
      </rPr>
      <t>2</t>
    </r>
  </si>
  <si>
    <t>2- Conforme Resolução CNRH nº 78/07.</t>
  </si>
  <si>
    <t xml:space="preserve">Cobrado </t>
  </si>
  <si>
    <t>Coreaú</t>
  </si>
  <si>
    <t>Acaraú</t>
  </si>
  <si>
    <t>Litoral</t>
  </si>
  <si>
    <t>Curu</t>
  </si>
  <si>
    <t>Metropolitana</t>
  </si>
  <si>
    <t>Baixo Jaguaribe</t>
  </si>
  <si>
    <t>Parnaíba (Sertão Crateús e Serra Ibiapaba)</t>
  </si>
  <si>
    <t>Banabuiú</t>
  </si>
  <si>
    <t>Médio Jaguaribe</t>
  </si>
  <si>
    <t>Alto Jaguaribe</t>
  </si>
  <si>
    <t>Salgado</t>
  </si>
  <si>
    <t>Alto Tietê</t>
  </si>
  <si>
    <t>PARAÍBA</t>
  </si>
  <si>
    <t>AESA</t>
  </si>
  <si>
    <t>Preto/Paraibuna</t>
  </si>
  <si>
    <t>Pomba/Muriaé</t>
  </si>
  <si>
    <t>Total PB</t>
  </si>
  <si>
    <t>PB</t>
  </si>
  <si>
    <t>Paraíba</t>
  </si>
  <si>
    <t>Em todas as bacias hidrográficas do Estado</t>
  </si>
  <si>
    <t>PCJ</t>
  </si>
  <si>
    <t>Doce (CBH-Doce)</t>
  </si>
  <si>
    <t>CEARÁ</t>
  </si>
  <si>
    <t>Rio Dois Rios</t>
  </si>
  <si>
    <t>Cobrança em Bacias Hidrográficas, em R$ milhões</t>
  </si>
  <si>
    <t>RIO DE JANEIRO</t>
  </si>
  <si>
    <t>Cobrança do Setor Hidrelétrico, em R$ milhões</t>
  </si>
  <si>
    <t>Mecanismo Diferenciado de Pagamento (MDP), em R$ milhões</t>
  </si>
  <si>
    <t>Valores Cobrados e Arrecadados com a Cobrança pelo Uso de Recursos Hídricos em Bacias Hidrográficas no País, em R$ milhões</t>
  </si>
  <si>
    <t>Saneamento</t>
  </si>
  <si>
    <t>Indústria</t>
  </si>
  <si>
    <t>Outros</t>
  </si>
  <si>
    <t>Litoral Sul</t>
  </si>
  <si>
    <t>Litoral Norte</t>
  </si>
  <si>
    <t>Tietê Jacaré</t>
  </si>
  <si>
    <t>Tietê Batalha</t>
  </si>
  <si>
    <t xml:space="preserve">Ribeira de Iguape e Litoral Sul </t>
  </si>
  <si>
    <t>Agropecuária</t>
  </si>
  <si>
    <t>Termelétrica</t>
  </si>
  <si>
    <t>Mineração</t>
  </si>
  <si>
    <t>Velhas</t>
  </si>
  <si>
    <t>SSRH/SP</t>
  </si>
  <si>
    <r>
      <t>TOTAL NO PAÍS</t>
    </r>
    <r>
      <rPr>
        <b/>
        <sz val="11"/>
        <color rgb="FFFFC000"/>
        <rFont val="Arial"/>
        <family val="2"/>
      </rPr>
      <t xml:space="preserve"> (cobranças em bacias hidrográficas)</t>
    </r>
  </si>
  <si>
    <r>
      <t>Doce (CBH-Doce)</t>
    </r>
    <r>
      <rPr>
        <vertAlign val="superscript"/>
        <sz val="10"/>
        <color rgb="FF000000"/>
        <rFont val="Arial"/>
        <family val="2"/>
      </rPr>
      <t>1</t>
    </r>
  </si>
  <si>
    <t>1- Os boletos referentes à cobrança de 2011 na Bacia do Doce foram encaminhados somente em 2012.</t>
  </si>
  <si>
    <t>Transferência de Valores Arrecadados com a Cobrança pelo Uso de Recursos Hídricos do CBH Guandu para o CEIVAP, em R$ 1,00</t>
  </si>
  <si>
    <t>COBRANÇA TOTAL NO PAÍS</t>
  </si>
  <si>
    <r>
      <t>Transposições PBS/Guandu</t>
    </r>
    <r>
      <rPr>
        <vertAlign val="superscript"/>
        <sz val="10"/>
        <color rgb="FF000000"/>
        <rFont val="Arial"/>
        <family val="2"/>
      </rPr>
      <t>1</t>
    </r>
  </si>
  <si>
    <t>1- Em função das transposições das águas da bacia do rio Paraíba do Sul para a bacia do rio Guandu, o CBH-Guandu transfere ao CEIVAP parte dos seus recursos arrecadados com a cobrança pelo uso de recursos hídricos (de jan/07 a set/16: 15%; e a partir de out/16: 20%). O CBH-Guandu tem atuação nos rios Guandu, Guarda e Guarda-Mirim, a transferência refere-se apenas a arrecadação sobre as águas superficiais do rio Guandu. Não há emissão de boleto pela ANA, sendo os valores transferidos diretamente do INEA/RJ para o CEIVAP.</t>
  </si>
  <si>
    <t>Transposições PBS/Guandu</t>
  </si>
  <si>
    <t>Transferência de Valores do CBH Guandu para o CEIVAP,                                em R$ milhões</t>
  </si>
  <si>
    <r>
      <t>CEARÁ</t>
    </r>
    <r>
      <rPr>
        <b/>
        <vertAlign val="superscript"/>
        <sz val="10"/>
        <color theme="1"/>
        <rFont val="Arial"/>
        <family val="2"/>
      </rPr>
      <t>3</t>
    </r>
  </si>
  <si>
    <r>
      <t>RIO DE JANEIRO</t>
    </r>
    <r>
      <rPr>
        <b/>
        <vertAlign val="superscript"/>
        <sz val="10"/>
        <color theme="1"/>
        <rFont val="Arial"/>
        <family val="2"/>
      </rPr>
      <t>4</t>
    </r>
  </si>
  <si>
    <t>3- A COGERH/CE não possui os valores cobrados e arrecadados por bacia para os anos anteriores a 2008.</t>
  </si>
  <si>
    <t>4- Sobre os valores cobrados 2004/2007 e arrecadados 2004/2006, ver Nota Técnica nº 001/2008/DGRH.</t>
  </si>
  <si>
    <t>2- Embora a cobrança tenha sido iniciada em 2017, os boletos começaram a ser emitidos em 2018.</t>
  </si>
  <si>
    <r>
      <t>Paranaíba (CBH Paranaíba)</t>
    </r>
    <r>
      <rPr>
        <vertAlign val="superscript"/>
        <sz val="10"/>
        <color rgb="FF000000"/>
        <rFont val="Arial"/>
        <family val="2"/>
      </rPr>
      <t>2</t>
    </r>
  </si>
  <si>
    <t>Pará</t>
  </si>
  <si>
    <t>Pardo</t>
  </si>
  <si>
    <t>Sapucaí-Mirim/Grande</t>
  </si>
  <si>
    <t>Mogi</t>
  </si>
  <si>
    <t>Serra da Mantiqueira</t>
  </si>
  <si>
    <r>
      <t>Verde Grande (CBH Verde Grande)</t>
    </r>
    <r>
      <rPr>
        <vertAlign val="superscript"/>
        <sz val="10"/>
        <color rgb="FF000000"/>
        <rFont val="Arial"/>
        <family val="2"/>
      </rPr>
      <t>2</t>
    </r>
  </si>
  <si>
    <t>Baixo Pardo/Grande</t>
  </si>
  <si>
    <t>Outras bacias</t>
  </si>
  <si>
    <t>Turvo Grande</t>
  </si>
  <si>
    <t>Pontal do Paranapanema</t>
  </si>
  <si>
    <t>Médio Paranapanema</t>
  </si>
  <si>
    <t>Aguapeí/Peixe</t>
  </si>
  <si>
    <t>Piranhas</t>
  </si>
  <si>
    <t>Paranaíba (CBH Paranaíba)</t>
  </si>
  <si>
    <t>Verde Grande (CBH Verde Grande)</t>
  </si>
  <si>
    <t>Valores Arrecadados com a Cobrança pelo Uso de Recursos Hídricos do Setor Hidrelétrico no País, em R$ milhões</t>
  </si>
  <si>
    <t>Litoral Sul (Abiaí, Gramame)</t>
  </si>
  <si>
    <t>Litoral Norte (Mamanguape, Camaratuba, Miriri)</t>
  </si>
  <si>
    <t>Outras bacias (Guaju, Curimataú, Jacu, Trairí)</t>
  </si>
  <si>
    <t>Alto Paranapanema</t>
  </si>
  <si>
    <t>Piracicaba/Jaguari</t>
  </si>
  <si>
    <t>IAT Paraná</t>
  </si>
  <si>
    <t>São José dos Dourados</t>
  </si>
  <si>
    <t>2022</t>
  </si>
  <si>
    <t>Atualizada: março/2023.</t>
  </si>
  <si>
    <t>Paraíba (delegação ANA)</t>
  </si>
  <si>
    <t>Sertão Crateús</t>
  </si>
  <si>
    <t>Serra Ibiapaba</t>
  </si>
  <si>
    <t>Parnaíba (Serra Ibiapaba + Sertão Crateús)</t>
  </si>
  <si>
    <t xml:space="preserve">                    -   </t>
  </si>
  <si>
    <t xml:space="preserve">               -   </t>
  </si>
  <si>
    <t xml:space="preserve">                 -   </t>
  </si>
  <si>
    <t xml:space="preserve">                   -   </t>
  </si>
  <si>
    <t xml:space="preserve">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</si>
</sst>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_-;\-* #,##0_-;_-* \-??_-;_-@_-"/>
    <numFmt numFmtId="166" formatCode="* #,##0\ ;\-* #,##0\ ;* \-#\ ;@\ "/>
    <numFmt numFmtId="167" formatCode="0.0%"/>
    <numFmt numFmtId="168" formatCode="[$-416]mmm\-yy;@"/>
    <numFmt numFmtId="169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3" tint="0.79998168889431442"/>
      <name val="Arial"/>
      <family val="2"/>
    </font>
    <font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C000"/>
      <name val="Arial"/>
      <family val="2"/>
    </font>
    <font>
      <b/>
      <sz val="14"/>
      <color rgb="FFFFC000"/>
      <name val="Arial"/>
      <family val="2"/>
    </font>
    <font>
      <b/>
      <sz val="5"/>
      <color rgb="FFFFC000"/>
      <name val="Arial"/>
      <family val="2"/>
    </font>
    <font>
      <b/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7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17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rgb="FFFFFFCC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6" fillId="0" borderId="0" xfId="0" applyFont="1"/>
    <xf numFmtId="43" fontId="6" fillId="0" borderId="0" xfId="0" applyNumberFormat="1" applyFont="1"/>
    <xf numFmtId="17" fontId="4" fillId="0" borderId="5" xfId="0" quotePrefix="1" applyNumberFormat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5" xfId="1" applyNumberFormat="1" applyFont="1" applyBorder="1"/>
    <xf numFmtId="164" fontId="8" fillId="4" borderId="5" xfId="1" applyNumberFormat="1" applyFont="1" applyFill="1" applyBorder="1"/>
    <xf numFmtId="164" fontId="4" fillId="0" borderId="5" xfId="0" applyNumberFormat="1" applyFont="1" applyBorder="1"/>
    <xf numFmtId="164" fontId="8" fillId="3" borderId="5" xfId="1" applyNumberFormat="1" applyFont="1" applyFill="1" applyBorder="1"/>
    <xf numFmtId="164" fontId="6" fillId="0" borderId="5" xfId="1" applyNumberFormat="1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7" fontId="4" fillId="0" borderId="1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1" applyNumberFormat="1" applyFont="1"/>
    <xf numFmtId="0" fontId="12" fillId="0" borderId="0" xfId="0" applyFont="1" applyAlignment="1">
      <alignment horizontal="center"/>
    </xf>
    <xf numFmtId="164" fontId="13" fillId="2" borderId="17" xfId="1" applyNumberFormat="1" applyFont="1" applyFill="1" applyBorder="1"/>
    <xf numFmtId="0" fontId="12" fillId="2" borderId="18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164" fontId="15" fillId="2" borderId="23" xfId="1" applyNumberFormat="1" applyFont="1" applyFill="1" applyBorder="1"/>
    <xf numFmtId="0" fontId="16" fillId="2" borderId="24" xfId="0" applyFont="1" applyFill="1" applyBorder="1" applyAlignment="1">
      <alignment horizontal="center"/>
    </xf>
    <xf numFmtId="0" fontId="17" fillId="0" borderId="0" xfId="0" applyFont="1"/>
    <xf numFmtId="0" fontId="15" fillId="2" borderId="1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164" fontId="15" fillId="2" borderId="16" xfId="1" applyNumberFormat="1" applyFont="1" applyFill="1" applyBorder="1"/>
    <xf numFmtId="0" fontId="16" fillId="2" borderId="20" xfId="0" applyFont="1" applyFill="1" applyBorder="1" applyAlignment="1">
      <alignment horizontal="center"/>
    </xf>
    <xf numFmtId="164" fontId="8" fillId="4" borderId="6" xfId="1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164" fontId="6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4" fontId="15" fillId="2" borderId="8" xfId="1" applyNumberFormat="1" applyFont="1" applyFill="1" applyBorder="1"/>
    <xf numFmtId="0" fontId="16" fillId="2" borderId="9" xfId="0" applyFont="1" applyFill="1" applyBorder="1" applyAlignment="1">
      <alignment horizontal="center"/>
    </xf>
    <xf numFmtId="0" fontId="20" fillId="0" borderId="0" xfId="0" applyFont="1"/>
    <xf numFmtId="0" fontId="2" fillId="2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/>
    <xf numFmtId="0" fontId="8" fillId="0" borderId="0" xfId="0" applyFont="1" applyAlignment="1">
      <alignment horizontal="center"/>
    </xf>
    <xf numFmtId="164" fontId="18" fillId="0" borderId="0" xfId="1" applyNumberFormat="1" applyFont="1"/>
    <xf numFmtId="164" fontId="5" fillId="5" borderId="5" xfId="1" applyNumberFormat="1" applyFont="1" applyFill="1" applyBorder="1"/>
    <xf numFmtId="164" fontId="6" fillId="5" borderId="5" xfId="1" applyNumberFormat="1" applyFont="1" applyFill="1" applyBorder="1"/>
    <xf numFmtId="0" fontId="4" fillId="4" borderId="5" xfId="0" applyFont="1" applyFill="1" applyBorder="1" applyAlignment="1">
      <alignment horizontal="center" vertical="center" wrapText="1"/>
    </xf>
    <xf numFmtId="17" fontId="4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164" fontId="8" fillId="5" borderId="5" xfId="1" applyNumberFormat="1" applyFont="1" applyFill="1" applyBorder="1"/>
    <xf numFmtId="164" fontId="8" fillId="4" borderId="5" xfId="1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vertical="center" wrapText="1"/>
    </xf>
    <xf numFmtId="164" fontId="8" fillId="3" borderId="17" xfId="1" applyNumberFormat="1" applyFont="1" applyFill="1" applyBorder="1"/>
    <xf numFmtId="164" fontId="8" fillId="4" borderId="15" xfId="1" applyNumberFormat="1" applyFont="1" applyFill="1" applyBorder="1"/>
    <xf numFmtId="165" fontId="21" fillId="0" borderId="5" xfId="1" applyNumberFormat="1" applyFont="1" applyBorder="1"/>
    <xf numFmtId="0" fontId="10" fillId="0" borderId="0" xfId="2"/>
    <xf numFmtId="0" fontId="10" fillId="0" borderId="0" xfId="2" applyAlignment="1">
      <alignment horizontal="center" vertical="center" wrapText="1"/>
    </xf>
    <xf numFmtId="164" fontId="10" fillId="0" borderId="0" xfId="2" applyNumberFormat="1"/>
    <xf numFmtId="0" fontId="8" fillId="3" borderId="18" xfId="0" applyFont="1" applyFill="1" applyBorder="1" applyAlignment="1">
      <alignment horizontal="center"/>
    </xf>
    <xf numFmtId="164" fontId="8" fillId="4" borderId="30" xfId="1" applyNumberFormat="1" applyFont="1" applyFill="1" applyBorder="1"/>
    <xf numFmtId="164" fontId="6" fillId="0" borderId="5" xfId="1" quotePrefix="1" applyNumberFormat="1" applyFont="1" applyBorder="1"/>
    <xf numFmtId="0" fontId="21" fillId="0" borderId="5" xfId="0" applyFont="1" applyBorder="1" applyAlignment="1">
      <alignment horizontal="center" vertical="center" wrapText="1"/>
    </xf>
    <xf numFmtId="17" fontId="21" fillId="0" borderId="5" xfId="0" applyNumberFormat="1" applyFont="1" applyBorder="1" applyAlignment="1">
      <alignment horizontal="center" vertical="center" wrapText="1"/>
    </xf>
    <xf numFmtId="166" fontId="21" fillId="6" borderId="5" xfId="1" applyNumberFormat="1" applyFont="1" applyFill="1" applyBorder="1"/>
    <xf numFmtId="166" fontId="21" fillId="7" borderId="5" xfId="1" applyNumberFormat="1" applyFont="1" applyFill="1" applyBorder="1"/>
    <xf numFmtId="166" fontId="21" fillId="9" borderId="5" xfId="1" applyNumberFormat="1" applyFont="1" applyFill="1" applyBorder="1"/>
    <xf numFmtId="164" fontId="9" fillId="6" borderId="5" xfId="1" applyNumberFormat="1" applyFont="1" applyFill="1" applyBorder="1" applyAlignment="1">
      <alignment horizontal="center" vertical="center"/>
    </xf>
    <xf numFmtId="164" fontId="21" fillId="8" borderId="5" xfId="1" applyNumberFormat="1" applyFont="1" applyFill="1" applyBorder="1"/>
    <xf numFmtId="164" fontId="8" fillId="4" borderId="0" xfId="1" applyNumberFormat="1" applyFont="1" applyFill="1"/>
    <xf numFmtId="164" fontId="6" fillId="0" borderId="0" xfId="1" applyNumberFormat="1" applyFont="1"/>
    <xf numFmtId="164" fontId="6" fillId="0" borderId="5" xfId="1" quotePrefix="1" applyNumberFormat="1" applyFont="1" applyBorder="1" applyAlignment="1">
      <alignment horizontal="center"/>
    </xf>
    <xf numFmtId="165" fontId="21" fillId="5" borderId="5" xfId="1" applyNumberFormat="1" applyFont="1" applyFill="1" applyBorder="1"/>
    <xf numFmtId="164" fontId="21" fillId="5" borderId="5" xfId="1" applyNumberFormat="1" applyFont="1" applyFill="1" applyBorder="1"/>
    <xf numFmtId="164" fontId="6" fillId="3" borderId="6" xfId="1" applyNumberFormat="1" applyFont="1" applyFill="1" applyBorder="1" applyAlignment="1">
      <alignment horizontal="center"/>
    </xf>
    <xf numFmtId="164" fontId="9" fillId="0" borderId="5" xfId="1" applyNumberFormat="1" applyFont="1" applyBorder="1"/>
    <xf numFmtId="164" fontId="9" fillId="5" borderId="5" xfId="1" applyNumberFormat="1" applyFont="1" applyFill="1" applyBorder="1"/>
    <xf numFmtId="0" fontId="6" fillId="3" borderId="18" xfId="0" applyFont="1" applyFill="1" applyBorder="1" applyAlignment="1">
      <alignment horizontal="center"/>
    </xf>
    <xf numFmtId="164" fontId="8" fillId="10" borderId="17" xfId="1" applyNumberFormat="1" applyFont="1" applyFill="1" applyBorder="1"/>
    <xf numFmtId="164" fontId="6" fillId="0" borderId="17" xfId="1" applyNumberFormat="1" applyFont="1" applyBorder="1"/>
    <xf numFmtId="0" fontId="2" fillId="2" borderId="26" xfId="0" applyFont="1" applyFill="1" applyBorder="1" applyAlignment="1">
      <alignment horizontal="center" vertical="center" wrapText="1"/>
    </xf>
    <xf numFmtId="164" fontId="8" fillId="4" borderId="32" xfId="1" applyNumberFormat="1" applyFont="1" applyFill="1" applyBorder="1"/>
    <xf numFmtId="164" fontId="15" fillId="2" borderId="33" xfId="1" applyNumberFormat="1" applyFont="1" applyFill="1" applyBorder="1"/>
    <xf numFmtId="164" fontId="15" fillId="2" borderId="31" xfId="1" applyNumberFormat="1" applyFont="1" applyFill="1" applyBorder="1"/>
    <xf numFmtId="164" fontId="8" fillId="4" borderId="32" xfId="1" applyNumberFormat="1" applyFont="1" applyFill="1" applyBorder="1" applyAlignment="1">
      <alignment horizontal="center"/>
    </xf>
    <xf numFmtId="164" fontId="9" fillId="0" borderId="0" xfId="1" applyNumberFormat="1" applyFont="1"/>
    <xf numFmtId="0" fontId="2" fillId="2" borderId="4" xfId="0" applyFont="1" applyFill="1" applyBorder="1" applyAlignment="1">
      <alignment horizontal="center" vertical="center" wrapText="1"/>
    </xf>
    <xf numFmtId="43" fontId="6" fillId="0" borderId="5" xfId="1" applyFont="1" applyBorder="1"/>
    <xf numFmtId="43" fontId="21" fillId="0" borderId="5" xfId="1" applyFont="1" applyBorder="1"/>
    <xf numFmtId="43" fontId="8" fillId="3" borderId="5" xfId="1" applyFont="1" applyFill="1" applyBorder="1"/>
    <xf numFmtId="43" fontId="8" fillId="4" borderId="5" xfId="1" applyFont="1" applyFill="1" applyBorder="1"/>
    <xf numFmtId="43" fontId="9" fillId="0" borderId="5" xfId="1" applyFont="1" applyBorder="1"/>
    <xf numFmtId="43" fontId="18" fillId="3" borderId="5" xfId="1" applyFont="1" applyFill="1" applyBorder="1"/>
    <xf numFmtId="43" fontId="13" fillId="2" borderId="8" xfId="1" applyFont="1" applyFill="1" applyBorder="1"/>
    <xf numFmtId="43" fontId="6" fillId="0" borderId="6" xfId="1" applyFont="1" applyBorder="1"/>
    <xf numFmtId="43" fontId="8" fillId="3" borderId="6" xfId="1" applyFont="1" applyFill="1" applyBorder="1"/>
    <xf numFmtId="43" fontId="6" fillId="0" borderId="5" xfId="1" applyFont="1" applyBorder="1" applyAlignment="1">
      <alignment horizontal="center"/>
    </xf>
    <xf numFmtId="43" fontId="13" fillId="2" borderId="9" xfId="1" applyFont="1" applyFill="1" applyBorder="1"/>
    <xf numFmtId="17" fontId="9" fillId="0" borderId="5" xfId="0" applyNumberFormat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/>
    </xf>
    <xf numFmtId="43" fontId="8" fillId="0" borderId="9" xfId="1" applyFont="1" applyBorder="1"/>
    <xf numFmtId="43" fontId="21" fillId="0" borderId="6" xfId="1" applyFont="1" applyBorder="1"/>
    <xf numFmtId="43" fontId="8" fillId="4" borderId="6" xfId="1" applyFont="1" applyFill="1" applyBorder="1"/>
    <xf numFmtId="43" fontId="9" fillId="0" borderId="6" xfId="1" applyFont="1" applyBorder="1"/>
    <xf numFmtId="43" fontId="18" fillId="3" borderId="6" xfId="1" applyFont="1" applyFill="1" applyBorder="1"/>
    <xf numFmtId="167" fontId="6" fillId="0" borderId="0" xfId="4" applyNumberFormat="1" applyFont="1"/>
    <xf numFmtId="165" fontId="22" fillId="11" borderId="5" xfId="1" applyNumberFormat="1" applyFont="1" applyFill="1" applyBorder="1"/>
    <xf numFmtId="164" fontId="6" fillId="0" borderId="11" xfId="1" applyNumberFormat="1" applyFont="1" applyBorder="1"/>
    <xf numFmtId="164" fontId="6" fillId="0" borderId="26" xfId="1" applyNumberFormat="1" applyFont="1" applyBorder="1"/>
    <xf numFmtId="17" fontId="4" fillId="0" borderId="8" xfId="0" applyNumberFormat="1" applyFont="1" applyBorder="1" applyAlignment="1">
      <alignment horizontal="center" vertical="center" wrapText="1"/>
    </xf>
    <xf numFmtId="164" fontId="5" fillId="5" borderId="8" xfId="1" applyNumberFormat="1" applyFont="1" applyFill="1" applyBorder="1"/>
    <xf numFmtId="164" fontId="6" fillId="5" borderId="8" xfId="1" applyNumberFormat="1" applyFont="1" applyFill="1" applyBorder="1"/>
    <xf numFmtId="0" fontId="2" fillId="2" borderId="3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7" fontId="4" fillId="4" borderId="8" xfId="0" applyNumberFormat="1" applyFont="1" applyFill="1" applyBorder="1" applyAlignment="1">
      <alignment horizontal="center" vertical="center" wrapText="1"/>
    </xf>
    <xf numFmtId="9" fontId="13" fillId="0" borderId="0" xfId="4" applyFont="1"/>
    <xf numFmtId="9" fontId="2" fillId="0" borderId="0" xfId="4" applyFont="1"/>
    <xf numFmtId="43" fontId="6" fillId="0" borderId="8" xfId="1" applyFont="1" applyBorder="1" applyAlignment="1">
      <alignment vertical="center"/>
    </xf>
    <xf numFmtId="43" fontId="21" fillId="5" borderId="5" xfId="1" applyFont="1" applyFill="1" applyBorder="1"/>
    <xf numFmtId="43" fontId="21" fillId="8" borderId="5" xfId="1" applyFont="1" applyFill="1" applyBorder="1"/>
    <xf numFmtId="164" fontId="6" fillId="0" borderId="17" xfId="5" applyNumberFormat="1" applyFont="1" applyBorder="1"/>
    <xf numFmtId="9" fontId="20" fillId="0" borderId="0" xfId="4" applyFont="1"/>
    <xf numFmtId="0" fontId="4" fillId="0" borderId="17" xfId="0" applyFont="1" applyBorder="1" applyAlignment="1">
      <alignment horizontal="center" vertical="center" wrapText="1"/>
    </xf>
    <xf numFmtId="17" fontId="4" fillId="0" borderId="17" xfId="0" applyNumberFormat="1" applyFont="1" applyBorder="1" applyAlignment="1">
      <alignment horizontal="center" vertical="center" wrapText="1"/>
    </xf>
    <xf numFmtId="164" fontId="6" fillId="5" borderId="17" xfId="1" applyNumberFormat="1" applyFont="1" applyFill="1" applyBorder="1"/>
    <xf numFmtId="0" fontId="4" fillId="0" borderId="17" xfId="0" applyFont="1" applyBorder="1" applyAlignment="1">
      <alignment vertical="center" wrapText="1"/>
    </xf>
    <xf numFmtId="14" fontId="6" fillId="0" borderId="0" xfId="0" applyNumberFormat="1" applyFont="1"/>
    <xf numFmtId="168" fontId="6" fillId="0" borderId="0" xfId="0" applyNumberFormat="1" applyFont="1"/>
    <xf numFmtId="164" fontId="18" fillId="4" borderId="15" xfId="1" applyNumberFormat="1" applyFont="1" applyFill="1" applyBorder="1"/>
    <xf numFmtId="169" fontId="9" fillId="0" borderId="5" xfId="1" applyNumberFormat="1" applyFont="1" applyBorder="1"/>
    <xf numFmtId="43" fontId="18" fillId="0" borderId="0" xfId="1" applyFont="1"/>
    <xf numFmtId="43" fontId="6" fillId="0" borderId="0" xfId="4" applyNumberFormat="1" applyFont="1"/>
    <xf numFmtId="0" fontId="4" fillId="4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3" fontId="8" fillId="0" borderId="9" xfId="1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43" fontId="8" fillId="4" borderId="35" xfId="1" applyFont="1" applyFill="1" applyBorder="1" applyAlignment="1">
      <alignment horizontal="center"/>
    </xf>
    <xf numFmtId="43" fontId="8" fillId="4" borderId="8" xfId="1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164" fontId="6" fillId="0" borderId="17" xfId="1" applyNumberFormat="1" applyFont="1" applyFill="1" applyBorder="1"/>
    <xf numFmtId="164" fontId="6" fillId="0" borderId="5" xfId="1" applyNumberFormat="1" applyFont="1" applyBorder="1" applyAlignment="1">
      <alignment horizontal="center" vertical="center" wrapText="1"/>
    </xf>
    <xf numFmtId="164" fontId="6" fillId="0" borderId="5" xfId="1" applyNumberFormat="1" applyFont="1" applyFill="1" applyBorder="1"/>
    <xf numFmtId="43" fontId="0" fillId="0" borderId="0" xfId="4" applyNumberFormat="1" applyFont="1"/>
    <xf numFmtId="164" fontId="9" fillId="6" borderId="5" xfId="1" applyNumberFormat="1" applyFont="1" applyFill="1" applyBorder="1"/>
    <xf numFmtId="164" fontId="6" fillId="0" borderId="5" xfId="8" applyNumberFormat="1" applyFont="1" applyFill="1" applyBorder="1"/>
    <xf numFmtId="165" fontId="21" fillId="0" borderId="5" xfId="1" applyNumberFormat="1" applyFont="1" applyFill="1" applyBorder="1"/>
    <xf numFmtId="166" fontId="21" fillId="0" borderId="5" xfId="1" applyNumberFormat="1" applyFont="1" applyFill="1" applyBorder="1"/>
    <xf numFmtId="164" fontId="0" fillId="0" borderId="0" xfId="0" applyNumberFormat="1"/>
    <xf numFmtId="43" fontId="6" fillId="0" borderId="0" xfId="1" applyFont="1"/>
    <xf numFmtId="17" fontId="4" fillId="0" borderId="11" xfId="0" quotePrefix="1" applyNumberFormat="1" applyFont="1" applyBorder="1" applyAlignment="1">
      <alignment horizontal="center" vertical="center" wrapText="1"/>
    </xf>
    <xf numFmtId="166" fontId="21" fillId="12" borderId="5" xfId="1" applyNumberFormat="1" applyFont="1" applyFill="1" applyBorder="1"/>
    <xf numFmtId="166" fontId="21" fillId="13" borderId="5" xfId="1" applyNumberFormat="1" applyFont="1" applyFill="1" applyBorder="1"/>
    <xf numFmtId="164" fontId="21" fillId="14" borderId="5" xfId="1" applyNumberFormat="1" applyFont="1" applyFill="1" applyBorder="1"/>
    <xf numFmtId="165" fontId="22" fillId="15" borderId="5" xfId="1" applyNumberFormat="1" applyFont="1" applyFill="1" applyBorder="1"/>
    <xf numFmtId="164" fontId="21" fillId="12" borderId="5" xfId="1" applyNumberFormat="1" applyFont="1" applyFill="1" applyBorder="1"/>
    <xf numFmtId="164" fontId="6" fillId="12" borderId="5" xfId="1" applyNumberFormat="1" applyFont="1" applyFill="1" applyBorder="1"/>
    <xf numFmtId="164" fontId="9" fillId="12" borderId="5" xfId="1" applyNumberFormat="1" applyFont="1" applyFill="1" applyBorder="1"/>
    <xf numFmtId="169" fontId="9" fillId="12" borderId="5" xfId="1" applyNumberFormat="1" applyFont="1" applyFill="1" applyBorder="1"/>
    <xf numFmtId="164" fontId="25" fillId="0" borderId="5" xfId="1" applyNumberFormat="1" applyFont="1" applyBorder="1"/>
    <xf numFmtId="9" fontId="6" fillId="0" borderId="0" xfId="4" applyFont="1"/>
    <xf numFmtId="43" fontId="25" fillId="0" borderId="5" xfId="1" applyFont="1" applyBorder="1"/>
    <xf numFmtId="43" fontId="25" fillId="0" borderId="5" xfId="1" applyFont="1" applyFill="1" applyBorder="1"/>
    <xf numFmtId="10" fontId="6" fillId="0" borderId="0" xfId="4" applyNumberFormat="1" applyFont="1"/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8" fillId="4" borderId="31" xfId="5" applyNumberFormat="1" applyFont="1" applyFill="1" applyBorder="1" applyAlignment="1">
      <alignment horizontal="center"/>
    </xf>
    <xf numFmtId="164" fontId="8" fillId="4" borderId="23" xfId="5" applyNumberFormat="1" applyFont="1" applyFill="1" applyBorder="1" applyAlignment="1">
      <alignment horizontal="center"/>
    </xf>
    <xf numFmtId="164" fontId="8" fillId="4" borderId="35" xfId="5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164" fontId="8" fillId="4" borderId="27" xfId="1" applyNumberFormat="1" applyFont="1" applyFill="1" applyBorder="1" applyAlignment="1">
      <alignment horizontal="center"/>
    </xf>
    <xf numFmtId="164" fontId="8" fillId="4" borderId="34" xfId="1" applyNumberFormat="1" applyFont="1" applyFill="1" applyBorder="1" applyAlignment="1">
      <alignment horizontal="center"/>
    </xf>
    <xf numFmtId="164" fontId="8" fillId="4" borderId="28" xfId="1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164" fontId="8" fillId="5" borderId="26" xfId="1" applyNumberFormat="1" applyFont="1" applyFill="1" applyBorder="1" applyAlignment="1">
      <alignment horizontal="center"/>
    </xf>
    <xf numFmtId="164" fontId="8" fillId="5" borderId="11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4" borderId="26" xfId="1" applyNumberFormat="1" applyFont="1" applyFill="1" applyBorder="1" applyAlignment="1">
      <alignment horizontal="center"/>
    </xf>
    <xf numFmtId="164" fontId="8" fillId="4" borderId="11" xfId="1" applyNumberFormat="1" applyFont="1" applyFill="1" applyBorder="1" applyAlignment="1">
      <alignment horizontal="center"/>
    </xf>
    <xf numFmtId="164" fontId="8" fillId="4" borderId="25" xfId="1" applyNumberFormat="1" applyFont="1" applyFill="1" applyBorder="1" applyAlignment="1">
      <alignment horizontal="center"/>
    </xf>
    <xf numFmtId="164" fontId="8" fillId="4" borderId="31" xfId="1" applyNumberFormat="1" applyFont="1" applyFill="1" applyBorder="1" applyAlignment="1">
      <alignment horizontal="center"/>
    </xf>
    <xf numFmtId="164" fontId="8" fillId="4" borderId="35" xfId="1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3" fillId="0" borderId="39" xfId="0" applyFont="1" applyBorder="1" applyAlignment="1">
      <alignment horizontal="justify" wrapText="1"/>
    </xf>
    <xf numFmtId="0" fontId="24" fillId="0" borderId="39" xfId="0" applyFont="1" applyBorder="1"/>
    <xf numFmtId="0" fontId="2" fillId="2" borderId="3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horizontal="center" vertical="center" wrapText="1"/>
    </xf>
  </cellXfs>
  <cellStyles count="9">
    <cellStyle name="Hiperlink" xfId="2" builtinId="8"/>
    <cellStyle name="Normal" xfId="0" builtinId="0"/>
    <cellStyle name="Normal 2" xfId="3" xr:uid="{00000000-0005-0000-0000-000002000000}"/>
    <cellStyle name="Porcentagem" xfId="4" builtinId="5"/>
    <cellStyle name="Vírgula" xfId="1" builtinId="3"/>
    <cellStyle name="Vírgula 2" xfId="5" xr:uid="{00000000-0005-0000-0000-000005000000}"/>
    <cellStyle name="Vírgula 2 2" xfId="7" xr:uid="{00000000-0005-0000-0000-000002000000}"/>
    <cellStyle name="Vírgula 3" xfId="6" xr:uid="{00000000-0005-0000-0000-000033000000}"/>
    <cellStyle name="Vírgula 4" xfId="8" xr:uid="{7570088B-2D88-4B61-A5D5-A038059A3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BS%202019.csv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SF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SF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SF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SF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DOCE%202019.csv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DOCE%202020.csv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DOCE%202021.csv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Doc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ARANAIBA%202018%20cobrado%20em%20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ARANAIBA%202019%20cobrado%20em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BS%202020.csv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ARANAIBA%202020%20cobrado%20em%2020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arana&#237;ba%202021%20cobrado%20em%20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VG%202018%20cobrado%20em%20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VG%202019%20cobrado%20em%20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VG%202020%20cobrado%20em%20202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Verde%20Grande%202021%20cobrado%20em%20202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pedido%20laura%20via%20progestao\2020\laura\marco\C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0\RJ\C&#243;pia%20de%20C&#243;pia%20de%206_1_COBRAN&#199;A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1\RJ\Cobran&#231;a_Conjuntura_exerc_202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0\SP\SAO%20PAULO_historico-cobranca_2007%20a%202020%20A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pedido%20laura%20via%20progestao\2020\marco\2004%20-%202021%20-%20RECEITA%20L&#205;QUIDA%20-%20FONTE%200116%20-%202004%20a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0\SP\Planilha%20de%20boletos%20cobrados%20em%20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0\SP\SP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1\SP\SAO%20PAULO%20Estados_HistoricoCobrancanoBrasilPeriodo19962020_Glaucia_1502202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1\MG\Relatorio_cob_arr_MG_20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pedido%20laura%20via%20progestao\2022\Cobran&#231;a\MG\7_COBRANCA_MG_tabela_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pedido%20laura%20via%20progestao\2020\laura\marco\PR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1\PB\Tabela%201.%20Informa&#231;&#245;es%20sobre%20cobran&#231;a%20PB,%20por%20bacia%20hidrogr&#225;fica,%20por%20ano%20-%20PROGEST&#195;O%20%20BETANIA%20202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PB\Tabela%201.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PB\Tabela%201.2%20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BS%202021.csv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B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CJ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CJ%202020.csv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CJ%202021.csv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.amorim\Documents\MARCO\GECOB\COBRAN&#199;A%20NO%20PA&#205;S\dados%20cobranca%20arrecadacao\original%20glaucia\2022\Uni&#227;o\PC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S 2019"/>
    </sheetNames>
    <sheetDataSet>
      <sheetData sheetId="0">
        <row r="446">
          <cell r="L446">
            <v>15175794.219999995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 2019"/>
    </sheetNames>
    <sheetDataSet>
      <sheetData sheetId="0">
        <row r="4484">
          <cell r="L4484">
            <v>41148601.650000036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 2020"/>
    </sheetNames>
    <sheetDataSet>
      <sheetData sheetId="0">
        <row r="5155">
          <cell r="L5155">
            <v>41322065.399999872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 2021"/>
    </sheetNames>
    <sheetDataSet>
      <sheetData sheetId="0">
        <row r="5687">
          <cell r="L5687">
            <v>42279976.620000333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brancaAprovada (2)"/>
    </sheetNames>
    <sheetDataSet>
      <sheetData sheetId="0">
        <row r="6073">
          <cell r="L6073">
            <v>48575313.019999571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E 2019"/>
    </sheetNames>
    <sheetDataSet>
      <sheetData sheetId="0">
        <row r="278">
          <cell r="L278">
            <v>12038745.069999998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E 2020"/>
    </sheetNames>
    <sheetDataSet>
      <sheetData sheetId="0">
        <row r="297">
          <cell r="L297">
            <v>13393384.6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E 2021"/>
    </sheetNames>
    <sheetDataSet>
      <sheetData sheetId="0">
        <row r="310">
          <cell r="L310">
            <v>13605990.520000003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e"/>
    </sheetNames>
    <sheetDataSet>
      <sheetData sheetId="0">
        <row r="323">
          <cell r="L323">
            <v>17419166.809999995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NAIBA 2018 cobrado em 2019"/>
    </sheetNames>
    <sheetDataSet>
      <sheetData sheetId="0">
        <row r="526">
          <cell r="L526">
            <v>7924945.5299999956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NAIBA 2019 cobrado em 2020"/>
    </sheetNames>
    <sheetDataSet>
      <sheetData sheetId="0">
        <row r="621">
          <cell r="L621">
            <v>12071792.800000001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S 2020"/>
    </sheetNames>
    <sheetDataSet>
      <sheetData sheetId="0">
        <row r="461">
          <cell r="L461">
            <v>23009485.819999997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NAIBA 2020 cobrado em 2021"/>
    </sheetNames>
    <sheetDataSet>
      <sheetData sheetId="0">
        <row r="754">
          <cell r="L754">
            <v>12511245.519999996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brancaAprovada (6)"/>
    </sheetNames>
    <sheetDataSet>
      <sheetData sheetId="0">
        <row r="933">
          <cell r="L933">
            <v>17222178.499999981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G 2018 cobrado em 2019"/>
    </sheetNames>
    <sheetDataSet>
      <sheetData sheetId="0">
        <row r="169">
          <cell r="L169">
            <v>208821.07000000004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G 2019 cobrado em 2020"/>
    </sheetNames>
    <sheetDataSet>
      <sheetData sheetId="0">
        <row r="185">
          <cell r="L185">
            <v>151546.7699999999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G 2020 cobrado em 2021"/>
    </sheetNames>
    <sheetDataSet>
      <sheetData sheetId="0">
        <row r="199">
          <cell r="L199">
            <v>141054.87999999998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de Grande 2021 cobrado em 20"/>
    </sheetNames>
    <sheetDataSet>
      <sheetData sheetId="0">
        <row r="165">
          <cell r="L165">
            <v>127818.37000000002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</sheetNames>
    <sheetDataSet>
      <sheetData sheetId="0">
        <row r="3">
          <cell r="C3">
            <v>2630331.2999999998</v>
          </cell>
          <cell r="E3">
            <v>2518184.2000000002</v>
          </cell>
          <cell r="F3">
            <v>2447190.54</v>
          </cell>
        </row>
        <row r="4">
          <cell r="C4">
            <v>41990.46</v>
          </cell>
          <cell r="E4">
            <v>20408.650000000001</v>
          </cell>
          <cell r="F4">
            <v>7877.9</v>
          </cell>
        </row>
        <row r="5">
          <cell r="C5">
            <v>527.57000000000005</v>
          </cell>
          <cell r="E5">
            <v>306.25</v>
          </cell>
          <cell r="F5">
            <v>0</v>
          </cell>
        </row>
        <row r="6">
          <cell r="C6">
            <v>21877.96</v>
          </cell>
          <cell r="E6">
            <v>22956.07</v>
          </cell>
          <cell r="F6">
            <v>18341.599999999999</v>
          </cell>
        </row>
        <row r="7">
          <cell r="C7">
            <v>465062.31</v>
          </cell>
          <cell r="E7">
            <v>354247.83</v>
          </cell>
          <cell r="F7">
            <v>332193.46000000002</v>
          </cell>
        </row>
        <row r="8">
          <cell r="C8">
            <v>3117.72</v>
          </cell>
          <cell r="E8">
            <v>4611.1400000000003</v>
          </cell>
          <cell r="F8">
            <v>4286.3599999999997</v>
          </cell>
        </row>
        <row r="9">
          <cell r="C9">
            <v>84379.16</v>
          </cell>
          <cell r="E9">
            <v>84977.16</v>
          </cell>
          <cell r="F9">
            <v>64165.61</v>
          </cell>
        </row>
        <row r="13">
          <cell r="C13">
            <v>1057124.27</v>
          </cell>
          <cell r="E13">
            <v>976046.2</v>
          </cell>
          <cell r="F13">
            <v>975768.8</v>
          </cell>
        </row>
        <row r="14">
          <cell r="E14">
            <v>5090.95</v>
          </cell>
          <cell r="F14">
            <v>5090.95</v>
          </cell>
        </row>
        <row r="15">
          <cell r="C15">
            <v>0</v>
          </cell>
          <cell r="E15">
            <v>1041.5899999999999</v>
          </cell>
          <cell r="F15">
            <v>911.08</v>
          </cell>
        </row>
        <row r="16">
          <cell r="E16">
            <v>5035.9399999999996</v>
          </cell>
          <cell r="F16">
            <v>4601.2700000000004</v>
          </cell>
        </row>
        <row r="17">
          <cell r="C17">
            <v>38491.980000000003</v>
          </cell>
          <cell r="E17">
            <v>40339.1</v>
          </cell>
          <cell r="F17">
            <v>39113.72</v>
          </cell>
        </row>
        <row r="18">
          <cell r="C18">
            <v>6290.43</v>
          </cell>
          <cell r="E18">
            <v>702.41</v>
          </cell>
          <cell r="F18">
            <v>702.41</v>
          </cell>
        </row>
        <row r="19">
          <cell r="E19">
            <v>6149.18</v>
          </cell>
          <cell r="F19">
            <v>6019.27</v>
          </cell>
        </row>
        <row r="23">
          <cell r="C23">
            <v>1089251.03</v>
          </cell>
          <cell r="E23">
            <v>983292.68</v>
          </cell>
          <cell r="F23">
            <v>980359.84</v>
          </cell>
        </row>
        <row r="24">
          <cell r="C24">
            <v>4533.3900000000003</v>
          </cell>
          <cell r="E24">
            <v>2416.29</v>
          </cell>
          <cell r="F24">
            <v>1726.56</v>
          </cell>
        </row>
        <row r="25">
          <cell r="C25">
            <v>71584.990000000005</v>
          </cell>
          <cell r="D25">
            <v>62608.61</v>
          </cell>
          <cell r="E25">
            <v>88307.15</v>
          </cell>
          <cell r="F25">
            <v>82295.08</v>
          </cell>
        </row>
        <row r="26">
          <cell r="C26">
            <v>22041.11</v>
          </cell>
          <cell r="E26">
            <v>24468.400000000001</v>
          </cell>
          <cell r="F26">
            <v>17988.849999999999</v>
          </cell>
        </row>
        <row r="27">
          <cell r="C27">
            <v>28526.37</v>
          </cell>
          <cell r="E27">
            <v>26303.67</v>
          </cell>
          <cell r="F27">
            <v>25644.53</v>
          </cell>
        </row>
        <row r="31">
          <cell r="E31">
            <v>380030.14</v>
          </cell>
          <cell r="F31">
            <v>380030.14</v>
          </cell>
        </row>
        <row r="32">
          <cell r="E32">
            <v>1816.62</v>
          </cell>
          <cell r="F32">
            <v>1201.1400000000001</v>
          </cell>
        </row>
        <row r="33">
          <cell r="C33">
            <v>13618.29</v>
          </cell>
          <cell r="E33">
            <v>0</v>
          </cell>
          <cell r="F33">
            <v>0</v>
          </cell>
        </row>
        <row r="34">
          <cell r="E34">
            <v>32779.4</v>
          </cell>
          <cell r="F34">
            <v>18080.16</v>
          </cell>
        </row>
        <row r="35">
          <cell r="E35">
            <v>97318.61</v>
          </cell>
          <cell r="F35">
            <v>97318.61</v>
          </cell>
        </row>
        <row r="36">
          <cell r="C36">
            <v>20420.43</v>
          </cell>
          <cell r="E36">
            <v>80589.100000000006</v>
          </cell>
          <cell r="F36">
            <v>80589.100000000006</v>
          </cell>
        </row>
        <row r="40">
          <cell r="E40">
            <v>892009.28</v>
          </cell>
          <cell r="F40">
            <v>857969.86</v>
          </cell>
        </row>
        <row r="41">
          <cell r="C41">
            <v>44280.85</v>
          </cell>
          <cell r="E41">
            <v>50409.68</v>
          </cell>
          <cell r="F41">
            <v>37320.69</v>
          </cell>
        </row>
        <row r="42">
          <cell r="C42">
            <v>19979.419999999998</v>
          </cell>
          <cell r="E42">
            <v>13099.24</v>
          </cell>
          <cell r="F42">
            <v>6260.13</v>
          </cell>
        </row>
        <row r="43">
          <cell r="C43">
            <v>6555.21</v>
          </cell>
          <cell r="E43">
            <v>0</v>
          </cell>
          <cell r="F43">
            <v>0</v>
          </cell>
        </row>
        <row r="44">
          <cell r="C44">
            <v>58167.03</v>
          </cell>
          <cell r="E44">
            <v>45038.94</v>
          </cell>
          <cell r="F44">
            <v>36059.61</v>
          </cell>
        </row>
        <row r="45">
          <cell r="C45">
            <v>81.67</v>
          </cell>
          <cell r="E45">
            <v>0</v>
          </cell>
          <cell r="F45">
            <v>0</v>
          </cell>
        </row>
        <row r="46">
          <cell r="C46">
            <v>25985.33</v>
          </cell>
          <cell r="E46">
            <v>21411.69</v>
          </cell>
          <cell r="F46">
            <v>20707.490000000002</v>
          </cell>
        </row>
        <row r="50">
          <cell r="C50">
            <v>259468.69</v>
          </cell>
          <cell r="D50">
            <v>253227.15</v>
          </cell>
          <cell r="E50">
            <v>246701.01</v>
          </cell>
          <cell r="F50">
            <v>246701.01</v>
          </cell>
        </row>
        <row r="51">
          <cell r="C51">
            <v>12473.8</v>
          </cell>
          <cell r="E51">
            <v>10049.58</v>
          </cell>
          <cell r="F51">
            <v>9395.9699999999993</v>
          </cell>
        </row>
        <row r="52">
          <cell r="C52">
            <v>0</v>
          </cell>
          <cell r="D52">
            <v>0</v>
          </cell>
          <cell r="E52">
            <v>538.58000000000004</v>
          </cell>
          <cell r="F52">
            <v>538.58000000000004</v>
          </cell>
        </row>
        <row r="53">
          <cell r="C53">
            <v>457.16</v>
          </cell>
          <cell r="E53">
            <v>0</v>
          </cell>
          <cell r="F53">
            <v>0</v>
          </cell>
        </row>
        <row r="54">
          <cell r="C54">
            <v>7377.1</v>
          </cell>
          <cell r="D54">
            <v>6404.87</v>
          </cell>
          <cell r="E54">
            <v>4031.07</v>
          </cell>
          <cell r="F54">
            <v>3660.02</v>
          </cell>
        </row>
        <row r="55">
          <cell r="C55">
            <v>4768.63</v>
          </cell>
          <cell r="D55">
            <v>4748.28</v>
          </cell>
          <cell r="E55">
            <v>2019.33</v>
          </cell>
          <cell r="F55">
            <v>1972.21</v>
          </cell>
        </row>
        <row r="56">
          <cell r="C56">
            <v>62.12</v>
          </cell>
          <cell r="E56">
            <v>0</v>
          </cell>
          <cell r="F56">
            <v>0</v>
          </cell>
        </row>
        <row r="60">
          <cell r="E60">
            <v>528664.59</v>
          </cell>
          <cell r="F60">
            <v>527047.07999999996</v>
          </cell>
        </row>
        <row r="61">
          <cell r="E61">
            <v>18618.419999999998</v>
          </cell>
          <cell r="F61">
            <v>16410.57</v>
          </cell>
        </row>
        <row r="62">
          <cell r="C62">
            <v>0</v>
          </cell>
          <cell r="D62">
            <v>0</v>
          </cell>
          <cell r="E62">
            <v>536.78</v>
          </cell>
          <cell r="F62">
            <v>0</v>
          </cell>
        </row>
        <row r="63">
          <cell r="E63">
            <v>805.98</v>
          </cell>
          <cell r="F63">
            <v>392.42</v>
          </cell>
        </row>
        <row r="64">
          <cell r="C64">
            <v>159283.4</v>
          </cell>
          <cell r="E64">
            <v>168683.22</v>
          </cell>
          <cell r="F64">
            <v>144665.62</v>
          </cell>
        </row>
        <row r="65">
          <cell r="C65">
            <v>4552.84</v>
          </cell>
          <cell r="D65">
            <v>3782.17</v>
          </cell>
          <cell r="E65">
            <v>6692.74</v>
          </cell>
          <cell r="F65">
            <v>6667.73</v>
          </cell>
        </row>
        <row r="66">
          <cell r="C66">
            <v>751.81</v>
          </cell>
          <cell r="D66">
            <v>751.81</v>
          </cell>
          <cell r="E66">
            <v>725.81</v>
          </cell>
          <cell r="F66">
            <v>725.81</v>
          </cell>
        </row>
        <row r="67">
          <cell r="E67">
            <v>84281.12</v>
          </cell>
          <cell r="F67">
            <v>76357.84</v>
          </cell>
        </row>
        <row r="71">
          <cell r="C71">
            <v>471095.2</v>
          </cell>
          <cell r="D71">
            <v>459199.75</v>
          </cell>
          <cell r="E71">
            <v>395045.71</v>
          </cell>
          <cell r="F71">
            <v>395045.71</v>
          </cell>
        </row>
        <row r="72">
          <cell r="C72">
            <v>614.05999999999995</v>
          </cell>
          <cell r="D72">
            <v>614.05999999999995</v>
          </cell>
          <cell r="E72">
            <v>0</v>
          </cell>
          <cell r="F72">
            <v>0</v>
          </cell>
        </row>
        <row r="73">
          <cell r="C73">
            <v>381604.13</v>
          </cell>
          <cell r="E73">
            <v>498244.73</v>
          </cell>
          <cell r="F73">
            <v>495696.5</v>
          </cell>
        </row>
        <row r="74">
          <cell r="C74">
            <v>2194.73</v>
          </cell>
          <cell r="E74">
            <v>544.54</v>
          </cell>
          <cell r="F74">
            <v>544.54</v>
          </cell>
        </row>
        <row r="75">
          <cell r="C75">
            <v>2229.84</v>
          </cell>
          <cell r="D75">
            <v>2046.84</v>
          </cell>
          <cell r="E75">
            <v>1943.54</v>
          </cell>
          <cell r="F75">
            <v>1943.54</v>
          </cell>
        </row>
        <row r="79">
          <cell r="E79">
            <v>1164437.1200000001</v>
          </cell>
          <cell r="F79">
            <v>1160523.95</v>
          </cell>
        </row>
        <row r="80">
          <cell r="E80">
            <v>13343.14</v>
          </cell>
          <cell r="F80">
            <v>13343.14</v>
          </cell>
        </row>
        <row r="81">
          <cell r="E81">
            <v>20266.89</v>
          </cell>
          <cell r="F81">
            <v>10045.15</v>
          </cell>
        </row>
        <row r="82">
          <cell r="E82">
            <v>0</v>
          </cell>
          <cell r="F82">
            <v>0</v>
          </cell>
        </row>
        <row r="83">
          <cell r="E83">
            <v>988946.83</v>
          </cell>
          <cell r="F83">
            <v>844636.52</v>
          </cell>
        </row>
        <row r="84">
          <cell r="E84">
            <v>692059.39</v>
          </cell>
          <cell r="F84">
            <v>639577.69999999995</v>
          </cell>
        </row>
        <row r="85">
          <cell r="E85">
            <v>54.81</v>
          </cell>
          <cell r="F85">
            <v>0</v>
          </cell>
        </row>
        <row r="86">
          <cell r="E86">
            <v>8275.84</v>
          </cell>
          <cell r="F86">
            <v>8275.84</v>
          </cell>
        </row>
        <row r="90">
          <cell r="C90">
            <v>66715938.539999999</v>
          </cell>
          <cell r="E90">
            <v>62113133.810000002</v>
          </cell>
          <cell r="F90">
            <v>62103503.439999998</v>
          </cell>
        </row>
        <row r="91">
          <cell r="E91">
            <v>366102.25</v>
          </cell>
          <cell r="F91">
            <v>307412.32</v>
          </cell>
        </row>
        <row r="92">
          <cell r="C92">
            <v>909.45</v>
          </cell>
          <cell r="E92">
            <v>0</v>
          </cell>
          <cell r="F92">
            <v>0</v>
          </cell>
        </row>
        <row r="93">
          <cell r="E93">
            <v>275288.64</v>
          </cell>
          <cell r="F93">
            <v>254599.01</v>
          </cell>
        </row>
        <row r="94">
          <cell r="C94">
            <v>21364472.640000001</v>
          </cell>
          <cell r="D94">
            <v>21364472.640000001</v>
          </cell>
          <cell r="E94">
            <v>39287031.109999999</v>
          </cell>
          <cell r="F94">
            <v>39287031.109999999</v>
          </cell>
        </row>
        <row r="95">
          <cell r="E95">
            <v>56449244.710000001</v>
          </cell>
          <cell r="F95">
            <v>56067925.009999998</v>
          </cell>
        </row>
        <row r="96">
          <cell r="C96">
            <v>35492.44</v>
          </cell>
          <cell r="E96">
            <v>27806.04</v>
          </cell>
          <cell r="F96">
            <v>26942.55</v>
          </cell>
        </row>
        <row r="97">
          <cell r="C97">
            <v>16005.26</v>
          </cell>
          <cell r="E97">
            <v>15245.07</v>
          </cell>
          <cell r="F97">
            <v>12889.83</v>
          </cell>
        </row>
        <row r="98">
          <cell r="E98">
            <v>1025761.24</v>
          </cell>
          <cell r="F98">
            <v>949882.23</v>
          </cell>
        </row>
        <row r="102">
          <cell r="C102">
            <v>3643816.24</v>
          </cell>
          <cell r="E102">
            <v>3300801.36</v>
          </cell>
          <cell r="F102">
            <v>3283250.57</v>
          </cell>
        </row>
        <row r="103">
          <cell r="E103">
            <v>19220.87</v>
          </cell>
          <cell r="F103">
            <v>8354.7000000000007</v>
          </cell>
        </row>
        <row r="104">
          <cell r="C104">
            <v>379519.62</v>
          </cell>
          <cell r="E104">
            <v>403551.7</v>
          </cell>
          <cell r="F104">
            <v>244394.5</v>
          </cell>
        </row>
        <row r="105">
          <cell r="C105">
            <v>73312.179999999993</v>
          </cell>
          <cell r="D105">
            <v>69265.440000000002</v>
          </cell>
          <cell r="E105">
            <v>47922.32</v>
          </cell>
          <cell r="F105">
            <v>44518.84</v>
          </cell>
        </row>
        <row r="106">
          <cell r="C106">
            <v>6013.27</v>
          </cell>
          <cell r="D106">
            <v>0</v>
          </cell>
          <cell r="E106">
            <v>5307.72</v>
          </cell>
          <cell r="F106">
            <v>493.84</v>
          </cell>
        </row>
        <row r="107">
          <cell r="E107">
            <v>263850.18</v>
          </cell>
          <cell r="F107">
            <v>199715.26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"/>
    </sheetNames>
    <sheetDataSet>
      <sheetData sheetId="0">
        <row r="8">
          <cell r="F8">
            <v>1303705.5615458991</v>
          </cell>
          <cell r="G8">
            <v>384349.82965761103</v>
          </cell>
          <cell r="H8">
            <v>209.51469</v>
          </cell>
          <cell r="I8">
            <v>931.530014915518</v>
          </cell>
          <cell r="J8">
            <v>0</v>
          </cell>
          <cell r="K8">
            <v>53658.325045046789</v>
          </cell>
          <cell r="M8">
            <v>1091362.21</v>
          </cell>
          <cell r="N8">
            <v>331443.15000000002</v>
          </cell>
          <cell r="O8">
            <v>230.46</v>
          </cell>
          <cell r="P8">
            <v>931.53</v>
          </cell>
          <cell r="Q8">
            <v>0</v>
          </cell>
          <cell r="R8">
            <v>20395.84</v>
          </cell>
          <cell r="S8">
            <v>1444363.19</v>
          </cell>
        </row>
        <row r="9">
          <cell r="F9">
            <v>1133127.6519422401</v>
          </cell>
          <cell r="G9">
            <v>367399.88173412578</v>
          </cell>
          <cell r="H9">
            <v>18403.837657968001</v>
          </cell>
          <cell r="I9">
            <v>272.57570607250506</v>
          </cell>
          <cell r="J9">
            <v>0</v>
          </cell>
          <cell r="K9">
            <v>46959.929388982891</v>
          </cell>
          <cell r="M9">
            <v>1049944.53</v>
          </cell>
          <cell r="N9">
            <v>368875.77</v>
          </cell>
          <cell r="O9">
            <v>11612.48</v>
          </cell>
          <cell r="P9">
            <v>0</v>
          </cell>
          <cell r="Q9">
            <v>0</v>
          </cell>
          <cell r="R9">
            <v>49415.82</v>
          </cell>
          <cell r="S9">
            <v>1479848.6</v>
          </cell>
        </row>
        <row r="10">
          <cell r="F10">
            <v>1467857.2982137001</v>
          </cell>
          <cell r="G10">
            <v>112565.98744542967</v>
          </cell>
          <cell r="H10">
            <v>13256.357373919998</v>
          </cell>
          <cell r="I10">
            <v>321.82599029070923</v>
          </cell>
          <cell r="J10">
            <v>0</v>
          </cell>
          <cell r="K10">
            <v>12242.865256896001</v>
          </cell>
          <cell r="M10">
            <v>1548775.32</v>
          </cell>
          <cell r="N10">
            <v>109481.7</v>
          </cell>
          <cell r="O10">
            <v>11686.78</v>
          </cell>
          <cell r="P10">
            <v>0</v>
          </cell>
          <cell r="Q10">
            <v>0</v>
          </cell>
          <cell r="R10">
            <v>12144.8</v>
          </cell>
          <cell r="S10">
            <v>1682088.6</v>
          </cell>
        </row>
        <row r="11">
          <cell r="F11">
            <v>818969.46278417762</v>
          </cell>
          <cell r="G11">
            <v>248937.65827950003</v>
          </cell>
          <cell r="H11">
            <v>0</v>
          </cell>
          <cell r="I11">
            <v>2397.479120755218</v>
          </cell>
          <cell r="J11">
            <v>0</v>
          </cell>
          <cell r="K11">
            <v>274841.74866138934</v>
          </cell>
          <cell r="M11">
            <v>787086.99</v>
          </cell>
          <cell r="N11">
            <v>108670.15</v>
          </cell>
          <cell r="O11">
            <v>0</v>
          </cell>
          <cell r="P11">
            <v>1049.3699999999999</v>
          </cell>
          <cell r="Q11">
            <v>0</v>
          </cell>
          <cell r="R11">
            <v>267592.12</v>
          </cell>
          <cell r="S11">
            <v>1164398.6299999999</v>
          </cell>
        </row>
        <row r="12">
          <cell r="F12">
            <v>7742527.0941270478</v>
          </cell>
          <cell r="G12">
            <v>1182180.4594170647</v>
          </cell>
          <cell r="H12">
            <v>1643.947075584</v>
          </cell>
          <cell r="I12">
            <v>73.908384000000012</v>
          </cell>
          <cell r="J12">
            <v>0</v>
          </cell>
          <cell r="K12">
            <v>730375.28297687869</v>
          </cell>
          <cell r="M12">
            <v>7609406.6600000001</v>
          </cell>
          <cell r="N12">
            <v>1232881.5900000001</v>
          </cell>
          <cell r="O12">
            <v>1598.03</v>
          </cell>
          <cell r="P12">
            <v>0</v>
          </cell>
          <cell r="Q12">
            <v>0</v>
          </cell>
          <cell r="R12">
            <v>742923.01</v>
          </cell>
          <cell r="S12">
            <v>9586809.2899999991</v>
          </cell>
        </row>
        <row r="13">
          <cell r="F13">
            <v>665035.92000419996</v>
          </cell>
          <cell r="G13">
            <v>0</v>
          </cell>
          <cell r="H13">
            <v>4445.28</v>
          </cell>
          <cell r="I13">
            <v>0</v>
          </cell>
          <cell r="J13">
            <v>0</v>
          </cell>
          <cell r="K13">
            <v>262496.79904731998</v>
          </cell>
          <cell r="M13">
            <v>659123.54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260786.29</v>
          </cell>
          <cell r="S13">
            <v>919909.83000000007</v>
          </cell>
        </row>
        <row r="14">
          <cell r="F14">
            <v>35855734.419999994</v>
          </cell>
          <cell r="G14">
            <v>3881349.8966332851</v>
          </cell>
          <cell r="H14">
            <v>10522.608924612001</v>
          </cell>
          <cell r="I14">
            <v>4233.5534384000002</v>
          </cell>
          <cell r="J14">
            <v>1568939.092023029</v>
          </cell>
          <cell r="K14">
            <v>302346.55314301973</v>
          </cell>
          <cell r="M14">
            <v>35673550.189999998</v>
          </cell>
          <cell r="N14">
            <v>3747224.42</v>
          </cell>
          <cell r="O14">
            <v>9363.2899999999991</v>
          </cell>
          <cell r="P14">
            <v>0</v>
          </cell>
          <cell r="Q14">
            <v>1626498.69</v>
          </cell>
          <cell r="R14">
            <v>277210.3</v>
          </cell>
          <cell r="S14">
            <v>41333846.889999993</v>
          </cell>
        </row>
        <row r="15">
          <cell r="F15">
            <v>127390.08580489599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125169.59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125169.59</v>
          </cell>
        </row>
        <row r="16">
          <cell r="F16">
            <v>2489696.0306009003</v>
          </cell>
          <cell r="G16">
            <v>16838.662522550003</v>
          </cell>
          <cell r="H16">
            <v>2709.870856</v>
          </cell>
          <cell r="I16">
            <v>3403.5610088579242</v>
          </cell>
          <cell r="J16">
            <v>0</v>
          </cell>
          <cell r="K16">
            <v>37534.430661347171</v>
          </cell>
          <cell r="M16">
            <v>2482684.6</v>
          </cell>
          <cell r="N16">
            <v>13851.9</v>
          </cell>
          <cell r="O16">
            <v>2709.87</v>
          </cell>
          <cell r="P16">
            <v>2479.58</v>
          </cell>
          <cell r="Q16">
            <v>0</v>
          </cell>
          <cell r="R16">
            <v>25993.66</v>
          </cell>
          <cell r="S16">
            <v>2527719.6100000003</v>
          </cell>
        </row>
        <row r="17">
          <cell r="F17">
            <v>1151644.7840887499</v>
          </cell>
          <cell r="G17">
            <v>446566.89754110004</v>
          </cell>
          <cell r="H17">
            <v>0</v>
          </cell>
          <cell r="I17">
            <v>797.89829705056809</v>
          </cell>
          <cell r="J17">
            <v>807623.00952480023</v>
          </cell>
          <cell r="K17">
            <v>102579.40611657659</v>
          </cell>
          <cell r="M17">
            <v>1143851.6200000001</v>
          </cell>
          <cell r="N17">
            <v>449804.97</v>
          </cell>
          <cell r="O17">
            <v>0</v>
          </cell>
          <cell r="P17">
            <v>797.9</v>
          </cell>
          <cell r="Q17">
            <v>820711.18</v>
          </cell>
          <cell r="R17">
            <v>89262.7</v>
          </cell>
          <cell r="S17">
            <v>2504428.37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"/>
    </sheetNames>
    <sheetDataSet>
      <sheetData sheetId="0">
        <row r="8">
          <cell r="F8">
            <v>1224310.11806656</v>
          </cell>
          <cell r="G8">
            <v>381882.75571942597</v>
          </cell>
          <cell r="H8">
            <v>216.11165399999999</v>
          </cell>
          <cell r="I8">
            <v>961.77407726592003</v>
          </cell>
          <cell r="J8">
            <v>0</v>
          </cell>
          <cell r="K8">
            <v>57391.184907876501</v>
          </cell>
          <cell r="M8">
            <v>900772.98</v>
          </cell>
          <cell r="N8">
            <v>329247.7</v>
          </cell>
          <cell r="O8">
            <v>216.11</v>
          </cell>
          <cell r="P8">
            <v>959.65</v>
          </cell>
          <cell r="Q8">
            <v>0</v>
          </cell>
          <cell r="R8">
            <v>49258.240000000005</v>
          </cell>
        </row>
        <row r="9">
          <cell r="F9">
            <v>1136016.7049767501</v>
          </cell>
          <cell r="G9">
            <v>376348.15695136401</v>
          </cell>
          <cell r="H9">
            <v>7394.7509586719998</v>
          </cell>
          <cell r="I9">
            <v>6.87</v>
          </cell>
          <cell r="J9">
            <v>0</v>
          </cell>
          <cell r="K9">
            <v>56223.381270892001</v>
          </cell>
          <cell r="M9">
            <v>1136234.19</v>
          </cell>
          <cell r="N9">
            <v>394227.76</v>
          </cell>
          <cell r="O9">
            <v>1851.03</v>
          </cell>
          <cell r="P9">
            <v>7.55</v>
          </cell>
          <cell r="Q9">
            <v>0</v>
          </cell>
          <cell r="R9">
            <v>56366.649999999994</v>
          </cell>
        </row>
        <row r="10">
          <cell r="F10">
            <v>1541750.5659271199</v>
          </cell>
          <cell r="G10">
            <v>114469.04599378</v>
          </cell>
          <cell r="H10">
            <v>13350.992576479999</v>
          </cell>
          <cell r="I10">
            <v>332.18975999999998</v>
          </cell>
          <cell r="J10">
            <v>0</v>
          </cell>
          <cell r="K10">
            <v>13657.447764025301</v>
          </cell>
          <cell r="M10">
            <v>1519795.53</v>
          </cell>
          <cell r="N10">
            <v>109663.34</v>
          </cell>
          <cell r="O10">
            <v>12053.12</v>
          </cell>
          <cell r="P10">
            <v>161.51</v>
          </cell>
          <cell r="Q10">
            <v>0</v>
          </cell>
          <cell r="R10">
            <v>14337.26</v>
          </cell>
        </row>
        <row r="11">
          <cell r="F11">
            <v>776932.37202367396</v>
          </cell>
          <cell r="G11">
            <v>267509.72201010003</v>
          </cell>
          <cell r="H11">
            <v>0</v>
          </cell>
          <cell r="I11">
            <v>2515.7489703399401</v>
          </cell>
          <cell r="J11">
            <v>0</v>
          </cell>
          <cell r="K11">
            <v>253648.46383287999</v>
          </cell>
          <cell r="M11">
            <v>814776.82000000007</v>
          </cell>
          <cell r="N11">
            <v>218794.42</v>
          </cell>
          <cell r="O11">
            <v>0</v>
          </cell>
          <cell r="P11">
            <v>2432.9399999999996</v>
          </cell>
          <cell r="Q11">
            <v>0</v>
          </cell>
          <cell r="R11">
            <v>245811.91</v>
          </cell>
        </row>
        <row r="12">
          <cell r="F12">
            <v>8684589.8147660401</v>
          </cell>
          <cell r="G12">
            <v>1254602.7859722399</v>
          </cell>
          <cell r="H12">
            <v>1695.5457674239999</v>
          </cell>
          <cell r="I12">
            <v>0</v>
          </cell>
          <cell r="J12">
            <v>0</v>
          </cell>
          <cell r="K12">
            <v>647080.39605978003</v>
          </cell>
          <cell r="M12">
            <v>8067926.5300000003</v>
          </cell>
          <cell r="N12">
            <v>1284573.71</v>
          </cell>
          <cell r="O12">
            <v>1614.68</v>
          </cell>
          <cell r="P12">
            <v>0</v>
          </cell>
          <cell r="Q12">
            <v>0</v>
          </cell>
          <cell r="R12">
            <v>718473.22</v>
          </cell>
        </row>
        <row r="13">
          <cell r="F13">
            <v>642222.32237208297</v>
          </cell>
          <cell r="G13">
            <v>0</v>
          </cell>
          <cell r="H13">
            <v>4585.2479999999996</v>
          </cell>
          <cell r="I13">
            <v>0</v>
          </cell>
          <cell r="J13">
            <v>0</v>
          </cell>
          <cell r="K13">
            <v>270763.72279351199</v>
          </cell>
          <cell r="M13">
            <v>643442.28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260037.26</v>
          </cell>
        </row>
        <row r="14">
          <cell r="F14">
            <v>37121000.129623003</v>
          </cell>
          <cell r="G14">
            <v>3344814.3333057798</v>
          </cell>
          <cell r="H14">
            <v>9721.2613900319993</v>
          </cell>
          <cell r="I14">
            <v>790.14031999999997</v>
          </cell>
          <cell r="J14">
            <v>1618185.0295778101</v>
          </cell>
          <cell r="K14">
            <v>315786.12703232397</v>
          </cell>
          <cell r="M14">
            <v>34032472.480000004</v>
          </cell>
          <cell r="N14">
            <v>3490151.03</v>
          </cell>
          <cell r="O14">
            <v>9728.06</v>
          </cell>
          <cell r="P14">
            <v>0</v>
          </cell>
          <cell r="Q14">
            <v>1618087.96</v>
          </cell>
          <cell r="R14">
            <v>339798.31</v>
          </cell>
        </row>
        <row r="15">
          <cell r="F15">
            <v>106718.528327586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100954.14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F16">
            <v>2552080.0998629699</v>
          </cell>
          <cell r="G16">
            <v>17367.195291799999</v>
          </cell>
          <cell r="H16">
            <v>2794.9284160000002</v>
          </cell>
          <cell r="I16">
            <v>3402.9710878400001</v>
          </cell>
          <cell r="J16">
            <v>0</v>
          </cell>
          <cell r="K16">
            <v>28895.054165593599</v>
          </cell>
          <cell r="M16">
            <v>2399361.91</v>
          </cell>
          <cell r="N16">
            <v>16989.23</v>
          </cell>
          <cell r="O16">
            <v>2794.93</v>
          </cell>
          <cell r="P16">
            <v>2739.88</v>
          </cell>
          <cell r="Q16">
            <v>0</v>
          </cell>
          <cell r="R16">
            <v>34435.51</v>
          </cell>
        </row>
        <row r="17">
          <cell r="F17">
            <v>1152543.9949916799</v>
          </cell>
          <cell r="G17">
            <v>458408.060067193</v>
          </cell>
          <cell r="H17">
            <v>0</v>
          </cell>
          <cell r="I17">
            <v>823.07324400000005</v>
          </cell>
          <cell r="J17">
            <v>833052.53868768003</v>
          </cell>
          <cell r="K17">
            <v>82059.126329194507</v>
          </cell>
          <cell r="M17">
            <v>1118190.3</v>
          </cell>
          <cell r="N17">
            <v>458045.33</v>
          </cell>
          <cell r="O17">
            <v>0</v>
          </cell>
          <cell r="P17">
            <v>0</v>
          </cell>
          <cell r="Q17">
            <v>936487.98</v>
          </cell>
          <cell r="R17">
            <v>73851.86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branças"/>
      <sheetName val="para conjuntura"/>
      <sheetName val="para conjuntura1"/>
    </sheetNames>
    <sheetDataSet>
      <sheetData sheetId="0">
        <row r="5">
          <cell r="AA5">
            <v>2247200.77</v>
          </cell>
          <cell r="AB5">
            <v>1854576.1</v>
          </cell>
          <cell r="AC5">
            <v>2503364.21</v>
          </cell>
          <cell r="AD5">
            <v>2495487.16</v>
          </cell>
          <cell r="AE5">
            <v>2646316.85</v>
          </cell>
          <cell r="AF5">
            <v>2627563.09</v>
          </cell>
          <cell r="AG5">
            <v>3202611.33</v>
          </cell>
          <cell r="AH5">
            <v>3442140.84</v>
          </cell>
          <cell r="AI5">
            <v>3426186.47</v>
          </cell>
          <cell r="AJ5">
            <v>3058224.9</v>
          </cell>
          <cell r="AK5">
            <v>3178328.97</v>
          </cell>
          <cell r="AL5">
            <v>3451911.03</v>
          </cell>
          <cell r="AM5">
            <v>3591675.36</v>
          </cell>
          <cell r="AN5">
            <v>3466159.48</v>
          </cell>
          <cell r="AO5">
            <v>3311111.18</v>
          </cell>
          <cell r="AP5">
            <v>3469823.93</v>
          </cell>
          <cell r="AQ5">
            <v>3009234.7</v>
          </cell>
          <cell r="AR5">
            <v>2737085.01</v>
          </cell>
          <cell r="BF5">
            <v>3184469.04</v>
          </cell>
          <cell r="BT5">
            <v>3168041.17</v>
          </cell>
          <cell r="CH5">
            <v>8429515.2799999993</v>
          </cell>
          <cell r="CI5">
            <v>17300163.68</v>
          </cell>
        </row>
        <row r="6">
          <cell r="AA6">
            <v>11000000</v>
          </cell>
          <cell r="AB6">
            <v>8761303.9800000004</v>
          </cell>
          <cell r="AC6">
            <v>13000000</v>
          </cell>
          <cell r="AD6">
            <v>12595098.789999999</v>
          </cell>
          <cell r="AE6">
            <v>16500000</v>
          </cell>
          <cell r="AF6">
            <v>15584099.460000001</v>
          </cell>
          <cell r="AG6">
            <v>18572246.210000001</v>
          </cell>
          <cell r="AH6">
            <v>18338431.789999999</v>
          </cell>
          <cell r="AI6">
            <v>17143778.739999998</v>
          </cell>
          <cell r="AJ6">
            <v>16838970.57</v>
          </cell>
          <cell r="AK6">
            <v>17143778.739999998</v>
          </cell>
          <cell r="AL6">
            <v>17677619.98</v>
          </cell>
          <cell r="AM6">
            <v>17088376</v>
          </cell>
          <cell r="AN6">
            <v>16839304.739999998</v>
          </cell>
          <cell r="AO6">
            <v>15531233.609999999</v>
          </cell>
          <cell r="AP6">
            <v>14041788.310000001</v>
          </cell>
          <cell r="AQ6">
            <v>14368460.16</v>
          </cell>
          <cell r="AR6">
            <v>14392773.800000001</v>
          </cell>
          <cell r="BF6">
            <v>15706541.689999999</v>
          </cell>
          <cell r="BT6">
            <v>19722247.309999999</v>
          </cell>
          <cell r="CH6">
            <v>22312690.640000001</v>
          </cell>
          <cell r="CI6">
            <v>22371377.379999999</v>
          </cell>
        </row>
        <row r="7">
          <cell r="AG7">
            <v>2735576.09</v>
          </cell>
          <cell r="AH7">
            <v>2390433.04</v>
          </cell>
          <cell r="AI7">
            <v>7165907.4699999997</v>
          </cell>
          <cell r="AJ7">
            <v>6423654.8700000001</v>
          </cell>
          <cell r="AK7">
            <v>7899067.4500000002</v>
          </cell>
          <cell r="AL7">
            <v>7564925.5199999996</v>
          </cell>
          <cell r="AM7">
            <v>8675732.3900000006</v>
          </cell>
          <cell r="AN7">
            <v>8343467.96</v>
          </cell>
          <cell r="AO7">
            <v>7274943.2599999998</v>
          </cell>
          <cell r="AP7">
            <v>4589200</v>
          </cell>
          <cell r="AQ7">
            <v>7656889.21</v>
          </cell>
          <cell r="AR7">
            <v>7706675</v>
          </cell>
          <cell r="BF7">
            <v>6258281.2000000002</v>
          </cell>
          <cell r="BT7">
            <v>7529384.5</v>
          </cell>
          <cell r="CH7">
            <v>8024694.6799999997</v>
          </cell>
          <cell r="CI7">
            <v>8575594.6499999985</v>
          </cell>
        </row>
        <row r="8">
          <cell r="AK8">
            <v>8907503.9100000001</v>
          </cell>
          <cell r="AL8">
            <v>8609595.5299999993</v>
          </cell>
          <cell r="AM8">
            <v>10062456.890000001</v>
          </cell>
          <cell r="AN8">
            <v>10807616.880000001</v>
          </cell>
          <cell r="AO8">
            <v>10187697</v>
          </cell>
          <cell r="AP8">
            <v>9460862.1500000004</v>
          </cell>
          <cell r="AQ8">
            <v>11154008.73</v>
          </cell>
          <cell r="AR8">
            <v>11118176</v>
          </cell>
          <cell r="BF8">
            <v>6517831.7999999998</v>
          </cell>
          <cell r="BT8">
            <v>7991124.7199999997</v>
          </cell>
          <cell r="CH8">
            <v>9122675.1199999992</v>
          </cell>
          <cell r="CI8">
            <v>9072410.879999999</v>
          </cell>
        </row>
        <row r="9">
          <cell r="AM9">
            <v>3599134.41</v>
          </cell>
          <cell r="AN9">
            <v>2527641.9500000002</v>
          </cell>
          <cell r="AO9">
            <v>5316196</v>
          </cell>
          <cell r="AP9">
            <v>3091383.12</v>
          </cell>
          <cell r="AQ9">
            <v>6167820.5099999998</v>
          </cell>
          <cell r="AR9">
            <v>3702745</v>
          </cell>
          <cell r="BF9">
            <v>5505976.6600000001</v>
          </cell>
          <cell r="BT9">
            <v>4942391.83</v>
          </cell>
          <cell r="CH9">
            <v>4905935.34</v>
          </cell>
          <cell r="CI9">
            <v>3469915.7200000007</v>
          </cell>
        </row>
        <row r="10">
          <cell r="AO10">
            <v>16967591.809999999</v>
          </cell>
          <cell r="AP10">
            <v>14063476.23</v>
          </cell>
          <cell r="AQ10">
            <v>21952099.920000002</v>
          </cell>
          <cell r="AR10">
            <v>21714795</v>
          </cell>
          <cell r="BF10">
            <v>32766982.850000001</v>
          </cell>
          <cell r="BT10">
            <v>35526776.950000003</v>
          </cell>
          <cell r="CH10">
            <v>46886019.049999997</v>
          </cell>
          <cell r="CI10">
            <v>52266441.020000003</v>
          </cell>
        </row>
        <row r="11">
          <cell r="BF11">
            <v>5075216.13</v>
          </cell>
          <cell r="BT11">
            <v>6789459.9500000002</v>
          </cell>
          <cell r="CH11">
            <v>5257910.47</v>
          </cell>
          <cell r="CI11">
            <v>6633356.29</v>
          </cell>
        </row>
        <row r="12">
          <cell r="BF12">
            <v>1808439.23</v>
          </cell>
          <cell r="BT12">
            <v>2580220.87</v>
          </cell>
          <cell r="CH12">
            <v>2458092.44</v>
          </cell>
          <cell r="CI12">
            <v>2583008.62</v>
          </cell>
        </row>
        <row r="13">
          <cell r="BF13">
            <v>187866.43</v>
          </cell>
          <cell r="BT13">
            <v>680363.18</v>
          </cell>
          <cell r="CH13">
            <v>2835016.84</v>
          </cell>
          <cell r="CI13">
            <v>8028338.9299999997</v>
          </cell>
        </row>
        <row r="14">
          <cell r="BT14">
            <v>944509.85</v>
          </cell>
          <cell r="CH14">
            <v>2987407.46</v>
          </cell>
          <cell r="CI14">
            <v>4854379.05</v>
          </cell>
        </row>
        <row r="15">
          <cell r="BT15">
            <v>243959.51</v>
          </cell>
          <cell r="CH15">
            <v>1800649.86</v>
          </cell>
          <cell r="CI15">
            <v>1612024.74</v>
          </cell>
        </row>
        <row r="16">
          <cell r="BT16">
            <v>269688.83</v>
          </cell>
          <cell r="CH16">
            <v>1151996.78</v>
          </cell>
          <cell r="CI16">
            <v>1480809.38</v>
          </cell>
        </row>
        <row r="17">
          <cell r="BT17">
            <v>0</v>
          </cell>
          <cell r="CH17">
            <v>4939317.87</v>
          </cell>
          <cell r="CI17">
            <v>4847682.32</v>
          </cell>
        </row>
        <row r="18">
          <cell r="CH18">
            <v>122252.39</v>
          </cell>
          <cell r="CI18">
            <v>175814.38</v>
          </cell>
        </row>
        <row r="19">
          <cell r="CH19">
            <v>2719469.85</v>
          </cell>
          <cell r="CI19">
            <v>3020709.4</v>
          </cell>
        </row>
        <row r="20">
          <cell r="CH20">
            <v>447657.21</v>
          </cell>
          <cell r="CI20">
            <v>1043107.4299999999</v>
          </cell>
        </row>
        <row r="21">
          <cell r="CH21">
            <v>819031.64</v>
          </cell>
          <cell r="CI21">
            <v>2181701.2800000003</v>
          </cell>
        </row>
        <row r="22">
          <cell r="CH22">
            <v>470033.02</v>
          </cell>
          <cell r="CI22">
            <v>1951639.79</v>
          </cell>
        </row>
        <row r="23">
          <cell r="CI23">
            <v>221278.34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Total"/>
    </sheetNames>
    <sheetDataSet>
      <sheetData sheetId="0"/>
      <sheetData sheetId="1">
        <row r="13">
          <cell r="Q13">
            <v>33949757.390000001</v>
          </cell>
        </row>
        <row r="14">
          <cell r="Q14">
            <v>124927.49</v>
          </cell>
        </row>
        <row r="15">
          <cell r="R15">
            <v>12144134.92</v>
          </cell>
        </row>
        <row r="16">
          <cell r="R16">
            <v>20727550.52</v>
          </cell>
        </row>
        <row r="17">
          <cell r="R17">
            <v>11061655.99</v>
          </cell>
        </row>
        <row r="18">
          <cell r="R18">
            <v>9413680.5099999905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adores"/>
      <sheetName val="Planilha de boletos cobrados em"/>
    </sheetNames>
    <sheetDataSet>
      <sheetData sheetId="0">
        <row r="6">
          <cell r="G6">
            <v>1334827.8899999999</v>
          </cell>
        </row>
        <row r="7">
          <cell r="G7">
            <v>4213663.3499999996</v>
          </cell>
        </row>
        <row r="8">
          <cell r="G8">
            <v>3468880.34</v>
          </cell>
        </row>
        <row r="9">
          <cell r="G9">
            <v>6610737.7800000003</v>
          </cell>
        </row>
        <row r="10">
          <cell r="G10">
            <v>6595655.7000000002</v>
          </cell>
        </row>
        <row r="12">
          <cell r="G12">
            <v>6825853.8600000003</v>
          </cell>
        </row>
        <row r="13">
          <cell r="G13">
            <v>2879658.84</v>
          </cell>
        </row>
        <row r="14">
          <cell r="G14">
            <v>7205503.3799999999</v>
          </cell>
        </row>
        <row r="15">
          <cell r="G15">
            <v>1307102.97</v>
          </cell>
        </row>
        <row r="16">
          <cell r="G16">
            <v>13427161</v>
          </cell>
        </row>
        <row r="17">
          <cell r="G17">
            <v>6227038.5</v>
          </cell>
        </row>
        <row r="19">
          <cell r="G19">
            <v>171999.79</v>
          </cell>
        </row>
        <row r="20">
          <cell r="G20">
            <v>2678008.27</v>
          </cell>
        </row>
        <row r="21">
          <cell r="G21">
            <v>3768764.16</v>
          </cell>
        </row>
        <row r="22">
          <cell r="G22">
            <v>4973326.74</v>
          </cell>
        </row>
        <row r="23">
          <cell r="G23">
            <v>8837688.4399999995</v>
          </cell>
        </row>
        <row r="24">
          <cell r="G24">
            <v>38719400.100000001</v>
          </cell>
        </row>
        <row r="25">
          <cell r="G25">
            <v>21830118.359999999</v>
          </cell>
        </row>
        <row r="26">
          <cell r="G26">
            <v>9317151.8200000003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</sheetNames>
    <sheetDataSet>
      <sheetData sheetId="0">
        <row r="2">
          <cell r="N2">
            <v>1231739.43</v>
          </cell>
        </row>
        <row r="3">
          <cell r="N3">
            <v>4078758.72</v>
          </cell>
        </row>
        <row r="4">
          <cell r="N4">
            <v>37009566.950000003</v>
          </cell>
        </row>
        <row r="5">
          <cell r="N5">
            <v>2824348.34</v>
          </cell>
        </row>
        <row r="6">
          <cell r="N6">
            <v>6628331.7800000003</v>
          </cell>
        </row>
        <row r="7">
          <cell r="N7">
            <v>4260871.5599999996</v>
          </cell>
        </row>
        <row r="9">
          <cell r="N9">
            <v>6329968.7200000007</v>
          </cell>
        </row>
        <row r="10">
          <cell r="N10">
            <v>2505240.63</v>
          </cell>
        </row>
        <row r="11">
          <cell r="N11">
            <v>7558215.8599999994</v>
          </cell>
        </row>
        <row r="12">
          <cell r="N12">
            <v>19444928.32</v>
          </cell>
        </row>
        <row r="13">
          <cell r="N13">
            <v>973079.88000000012</v>
          </cell>
        </row>
        <row r="14">
          <cell r="N14">
            <v>13028901.060000001</v>
          </cell>
        </row>
        <row r="15">
          <cell r="N15">
            <v>6237785.5099999998</v>
          </cell>
        </row>
        <row r="17">
          <cell r="N17">
            <v>154571.47</v>
          </cell>
        </row>
        <row r="18">
          <cell r="N18">
            <v>2506115.58</v>
          </cell>
        </row>
        <row r="19">
          <cell r="N19">
            <v>8141397.4799999986</v>
          </cell>
        </row>
        <row r="20">
          <cell r="N20">
            <v>2916061.5600000005</v>
          </cell>
        </row>
        <row r="21">
          <cell r="N21">
            <v>4212387.2700000005</v>
          </cell>
        </row>
        <row r="22">
          <cell r="N22">
            <v>6951871.6300000008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branças"/>
      <sheetName val="para conjuntura"/>
      <sheetName val="para conjuntura1"/>
      <sheetName val="Interestadual"/>
      <sheetName val="CE"/>
      <sheetName val="RJ"/>
      <sheetName val="SP"/>
      <sheetName val="MG"/>
      <sheetName val="PR"/>
      <sheetName val="PB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K5">
            <v>14672611.119999999</v>
          </cell>
          <cell r="DR5">
            <v>14473619.760000002</v>
          </cell>
        </row>
        <row r="6">
          <cell r="DK6">
            <v>24086444.870000001</v>
          </cell>
          <cell r="DR6">
            <v>21826706.180000022</v>
          </cell>
        </row>
        <row r="7">
          <cell r="DK7">
            <v>10721625.73</v>
          </cell>
          <cell r="DR7">
            <v>10649551.100000007</v>
          </cell>
        </row>
        <row r="8">
          <cell r="DK8">
            <v>7158010.4800000004</v>
          </cell>
          <cell r="DR8">
            <v>7173106.0000000112</v>
          </cell>
        </row>
        <row r="9">
          <cell r="DK9">
            <v>6550715.4500000002</v>
          </cell>
          <cell r="DR9">
            <v>4077186.3600000059</v>
          </cell>
        </row>
        <row r="10">
          <cell r="DK10">
            <v>56000029.659999996</v>
          </cell>
          <cell r="DR10">
            <v>54993675.879999995</v>
          </cell>
        </row>
        <row r="11">
          <cell r="DK11">
            <v>10693908.720000001</v>
          </cell>
          <cell r="DR11">
            <v>9751775.4400000013</v>
          </cell>
        </row>
        <row r="12">
          <cell r="DK12">
            <v>4286338.0199999996</v>
          </cell>
          <cell r="DR12">
            <v>3478373.71</v>
          </cell>
        </row>
        <row r="13">
          <cell r="DK13">
            <v>6839683.5199999996</v>
          </cell>
          <cell r="DR13">
            <v>6823483.0200000023</v>
          </cell>
        </row>
        <row r="14">
          <cell r="DK14">
            <v>7517108.1399999997</v>
          </cell>
          <cell r="DR14">
            <v>7062279.6899999995</v>
          </cell>
        </row>
        <row r="15">
          <cell r="DK15">
            <v>3850898.59</v>
          </cell>
          <cell r="DR15">
            <v>3993982.8000000003</v>
          </cell>
        </row>
        <row r="16">
          <cell r="DK16">
            <v>3139270.84</v>
          </cell>
          <cell r="DR16">
            <v>2487433.7799999993</v>
          </cell>
        </row>
        <row r="17">
          <cell r="DK17">
            <v>8122892.6200000001</v>
          </cell>
          <cell r="DR17">
            <v>7181127.7399999965</v>
          </cell>
        </row>
        <row r="18">
          <cell r="DK18">
            <v>176840.29</v>
          </cell>
          <cell r="DR18">
            <v>170912.75999999998</v>
          </cell>
        </row>
        <row r="19">
          <cell r="DK19">
            <v>4875021.97</v>
          </cell>
          <cell r="DR19">
            <v>5030752.379999998</v>
          </cell>
        </row>
        <row r="20">
          <cell r="DK20">
            <v>2521934.0099999998</v>
          </cell>
          <cell r="DR20">
            <v>2108597.3499999996</v>
          </cell>
        </row>
        <row r="21">
          <cell r="DK21">
            <v>4266546.78</v>
          </cell>
          <cell r="DR21">
            <v>3646887.1099999994</v>
          </cell>
        </row>
        <row r="22">
          <cell r="DK22">
            <v>4970556.8099999996</v>
          </cell>
          <cell r="DR22">
            <v>4714789.4700000007</v>
          </cell>
        </row>
        <row r="23">
          <cell r="DK23">
            <v>2133212</v>
          </cell>
          <cell r="DR23">
            <v>1612847.5199999993</v>
          </cell>
        </row>
        <row r="24">
          <cell r="DK24">
            <v>603279.19999999995</v>
          </cell>
          <cell r="DR24">
            <v>508613.89</v>
          </cell>
        </row>
      </sheetData>
      <sheetData sheetId="7"/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H MG 2021"/>
    </sheetNames>
    <sheetDataSet>
      <sheetData sheetId="0">
        <row r="5">
          <cell r="CI5">
            <v>113296.28</v>
          </cell>
          <cell r="CJ5">
            <v>23766.239999999994</v>
          </cell>
          <cell r="CK5">
            <v>0</v>
          </cell>
          <cell r="CL5">
            <v>0</v>
          </cell>
          <cell r="CM5">
            <v>0</v>
          </cell>
          <cell r="CN5">
            <v>2275.88</v>
          </cell>
          <cell r="CP5">
            <v>109142.35999999999</v>
          </cell>
          <cell r="CQ5">
            <v>24302.81</v>
          </cell>
          <cell r="CR5">
            <v>0</v>
          </cell>
          <cell r="CS5">
            <v>0</v>
          </cell>
          <cell r="CT5">
            <v>0</v>
          </cell>
          <cell r="CU5">
            <v>1195.23</v>
          </cell>
          <cell r="CW5">
            <v>99134.25999999998</v>
          </cell>
          <cell r="CX5">
            <v>20828.510000000002</v>
          </cell>
          <cell r="CY5">
            <v>0</v>
          </cell>
          <cell r="CZ5">
            <v>0</v>
          </cell>
          <cell r="DA5">
            <v>0</v>
          </cell>
          <cell r="DB5">
            <v>879.34999999999991</v>
          </cell>
          <cell r="DC5">
            <v>120842.12</v>
          </cell>
          <cell r="DD5">
            <v>99547.48</v>
          </cell>
          <cell r="DE5">
            <v>15067.95</v>
          </cell>
          <cell r="DF5">
            <v>0</v>
          </cell>
          <cell r="DG5">
            <v>0</v>
          </cell>
          <cell r="DH5">
            <v>0</v>
          </cell>
          <cell r="DI5">
            <v>225.45</v>
          </cell>
          <cell r="DK5">
            <v>42486.12</v>
          </cell>
          <cell r="DL5">
            <v>19976.7</v>
          </cell>
          <cell r="DM5">
            <v>0</v>
          </cell>
          <cell r="DN5">
            <v>2676.43</v>
          </cell>
          <cell r="DO5">
            <v>0</v>
          </cell>
          <cell r="DP5">
            <v>5074.6899999999996</v>
          </cell>
          <cell r="DR5">
            <v>42615.93</v>
          </cell>
          <cell r="DS5">
            <v>11089.489999999998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</row>
        <row r="6">
          <cell r="CI6">
            <v>9271504.2700000033</v>
          </cell>
          <cell r="CJ6">
            <v>781793.64000000036</v>
          </cell>
          <cell r="CK6">
            <v>925648.82999999984</v>
          </cell>
          <cell r="CL6">
            <v>151665.55999999988</v>
          </cell>
          <cell r="CM6">
            <v>0</v>
          </cell>
          <cell r="CN6">
            <v>312413.04999999941</v>
          </cell>
          <cell r="CP6">
            <v>6009105.6605867762</v>
          </cell>
          <cell r="CQ6">
            <v>784737.52045865136</v>
          </cell>
          <cell r="CR6">
            <v>1263908.2299999997</v>
          </cell>
          <cell r="CS6">
            <v>126797.94999999992</v>
          </cell>
          <cell r="CT6">
            <v>0</v>
          </cell>
          <cell r="CU6">
            <v>307982.99023460894</v>
          </cell>
          <cell r="CW6">
            <v>6600004.0199999986</v>
          </cell>
          <cell r="CX6">
            <v>691124.13000000024</v>
          </cell>
          <cell r="CY6">
            <v>1380266.5300000003</v>
          </cell>
          <cell r="CZ6">
            <v>98050.589999999982</v>
          </cell>
          <cell r="DA6">
            <v>0</v>
          </cell>
          <cell r="DB6">
            <v>279064.32999999978</v>
          </cell>
          <cell r="DC6">
            <v>9048509.5999999996</v>
          </cell>
          <cell r="DD6">
            <v>5165997.4175620647</v>
          </cell>
          <cell r="DE6">
            <v>588966.26</v>
          </cell>
          <cell r="DF6">
            <v>1174829.6800000004</v>
          </cell>
          <cell r="DG6">
            <v>88212.780000000028</v>
          </cell>
          <cell r="DH6">
            <v>0</v>
          </cell>
          <cell r="DI6">
            <v>233768.15199999994</v>
          </cell>
          <cell r="DK6">
            <v>7522889.5999999959</v>
          </cell>
          <cell r="DL6">
            <v>366786.23000000016</v>
          </cell>
          <cell r="DM6">
            <v>1188386.43</v>
          </cell>
          <cell r="DN6">
            <v>73690.5</v>
          </cell>
          <cell r="DO6">
            <v>0</v>
          </cell>
          <cell r="DP6">
            <v>1091552.06</v>
          </cell>
          <cell r="DR6">
            <v>6687792.2815895071</v>
          </cell>
          <cell r="DS6">
            <v>356410.0400000001</v>
          </cell>
          <cell r="DT6">
            <v>903492.19000000006</v>
          </cell>
          <cell r="DU6">
            <v>27547.750000000007</v>
          </cell>
          <cell r="DV6">
            <v>0</v>
          </cell>
          <cell r="DW6">
            <v>241216.66999999993</v>
          </cell>
        </row>
        <row r="7">
          <cell r="CI7">
            <v>2832643.6599999992</v>
          </cell>
          <cell r="CJ7">
            <v>989333.37000000034</v>
          </cell>
          <cell r="CK7">
            <v>362248.75999999989</v>
          </cell>
          <cell r="CL7">
            <v>1378524.2099999981</v>
          </cell>
          <cell r="CM7">
            <v>0</v>
          </cell>
          <cell r="CN7">
            <v>66869.55000000009</v>
          </cell>
          <cell r="CP7">
            <v>2766946.4067963744</v>
          </cell>
          <cell r="CQ7">
            <v>836561.95000000065</v>
          </cell>
          <cell r="CR7">
            <v>358642.05</v>
          </cell>
          <cell r="CS7">
            <v>1176250.7639850457</v>
          </cell>
          <cell r="CT7">
            <v>0</v>
          </cell>
          <cell r="CU7">
            <v>82683.870000000185</v>
          </cell>
          <cell r="CW7">
            <v>2457833.15</v>
          </cell>
          <cell r="CX7">
            <v>929323.96999999986</v>
          </cell>
          <cell r="CY7">
            <v>357804.57999999996</v>
          </cell>
          <cell r="CZ7">
            <v>1123650.6799999995</v>
          </cell>
          <cell r="DA7">
            <v>0</v>
          </cell>
          <cell r="DB7">
            <v>1222965.0400000026</v>
          </cell>
          <cell r="DC7">
            <v>6091577.4200000018</v>
          </cell>
          <cell r="DD7">
            <v>1982246.0249521858</v>
          </cell>
          <cell r="DE7">
            <v>865188.29</v>
          </cell>
          <cell r="DF7">
            <v>357268.17999999993</v>
          </cell>
          <cell r="DG7">
            <v>941443.44085673499</v>
          </cell>
          <cell r="DH7">
            <v>0</v>
          </cell>
          <cell r="DI7">
            <v>40560.469999999994</v>
          </cell>
          <cell r="DK7">
            <v>1227942.7299999995</v>
          </cell>
          <cell r="DL7">
            <v>511081.47</v>
          </cell>
          <cell r="DM7">
            <v>129721.85999999999</v>
          </cell>
          <cell r="DN7">
            <v>1684605.0599999952</v>
          </cell>
          <cell r="DO7">
            <v>0</v>
          </cell>
          <cell r="DP7">
            <v>3335237.4700000067</v>
          </cell>
          <cell r="DR7">
            <v>1100333.78</v>
          </cell>
          <cell r="DS7">
            <v>430413.77000000008</v>
          </cell>
          <cell r="DT7">
            <v>111739.98000000001</v>
          </cell>
          <cell r="DU7">
            <v>430630.89</v>
          </cell>
          <cell r="DV7">
            <v>0</v>
          </cell>
          <cell r="DW7">
            <v>628283.7505105522</v>
          </cell>
        </row>
        <row r="8">
          <cell r="CI8">
            <v>2866875.5400000014</v>
          </cell>
          <cell r="CJ8">
            <v>345001.03999999992</v>
          </cell>
          <cell r="CK8">
            <v>975634.36</v>
          </cell>
          <cell r="CL8">
            <v>4117.7600000000011</v>
          </cell>
          <cell r="CM8">
            <v>0</v>
          </cell>
          <cell r="CN8">
            <v>10011.599999999997</v>
          </cell>
          <cell r="CP8">
            <v>2007905.4719427084</v>
          </cell>
          <cell r="CQ8">
            <v>158470.40386502596</v>
          </cell>
          <cell r="CR8">
            <v>964595.77</v>
          </cell>
          <cell r="CS8">
            <v>1355.6100000000001</v>
          </cell>
          <cell r="CT8">
            <v>0</v>
          </cell>
          <cell r="CU8">
            <v>10043.869999999995</v>
          </cell>
          <cell r="CW8">
            <v>2506711.8000000012</v>
          </cell>
          <cell r="CX8">
            <v>150088.40999999995</v>
          </cell>
          <cell r="CY8">
            <v>925725.62000000011</v>
          </cell>
          <cell r="CZ8">
            <v>2949.8200000000006</v>
          </cell>
          <cell r="DA8">
            <v>0</v>
          </cell>
          <cell r="DB8">
            <v>8286.1900000000023</v>
          </cell>
          <cell r="DC8">
            <v>3593761.8400000012</v>
          </cell>
          <cell r="DD8">
            <v>1687146.2788641362</v>
          </cell>
          <cell r="DE8">
            <v>159271.65899105617</v>
          </cell>
          <cell r="DF8">
            <v>1037561.0900000001</v>
          </cell>
          <cell r="DG8">
            <v>938.5</v>
          </cell>
          <cell r="DH8">
            <v>0</v>
          </cell>
          <cell r="DI8">
            <v>8363</v>
          </cell>
          <cell r="DK8">
            <v>783897.86000000022</v>
          </cell>
          <cell r="DL8">
            <v>174473.81000000006</v>
          </cell>
          <cell r="DM8">
            <v>720588.34</v>
          </cell>
          <cell r="DN8">
            <v>3076.03</v>
          </cell>
          <cell r="DO8">
            <v>0</v>
          </cell>
          <cell r="DP8">
            <v>264316.34999999986</v>
          </cell>
          <cell r="DR8">
            <v>479601.78879666544</v>
          </cell>
          <cell r="DS8">
            <v>87296.451388520785</v>
          </cell>
          <cell r="DT8">
            <v>386713.07</v>
          </cell>
          <cell r="DU8">
            <v>254.78</v>
          </cell>
          <cell r="DV8">
            <v>0</v>
          </cell>
          <cell r="DW8">
            <v>101410.55999999998</v>
          </cell>
        </row>
        <row r="9">
          <cell r="CI9">
            <v>3755965.16</v>
          </cell>
          <cell r="CJ9">
            <v>3319990.75</v>
          </cell>
          <cell r="CK9">
            <v>3746853.9000000018</v>
          </cell>
          <cell r="CL9">
            <v>258.3</v>
          </cell>
          <cell r="CM9">
            <v>0</v>
          </cell>
          <cell r="CN9">
            <v>7301.93</v>
          </cell>
          <cell r="CP9">
            <v>1943652.9539807872</v>
          </cell>
          <cell r="CQ9">
            <v>3322440.93</v>
          </cell>
          <cell r="CR9">
            <v>3745946.2600000007</v>
          </cell>
          <cell r="CS9">
            <v>140.04</v>
          </cell>
          <cell r="CT9">
            <v>0</v>
          </cell>
          <cell r="CU9">
            <v>11129.36</v>
          </cell>
          <cell r="CW9">
            <v>3849802.93</v>
          </cell>
          <cell r="CX9">
            <v>2975571.81</v>
          </cell>
          <cell r="CY9">
            <v>3838726.4499999997</v>
          </cell>
          <cell r="CZ9">
            <v>70.02</v>
          </cell>
          <cell r="DA9">
            <v>0</v>
          </cell>
          <cell r="DB9">
            <v>8358.8100000000013</v>
          </cell>
          <cell r="DC9">
            <v>10672530.02</v>
          </cell>
          <cell r="DD9">
            <v>4917910.6401463449</v>
          </cell>
          <cell r="DE9">
            <v>3039153.82</v>
          </cell>
          <cell r="DF9">
            <v>4150943.2299999995</v>
          </cell>
          <cell r="DG9">
            <v>70.02</v>
          </cell>
          <cell r="DH9">
            <v>0</v>
          </cell>
          <cell r="DI9">
            <v>4698.92</v>
          </cell>
          <cell r="DK9">
            <v>1022290.1300000005</v>
          </cell>
          <cell r="DL9">
            <v>1212590.3199999994</v>
          </cell>
          <cell r="DM9">
            <v>3167411.8500000006</v>
          </cell>
          <cell r="DN9">
            <v>0</v>
          </cell>
          <cell r="DO9">
            <v>0</v>
          </cell>
          <cell r="DP9">
            <v>115919.63999999998</v>
          </cell>
          <cell r="DR9">
            <v>1521792.6438226011</v>
          </cell>
          <cell r="DS9">
            <v>973885.29999999981</v>
          </cell>
          <cell r="DT9">
            <v>1961621.1799999995</v>
          </cell>
          <cell r="DU9">
            <v>0</v>
          </cell>
          <cell r="DV9">
            <v>0</v>
          </cell>
          <cell r="DW9">
            <v>28545.520000000008</v>
          </cell>
        </row>
        <row r="10">
          <cell r="CI10">
            <v>521216.56000000006</v>
          </cell>
          <cell r="CJ10">
            <v>327854.98</v>
          </cell>
          <cell r="CK10">
            <v>2127772.8200000003</v>
          </cell>
          <cell r="CL10">
            <v>0</v>
          </cell>
          <cell r="CM10">
            <v>0</v>
          </cell>
          <cell r="CN10">
            <v>9716.07</v>
          </cell>
          <cell r="CP10">
            <v>578976.10954559012</v>
          </cell>
          <cell r="CQ10">
            <v>326872.67000000004</v>
          </cell>
          <cell r="CR10">
            <v>2364543.3084082152</v>
          </cell>
          <cell r="CS10">
            <v>0</v>
          </cell>
          <cell r="CT10">
            <v>0</v>
          </cell>
          <cell r="CU10">
            <v>1062.1499999999999</v>
          </cell>
          <cell r="CW10">
            <v>459554.46</v>
          </cell>
          <cell r="CX10">
            <v>285850.09999999998</v>
          </cell>
          <cell r="CY10">
            <v>1736587.9100000001</v>
          </cell>
          <cell r="CZ10">
            <v>0</v>
          </cell>
          <cell r="DA10">
            <v>0</v>
          </cell>
          <cell r="DB10">
            <v>6384.5400000000009</v>
          </cell>
          <cell r="DC10">
            <v>2488377.0100000002</v>
          </cell>
          <cell r="DD10">
            <v>553869.54328911926</v>
          </cell>
          <cell r="DE10">
            <v>324224.90000000002</v>
          </cell>
          <cell r="DF10">
            <v>1743263.8415558951</v>
          </cell>
          <cell r="DG10">
            <v>0</v>
          </cell>
          <cell r="DH10">
            <v>0</v>
          </cell>
          <cell r="DI10">
            <v>416.78999999999996</v>
          </cell>
          <cell r="DK10">
            <v>618125.99</v>
          </cell>
          <cell r="DL10">
            <v>129089.11</v>
          </cell>
          <cell r="DM10">
            <v>935904.69</v>
          </cell>
          <cell r="DN10">
            <v>0</v>
          </cell>
          <cell r="DO10">
            <v>0</v>
          </cell>
          <cell r="DP10">
            <v>56045.46</v>
          </cell>
          <cell r="DR10">
            <v>528362.28578465607</v>
          </cell>
          <cell r="DS10">
            <v>2638.32</v>
          </cell>
          <cell r="DT10">
            <v>524909.54</v>
          </cell>
          <cell r="DU10">
            <v>0</v>
          </cell>
          <cell r="DV10">
            <v>0</v>
          </cell>
          <cell r="DW10">
            <v>17627.21</v>
          </cell>
        </row>
        <row r="11">
          <cell r="CI11">
            <v>1754294.4599999974</v>
          </cell>
          <cell r="CJ11">
            <v>95686.440000000017</v>
          </cell>
          <cell r="CK11">
            <v>21473.640000000007</v>
          </cell>
          <cell r="CL11">
            <v>7780.0300000000007</v>
          </cell>
          <cell r="CM11">
            <v>0</v>
          </cell>
          <cell r="CN11">
            <v>6314.8200000000006</v>
          </cell>
          <cell r="CP11">
            <v>851282.94409583078</v>
          </cell>
          <cell r="CQ11">
            <v>89560.56</v>
          </cell>
          <cell r="CR11">
            <v>10112.65</v>
          </cell>
          <cell r="CS11">
            <v>7271.8200000000015</v>
          </cell>
          <cell r="CT11">
            <v>0</v>
          </cell>
          <cell r="CU11">
            <v>7154.0400000000009</v>
          </cell>
          <cell r="CW11">
            <v>1022151.7099999995</v>
          </cell>
          <cell r="CX11">
            <v>90923.750000000015</v>
          </cell>
          <cell r="CY11">
            <v>12445.09</v>
          </cell>
          <cell r="CZ11">
            <v>24413.680000000004</v>
          </cell>
          <cell r="DA11">
            <v>0</v>
          </cell>
          <cell r="DB11">
            <v>265952.02</v>
          </cell>
          <cell r="DC11">
            <v>1415886.2499999995</v>
          </cell>
          <cell r="DD11">
            <v>916727.94531014294</v>
          </cell>
          <cell r="DE11">
            <v>80245.279999999999</v>
          </cell>
          <cell r="DF11">
            <v>4471.21</v>
          </cell>
          <cell r="DG11">
            <v>5725.2099999999991</v>
          </cell>
          <cell r="DH11">
            <v>0</v>
          </cell>
          <cell r="DI11">
            <v>4918.93</v>
          </cell>
          <cell r="DK11">
            <v>1282870.2500000007</v>
          </cell>
          <cell r="DL11">
            <v>73751.880000000019</v>
          </cell>
          <cell r="DM11">
            <v>4761.51</v>
          </cell>
          <cell r="DN11">
            <v>6950.05</v>
          </cell>
          <cell r="DO11">
            <v>0</v>
          </cell>
          <cell r="DP11">
            <v>257703.33999999997</v>
          </cell>
          <cell r="DR11">
            <v>318455.37475565821</v>
          </cell>
          <cell r="DS11">
            <v>5716.1900000000005</v>
          </cell>
          <cell r="DT11">
            <v>7177.2273738052763</v>
          </cell>
          <cell r="DU11">
            <v>1328.4499999999998</v>
          </cell>
          <cell r="DV11">
            <v>0</v>
          </cell>
          <cell r="DW11">
            <v>53740.12999999999</v>
          </cell>
        </row>
        <row r="12">
          <cell r="CI12">
            <v>980705.23000000021</v>
          </cell>
          <cell r="CJ12">
            <v>13237.240000000002</v>
          </cell>
          <cell r="CK12">
            <v>0</v>
          </cell>
          <cell r="CL12">
            <v>735.12</v>
          </cell>
          <cell r="CM12">
            <v>0</v>
          </cell>
          <cell r="CN12">
            <v>25843.920000000002</v>
          </cell>
          <cell r="CP12">
            <v>781969.76165585662</v>
          </cell>
          <cell r="CQ12">
            <v>12804.300000000003</v>
          </cell>
          <cell r="CR12">
            <v>0</v>
          </cell>
          <cell r="CS12">
            <v>555.66</v>
          </cell>
          <cell r="CT12">
            <v>0</v>
          </cell>
          <cell r="CU12">
            <v>7976.6100000000006</v>
          </cell>
          <cell r="CW12">
            <v>858463.46</v>
          </cell>
          <cell r="CX12">
            <v>11582.590000000002</v>
          </cell>
          <cell r="CY12">
            <v>0</v>
          </cell>
          <cell r="CZ12">
            <v>527.94000000000005</v>
          </cell>
          <cell r="DA12">
            <v>0</v>
          </cell>
          <cell r="DB12">
            <v>21876.190000000002</v>
          </cell>
          <cell r="DC12">
            <v>892450.17999999993</v>
          </cell>
          <cell r="DD12">
            <v>763597.21690816106</v>
          </cell>
          <cell r="DE12">
            <v>11183.9</v>
          </cell>
          <cell r="DF12">
            <v>0</v>
          </cell>
          <cell r="DG12">
            <v>501.9</v>
          </cell>
          <cell r="DH12">
            <v>0</v>
          </cell>
          <cell r="DI12">
            <v>6839.26</v>
          </cell>
          <cell r="DK12">
            <v>364242.37000000017</v>
          </cell>
          <cell r="DL12">
            <v>6225.5</v>
          </cell>
          <cell r="DM12">
            <v>0</v>
          </cell>
          <cell r="DN12">
            <v>1151.3899999999999</v>
          </cell>
          <cell r="DO12">
            <v>0</v>
          </cell>
          <cell r="DP12">
            <v>35461.159999999982</v>
          </cell>
          <cell r="DR12">
            <v>270835.96230871713</v>
          </cell>
          <cell r="DS12">
            <v>5581.2</v>
          </cell>
          <cell r="DT12">
            <v>0</v>
          </cell>
          <cell r="DU12">
            <v>160.38</v>
          </cell>
          <cell r="DV12">
            <v>0</v>
          </cell>
          <cell r="DW12">
            <v>0</v>
          </cell>
        </row>
        <row r="13">
          <cell r="CI13">
            <v>1380313.59</v>
          </cell>
          <cell r="CJ13">
            <v>17977.439999999999</v>
          </cell>
          <cell r="CK13">
            <v>8014.4799999999987</v>
          </cell>
          <cell r="CL13">
            <v>2150.9600000000005</v>
          </cell>
          <cell r="CM13">
            <v>0</v>
          </cell>
          <cell r="CN13">
            <v>3312.5199999999995</v>
          </cell>
          <cell r="CP13">
            <v>1108759.106310728</v>
          </cell>
          <cell r="CQ13">
            <v>12303.749999999998</v>
          </cell>
          <cell r="CR13">
            <v>2157.6499999999992</v>
          </cell>
          <cell r="CS13">
            <v>1301.96</v>
          </cell>
          <cell r="CT13">
            <v>0</v>
          </cell>
          <cell r="CU13">
            <v>18217.65058395336</v>
          </cell>
          <cell r="CW13">
            <v>1052530.9699999997</v>
          </cell>
          <cell r="CX13">
            <v>15544.210000000001</v>
          </cell>
          <cell r="CY13">
            <v>6878.71</v>
          </cell>
          <cell r="CZ13">
            <v>2141.64</v>
          </cell>
          <cell r="DA13">
            <v>0</v>
          </cell>
          <cell r="DB13">
            <v>2689.73</v>
          </cell>
          <cell r="DC13">
            <v>1079785.2599999995</v>
          </cell>
          <cell r="DD13">
            <v>1185925.1416682887</v>
          </cell>
          <cell r="DE13">
            <v>6000.84</v>
          </cell>
          <cell r="DF13">
            <v>586.12</v>
          </cell>
          <cell r="DG13">
            <v>1463.04</v>
          </cell>
          <cell r="DH13">
            <v>0</v>
          </cell>
          <cell r="DI13">
            <v>33401.828961429499</v>
          </cell>
          <cell r="DK13">
            <v>512456.98999999982</v>
          </cell>
          <cell r="DL13">
            <v>28205.64</v>
          </cell>
          <cell r="DM13">
            <v>2871.4700000000003</v>
          </cell>
          <cell r="DN13">
            <v>3483.38</v>
          </cell>
          <cell r="DO13">
            <v>0</v>
          </cell>
          <cell r="DP13">
            <v>150071.31999999995</v>
          </cell>
          <cell r="DR13">
            <v>129851.21636814781</v>
          </cell>
          <cell r="DS13">
            <v>20124.939999999995</v>
          </cell>
          <cell r="DT13">
            <v>578.34</v>
          </cell>
          <cell r="DU13">
            <v>292.7</v>
          </cell>
          <cell r="DV13">
            <v>0</v>
          </cell>
          <cell r="DW13">
            <v>4643.0500000000011</v>
          </cell>
        </row>
        <row r="14">
          <cell r="CI14">
            <v>1301401.8800000001</v>
          </cell>
          <cell r="CJ14">
            <v>400253.64</v>
          </cell>
          <cell r="CK14">
            <v>542.6</v>
          </cell>
          <cell r="CL14">
            <v>9348.3000000000011</v>
          </cell>
          <cell r="CM14">
            <v>0</v>
          </cell>
          <cell r="CN14">
            <v>29498.179999999997</v>
          </cell>
          <cell r="CP14">
            <v>1311112.3903956658</v>
          </cell>
          <cell r="CQ14">
            <v>81324.260000000009</v>
          </cell>
          <cell r="CR14">
            <v>379.32</v>
          </cell>
          <cell r="CS14">
            <v>3203.6800000000007</v>
          </cell>
          <cell r="CT14">
            <v>0</v>
          </cell>
          <cell r="CU14">
            <v>26365.53</v>
          </cell>
          <cell r="CW14">
            <v>1420314.74</v>
          </cell>
          <cell r="CX14">
            <v>197876.82000000004</v>
          </cell>
          <cell r="CY14">
            <v>412.84000000000003</v>
          </cell>
          <cell r="CZ14">
            <v>6343.7599999999993</v>
          </cell>
          <cell r="DA14">
            <v>0</v>
          </cell>
          <cell r="DB14">
            <v>39970.289999999986</v>
          </cell>
          <cell r="DC14">
            <v>1664918.4500000002</v>
          </cell>
          <cell r="DD14">
            <v>1038599.8869488067</v>
          </cell>
          <cell r="DE14">
            <v>481460.92999999988</v>
          </cell>
          <cell r="DF14">
            <v>343.27</v>
          </cell>
          <cell r="DG14">
            <v>1492.39</v>
          </cell>
          <cell r="DH14">
            <v>0</v>
          </cell>
          <cell r="DI14">
            <v>19956.619999999995</v>
          </cell>
          <cell r="DK14">
            <v>630531.58000000019</v>
          </cell>
          <cell r="DL14">
            <v>118739.06</v>
          </cell>
          <cell r="DM14">
            <v>141.54</v>
          </cell>
          <cell r="DN14">
            <v>5223.08</v>
          </cell>
          <cell r="DO14">
            <v>0</v>
          </cell>
          <cell r="DP14">
            <v>64485.219999999994</v>
          </cell>
          <cell r="DR14">
            <v>604802.42536018905</v>
          </cell>
          <cell r="DS14">
            <v>70681.98</v>
          </cell>
          <cell r="DT14">
            <v>141.54</v>
          </cell>
          <cell r="DU14">
            <v>3208.0600000000004</v>
          </cell>
          <cell r="DV14">
            <v>0</v>
          </cell>
          <cell r="DW14">
            <v>7292.7799999999988</v>
          </cell>
        </row>
        <row r="15">
          <cell r="CI15">
            <v>1088991.0299999989</v>
          </cell>
          <cell r="CJ15">
            <v>183883.02999999997</v>
          </cell>
          <cell r="CK15">
            <v>115239.54</v>
          </cell>
          <cell r="CL15">
            <v>22620.48000000001</v>
          </cell>
          <cell r="CM15">
            <v>0</v>
          </cell>
          <cell r="CN15">
            <v>19415.98</v>
          </cell>
          <cell r="CP15">
            <v>1057523.5306025883</v>
          </cell>
          <cell r="CQ15">
            <v>129511.01000000007</v>
          </cell>
          <cell r="CR15">
            <v>145585.60999999999</v>
          </cell>
          <cell r="CS15">
            <v>22929.040000000001</v>
          </cell>
          <cell r="CT15">
            <v>0</v>
          </cell>
          <cell r="CU15">
            <v>17399.289999999997</v>
          </cell>
          <cell r="CW15">
            <v>1013083.92</v>
          </cell>
          <cell r="CX15">
            <v>146647.66000000006</v>
          </cell>
          <cell r="CY15">
            <v>92050.55</v>
          </cell>
          <cell r="CZ15">
            <v>25936.549999999988</v>
          </cell>
          <cell r="DA15">
            <v>0</v>
          </cell>
          <cell r="DB15">
            <v>15999.120000000004</v>
          </cell>
          <cell r="DC15">
            <v>1293717.8000000003</v>
          </cell>
          <cell r="DD15">
            <v>974454.53224162885</v>
          </cell>
          <cell r="DE15">
            <v>119054.9304117844</v>
          </cell>
          <cell r="DF15">
            <v>58417.7</v>
          </cell>
          <cell r="DG15">
            <v>20006.7</v>
          </cell>
          <cell r="DH15">
            <v>0</v>
          </cell>
          <cell r="DI15">
            <v>11037.820000000002</v>
          </cell>
          <cell r="DK15">
            <v>406228.7199999998</v>
          </cell>
          <cell r="DL15">
            <v>74312.489999999932</v>
          </cell>
          <cell r="DM15">
            <v>32873.869999999995</v>
          </cell>
          <cell r="DN15">
            <v>7623.8100000000013</v>
          </cell>
          <cell r="DO15">
            <v>0</v>
          </cell>
          <cell r="DP15">
            <v>41333.610000000022</v>
          </cell>
          <cell r="DR15">
            <v>259941.77066960212</v>
          </cell>
          <cell r="DS15">
            <v>34510.19999999999</v>
          </cell>
          <cell r="DT15">
            <v>32976.239999999998</v>
          </cell>
          <cell r="DU15">
            <v>5108.12</v>
          </cell>
          <cell r="DV15">
            <v>0</v>
          </cell>
          <cell r="DW15">
            <v>7802.5700000000006</v>
          </cell>
        </row>
        <row r="16">
          <cell r="CI16">
            <v>2012223.4099999992</v>
          </cell>
          <cell r="CJ16">
            <v>386373.8499999998</v>
          </cell>
          <cell r="CK16">
            <v>212875.85000000009</v>
          </cell>
          <cell r="CL16">
            <v>213178.17000000019</v>
          </cell>
          <cell r="CM16">
            <v>0</v>
          </cell>
          <cell r="CN16">
            <v>38075.230000000003</v>
          </cell>
          <cell r="CP16">
            <v>1832254.5299999989</v>
          </cell>
          <cell r="CQ16">
            <v>351021.01999999967</v>
          </cell>
          <cell r="CR16">
            <v>144000.89000000004</v>
          </cell>
          <cell r="CS16">
            <v>147691.82000000004</v>
          </cell>
          <cell r="CT16">
            <v>0</v>
          </cell>
          <cell r="CU16">
            <v>30476.000000000022</v>
          </cell>
          <cell r="CW16">
            <v>1738375.1899999995</v>
          </cell>
          <cell r="CX16">
            <v>296696.58000000007</v>
          </cell>
          <cell r="CY16">
            <v>102220.89999999998</v>
          </cell>
          <cell r="CZ16">
            <v>178314.08999999997</v>
          </cell>
          <cell r="DA16">
            <v>0</v>
          </cell>
          <cell r="DB16">
            <v>27046.440000000006</v>
          </cell>
          <cell r="DC16">
            <v>2342653.1999999993</v>
          </cell>
          <cell r="DD16">
            <v>1901080.0508124728</v>
          </cell>
          <cell r="DE16">
            <v>256890.28000000017</v>
          </cell>
          <cell r="DF16">
            <v>74413.040000000008</v>
          </cell>
          <cell r="DG16">
            <v>123741.94499999989</v>
          </cell>
          <cell r="DH16">
            <v>0</v>
          </cell>
          <cell r="DI16">
            <v>16236.599999999999</v>
          </cell>
          <cell r="DK16">
            <v>2448186.4499999997</v>
          </cell>
          <cell r="DL16">
            <v>266900.45999999996</v>
          </cell>
          <cell r="DM16">
            <v>42847.25</v>
          </cell>
          <cell r="DN16">
            <v>139113.72999999989</v>
          </cell>
          <cell r="DO16">
            <v>0</v>
          </cell>
          <cell r="DP16">
            <v>303397.62000000029</v>
          </cell>
          <cell r="DR16">
            <v>2351723.0709396908</v>
          </cell>
          <cell r="DS16">
            <v>197443.90000000014</v>
          </cell>
          <cell r="DT16">
            <v>9344.2999999999993</v>
          </cell>
          <cell r="DU16">
            <v>50606.219999999994</v>
          </cell>
          <cell r="DV16">
            <v>0</v>
          </cell>
          <cell r="DW16">
            <v>72089.540000000023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 gestao cobranca tabela 1"/>
    </sheetNames>
    <sheetDataSet>
      <sheetData sheetId="0">
        <row r="4">
          <cell r="Q4">
            <v>31257.45</v>
          </cell>
        </row>
        <row r="5">
          <cell r="Q5">
            <v>21687.670000000002</v>
          </cell>
        </row>
        <row r="6">
          <cell r="Q6">
            <v>0</v>
          </cell>
        </row>
        <row r="7">
          <cell r="Q7">
            <v>34587.049999999996</v>
          </cell>
        </row>
        <row r="8">
          <cell r="Q8">
            <v>0</v>
          </cell>
        </row>
        <row r="9">
          <cell r="Q9">
            <v>6327.9699999999993</v>
          </cell>
        </row>
        <row r="11">
          <cell r="Q11">
            <v>31257.480000000007</v>
          </cell>
        </row>
        <row r="12">
          <cell r="Q12">
            <v>945.05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1560.56</v>
          </cell>
        </row>
        <row r="18">
          <cell r="Q18">
            <v>6099547.7800000021</v>
          </cell>
        </row>
        <row r="19">
          <cell r="Q19">
            <v>1256079.5399999998</v>
          </cell>
        </row>
        <row r="20">
          <cell r="Q20">
            <v>1690296.66</v>
          </cell>
        </row>
        <row r="21">
          <cell r="Q21">
            <v>140684.91999999995</v>
          </cell>
        </row>
        <row r="22">
          <cell r="Q22">
            <v>0</v>
          </cell>
        </row>
        <row r="23">
          <cell r="Q23">
            <v>714648.45000000007</v>
          </cell>
        </row>
        <row r="25">
          <cell r="Q25">
            <v>5494999.2599999951</v>
          </cell>
        </row>
        <row r="26">
          <cell r="Q26">
            <v>792222.01000000013</v>
          </cell>
        </row>
        <row r="27">
          <cell r="Q27">
            <v>1609535.3800000004</v>
          </cell>
        </row>
        <row r="28">
          <cell r="Q28">
            <v>24246.920000000006</v>
          </cell>
        </row>
        <row r="29">
          <cell r="Q29">
            <v>0</v>
          </cell>
        </row>
        <row r="30">
          <cell r="Q30">
            <v>316850.60000000009</v>
          </cell>
        </row>
        <row r="32">
          <cell r="Q32">
            <v>3343184.5499999989</v>
          </cell>
        </row>
        <row r="33">
          <cell r="Q33">
            <v>2970320.8499999996</v>
          </cell>
        </row>
        <row r="34">
          <cell r="Q34">
            <v>1402571.26</v>
          </cell>
        </row>
        <row r="35">
          <cell r="Q35">
            <v>5854853.1999999927</v>
          </cell>
        </row>
        <row r="36">
          <cell r="Q36">
            <v>0</v>
          </cell>
        </row>
        <row r="37">
          <cell r="Q37">
            <v>732073.27999999991</v>
          </cell>
        </row>
        <row r="39">
          <cell r="Q39">
            <v>3449923.6999999997</v>
          </cell>
        </row>
        <row r="40">
          <cell r="Q40">
            <v>2639145.02</v>
          </cell>
        </row>
        <row r="41">
          <cell r="Q41">
            <v>1400896.9600000002</v>
          </cell>
        </row>
        <row r="42">
          <cell r="Q42">
            <v>1869851.5900000024</v>
          </cell>
        </row>
        <row r="43">
          <cell r="Q43">
            <v>0</v>
          </cell>
        </row>
        <row r="44">
          <cell r="Q44">
            <v>751507.27</v>
          </cell>
        </row>
        <row r="46">
          <cell r="Q46">
            <v>1319770.6899999997</v>
          </cell>
        </row>
        <row r="47">
          <cell r="Q47">
            <v>555761.07999999984</v>
          </cell>
        </row>
        <row r="48">
          <cell r="Q48">
            <v>1088347.53</v>
          </cell>
        </row>
        <row r="49">
          <cell r="Q49">
            <v>37954.55999999999</v>
          </cell>
        </row>
        <row r="50">
          <cell r="Q50">
            <v>0</v>
          </cell>
        </row>
        <row r="51">
          <cell r="Q51">
            <v>324737.88</v>
          </cell>
        </row>
        <row r="53">
          <cell r="Q53">
            <v>1103033.21</v>
          </cell>
        </row>
        <row r="54">
          <cell r="Q54">
            <v>302159.59000000003</v>
          </cell>
        </row>
        <row r="55">
          <cell r="Q55">
            <v>1080990.4000000001</v>
          </cell>
        </row>
        <row r="56">
          <cell r="Q56">
            <v>15238.249999999996</v>
          </cell>
        </row>
        <row r="57">
          <cell r="Q57">
            <v>0</v>
          </cell>
        </row>
        <row r="58">
          <cell r="Q58">
            <v>271729.03999999998</v>
          </cell>
        </row>
        <row r="60">
          <cell r="Q60">
            <v>3312808.1300000008</v>
          </cell>
        </row>
        <row r="61">
          <cell r="Q61">
            <v>5124482.7499999991</v>
          </cell>
        </row>
        <row r="62">
          <cell r="Q62">
            <v>2838290.6700000004</v>
          </cell>
        </row>
        <row r="63">
          <cell r="Q63">
            <v>10420.369999999999</v>
          </cell>
        </row>
        <row r="64">
          <cell r="Q64">
            <v>0</v>
          </cell>
        </row>
        <row r="65">
          <cell r="Q65">
            <v>173677.44000000006</v>
          </cell>
        </row>
        <row r="67">
          <cell r="Q67">
            <v>3070085.3900000015</v>
          </cell>
        </row>
        <row r="68">
          <cell r="Q68">
            <v>5005528.4800000032</v>
          </cell>
        </row>
        <row r="69">
          <cell r="Q69">
            <v>2825380.43</v>
          </cell>
        </row>
        <row r="70">
          <cell r="Q70">
            <v>8915.7999999999975</v>
          </cell>
        </row>
        <row r="71">
          <cell r="Q71">
            <v>0</v>
          </cell>
        </row>
        <row r="72">
          <cell r="Q72">
            <v>118143.75</v>
          </cell>
        </row>
        <row r="74">
          <cell r="Q74">
            <v>535777.56000000017</v>
          </cell>
        </row>
        <row r="75">
          <cell r="Q75">
            <v>371447.72000000003</v>
          </cell>
        </row>
        <row r="76">
          <cell r="Q76">
            <v>618195.78</v>
          </cell>
        </row>
        <row r="77">
          <cell r="Q77">
            <v>6561.85</v>
          </cell>
        </row>
        <row r="78">
          <cell r="Q78">
            <v>0</v>
          </cell>
        </row>
        <row r="79">
          <cell r="Q79">
            <v>323797.42999999993</v>
          </cell>
        </row>
        <row r="81">
          <cell r="Q81">
            <v>356622.99</v>
          </cell>
        </row>
        <row r="82">
          <cell r="Q82">
            <v>364376.89999999997</v>
          </cell>
        </row>
        <row r="83">
          <cell r="Q83">
            <v>714706.75</v>
          </cell>
        </row>
        <row r="84">
          <cell r="Q84">
            <v>6103.21</v>
          </cell>
        </row>
        <row r="85">
          <cell r="Q85">
            <v>0</v>
          </cell>
        </row>
        <row r="86">
          <cell r="Q86">
            <v>13932.53</v>
          </cell>
        </row>
        <row r="88">
          <cell r="Q88">
            <v>1343806.0000000002</v>
          </cell>
        </row>
        <row r="89">
          <cell r="Q89">
            <v>77141.51999999999</v>
          </cell>
        </row>
        <row r="90">
          <cell r="Q90">
            <v>0</v>
          </cell>
        </row>
        <row r="91">
          <cell r="Q91">
            <v>18031.810000000001</v>
          </cell>
        </row>
        <row r="92">
          <cell r="Q92">
            <v>0</v>
          </cell>
        </row>
        <row r="93">
          <cell r="Q93">
            <v>122139.07</v>
          </cell>
        </row>
        <row r="95">
          <cell r="Q95">
            <v>561607.61000000022</v>
          </cell>
        </row>
        <row r="96">
          <cell r="Q96">
            <v>16117.869999999999</v>
          </cell>
        </row>
        <row r="97">
          <cell r="Q97">
            <v>6282.2499999999991</v>
          </cell>
        </row>
        <row r="98">
          <cell r="Q98">
            <v>9791.8500000000022</v>
          </cell>
        </row>
        <row r="99">
          <cell r="Q99">
            <v>0</v>
          </cell>
        </row>
        <row r="100">
          <cell r="Q100">
            <v>58273.260000000017</v>
          </cell>
        </row>
        <row r="102">
          <cell r="Q102">
            <v>789169.2899999998</v>
          </cell>
        </row>
        <row r="103">
          <cell r="Q103">
            <v>16014.18</v>
          </cell>
        </row>
        <row r="104">
          <cell r="Q104">
            <v>0</v>
          </cell>
        </row>
        <row r="105">
          <cell r="Q105">
            <v>2354.15</v>
          </cell>
        </row>
        <row r="106">
          <cell r="Q106">
            <v>0</v>
          </cell>
        </row>
        <row r="107">
          <cell r="Q107">
            <v>35251.230000000003</v>
          </cell>
        </row>
        <row r="109">
          <cell r="Q109">
            <v>688026.73</v>
          </cell>
        </row>
        <row r="110">
          <cell r="Q110">
            <v>6463.6599999999989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>
            <v>8193.2899999999991</v>
          </cell>
        </row>
        <row r="116">
          <cell r="Q116">
            <v>389452.42000000004</v>
          </cell>
        </row>
        <row r="117">
          <cell r="Q117">
            <v>27323.960000000006</v>
          </cell>
        </row>
        <row r="118">
          <cell r="Q118">
            <v>412.37</v>
          </cell>
        </row>
        <row r="119">
          <cell r="Q119">
            <v>74565.489999999991</v>
          </cell>
        </row>
        <row r="120">
          <cell r="Q120">
            <v>0</v>
          </cell>
        </row>
        <row r="121">
          <cell r="Q121">
            <v>59916.399999999994</v>
          </cell>
        </row>
        <row r="123">
          <cell r="Q123">
            <v>302647.4499999999</v>
          </cell>
        </row>
        <row r="124">
          <cell r="Q124">
            <v>11852.14</v>
          </cell>
        </row>
        <row r="125">
          <cell r="Q125">
            <v>0</v>
          </cell>
        </row>
        <row r="126">
          <cell r="Q126">
            <v>0</v>
          </cell>
        </row>
        <row r="127">
          <cell r="Q127">
            <v>0</v>
          </cell>
        </row>
        <row r="128">
          <cell r="Q128">
            <v>27721.580000000005</v>
          </cell>
        </row>
        <row r="130">
          <cell r="Q130">
            <v>564178.80999999982</v>
          </cell>
        </row>
        <row r="131">
          <cell r="Q131">
            <v>227963.79999999996</v>
          </cell>
        </row>
        <row r="132">
          <cell r="Q132">
            <v>0</v>
          </cell>
        </row>
        <row r="133">
          <cell r="Q133">
            <v>10291.27</v>
          </cell>
        </row>
        <row r="134">
          <cell r="Q134">
            <v>0</v>
          </cell>
        </row>
        <row r="135">
          <cell r="Q135">
            <v>40390.460000000014</v>
          </cell>
        </row>
        <row r="137">
          <cell r="Q137">
            <v>527040.79999999993</v>
          </cell>
        </row>
        <row r="138">
          <cell r="Q138">
            <v>92791.23000000001</v>
          </cell>
        </row>
        <row r="139">
          <cell r="Q139">
            <v>0</v>
          </cell>
        </row>
        <row r="140">
          <cell r="Q140">
            <v>7395.98</v>
          </cell>
        </row>
        <row r="141">
          <cell r="Q141">
            <v>0</v>
          </cell>
        </row>
        <row r="142">
          <cell r="Q142">
            <v>12958.710000000001</v>
          </cell>
        </row>
        <row r="144">
          <cell r="Q144">
            <v>665675.44999999984</v>
          </cell>
        </row>
        <row r="145">
          <cell r="Q145">
            <v>332407.66000000003</v>
          </cell>
        </row>
        <row r="146">
          <cell r="Q146">
            <v>0</v>
          </cell>
        </row>
        <row r="147">
          <cell r="Q147">
            <v>13430.019999999999</v>
          </cell>
        </row>
        <row r="148">
          <cell r="Q148">
            <v>0</v>
          </cell>
        </row>
        <row r="149">
          <cell r="Q149">
            <v>165061.91999999998</v>
          </cell>
        </row>
        <row r="151">
          <cell r="Q151">
            <v>623492.56000000006</v>
          </cell>
        </row>
        <row r="152">
          <cell r="Q152">
            <v>244971.88000000018</v>
          </cell>
        </row>
        <row r="153">
          <cell r="Q153">
            <v>0</v>
          </cell>
        </row>
        <row r="154">
          <cell r="Q154">
            <v>603.54</v>
          </cell>
        </row>
        <row r="155">
          <cell r="Q155">
            <v>0</v>
          </cell>
        </row>
        <row r="156">
          <cell r="Q156">
            <v>138870.97</v>
          </cell>
        </row>
        <row r="158">
          <cell r="Q158">
            <v>1576286.9600000004</v>
          </cell>
        </row>
        <row r="159">
          <cell r="Q159">
            <v>630178.48999999987</v>
          </cell>
        </row>
        <row r="160">
          <cell r="Q160">
            <v>86624.9</v>
          </cell>
        </row>
        <row r="161">
          <cell r="Q161">
            <v>392262.16</v>
          </cell>
        </row>
        <row r="162">
          <cell r="Q162">
            <v>0</v>
          </cell>
        </row>
        <row r="163">
          <cell r="Q163">
            <v>124587.42000000003</v>
          </cell>
        </row>
        <row r="165">
          <cell r="Q165">
            <v>1212595.0799999996</v>
          </cell>
        </row>
        <row r="166">
          <cell r="Q166">
            <v>435531.50000000035</v>
          </cell>
        </row>
        <row r="167">
          <cell r="Q167">
            <v>80089.799999999988</v>
          </cell>
        </row>
        <row r="168">
          <cell r="Q168">
            <v>135186.29</v>
          </cell>
        </row>
        <row r="169">
          <cell r="Q169">
            <v>0</v>
          </cell>
        </row>
        <row r="170">
          <cell r="Q170">
            <v>43528.759999999987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</sheetNames>
    <sheetDataSet>
      <sheetData sheetId="0">
        <row r="2">
          <cell r="G2">
            <v>3315667.48</v>
          </cell>
          <cell r="H2">
            <v>3434227.68</v>
          </cell>
          <cell r="I2">
            <v>3452788.48</v>
          </cell>
          <cell r="K2">
            <v>3796598.64</v>
          </cell>
        </row>
        <row r="3">
          <cell r="G3">
            <v>499191.99</v>
          </cell>
          <cell r="H3">
            <v>493258.71</v>
          </cell>
          <cell r="I3">
            <v>442171.85</v>
          </cell>
          <cell r="J3">
            <v>520921.46</v>
          </cell>
          <cell r="K3">
            <v>632284.19999999995</v>
          </cell>
        </row>
        <row r="8">
          <cell r="D8">
            <v>945203.71</v>
          </cell>
          <cell r="E8">
            <v>2930331.02</v>
          </cell>
          <cell r="F8">
            <v>3634897.72</v>
          </cell>
        </row>
        <row r="9">
          <cell r="G9">
            <v>3315667.48</v>
          </cell>
          <cell r="H9">
            <v>3434227.68</v>
          </cell>
          <cell r="I9">
            <v>3452788.48</v>
          </cell>
          <cell r="K9">
            <v>3796598.64</v>
          </cell>
        </row>
        <row r="10">
          <cell r="G10">
            <v>479033.27</v>
          </cell>
          <cell r="H10">
            <v>445924.72</v>
          </cell>
          <cell r="I10">
            <v>391115.86</v>
          </cell>
          <cell r="J10">
            <v>490907.17</v>
          </cell>
          <cell r="K10">
            <v>460698.33</v>
          </cell>
        </row>
        <row r="15">
          <cell r="D15">
            <v>945371.55</v>
          </cell>
          <cell r="E15">
            <v>2650666.9</v>
          </cell>
          <cell r="F15">
            <v>3580019.75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RAL"/>
      <sheetName val="ANO 2021"/>
    </sheetNames>
    <sheetDataSet>
      <sheetData sheetId="0">
        <row r="5">
          <cell r="K5">
            <v>267577.37</v>
          </cell>
        </row>
        <row r="6">
          <cell r="K6">
            <v>18076.099999999999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3154.89</v>
          </cell>
        </row>
        <row r="12">
          <cell r="K12">
            <v>83608.88</v>
          </cell>
        </row>
        <row r="13">
          <cell r="K13">
            <v>19198.07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3454.49</v>
          </cell>
        </row>
        <row r="23">
          <cell r="K23">
            <v>1298958.6100000001</v>
          </cell>
        </row>
        <row r="24">
          <cell r="K24">
            <v>37247.589999999997</v>
          </cell>
        </row>
        <row r="25">
          <cell r="K25">
            <v>0</v>
          </cell>
        </row>
        <row r="26">
          <cell r="K26">
            <v>300485.11</v>
          </cell>
        </row>
        <row r="27">
          <cell r="K27">
            <v>0</v>
          </cell>
        </row>
        <row r="28">
          <cell r="K28">
            <v>189515.9</v>
          </cell>
        </row>
        <row r="30">
          <cell r="K30">
            <v>1035072.62</v>
          </cell>
        </row>
        <row r="31">
          <cell r="K31">
            <v>34077.24</v>
          </cell>
        </row>
        <row r="33">
          <cell r="K33">
            <v>285607.46000000002</v>
          </cell>
        </row>
        <row r="35">
          <cell r="K35">
            <v>162796.51</v>
          </cell>
        </row>
        <row r="40">
          <cell r="K40">
            <v>187639.2</v>
          </cell>
        </row>
        <row r="41">
          <cell r="K41">
            <v>27142.35</v>
          </cell>
        </row>
        <row r="42">
          <cell r="K42">
            <v>0</v>
          </cell>
        </row>
        <row r="43">
          <cell r="K43">
            <v>95447.17</v>
          </cell>
        </row>
        <row r="44">
          <cell r="K44">
            <v>0</v>
          </cell>
        </row>
        <row r="45">
          <cell r="K45">
            <v>21935.54</v>
          </cell>
        </row>
        <row r="47">
          <cell r="K47">
            <v>156366</v>
          </cell>
        </row>
        <row r="48">
          <cell r="K48">
            <v>29260.14</v>
          </cell>
        </row>
        <row r="49">
          <cell r="K49">
            <v>0</v>
          </cell>
        </row>
        <row r="50">
          <cell r="K50">
            <v>89617.89</v>
          </cell>
        </row>
        <row r="51">
          <cell r="K51">
            <v>0</v>
          </cell>
        </row>
        <row r="52">
          <cell r="K52">
            <v>15848.58</v>
          </cell>
        </row>
        <row r="57">
          <cell r="K57">
            <v>1180350.43</v>
          </cell>
        </row>
        <row r="58">
          <cell r="K58">
            <v>94374.83</v>
          </cell>
        </row>
        <row r="59">
          <cell r="K59">
            <v>0</v>
          </cell>
        </row>
        <row r="60">
          <cell r="K60">
            <v>54016.69</v>
          </cell>
        </row>
        <row r="61">
          <cell r="K61">
            <v>0</v>
          </cell>
        </row>
        <row r="62">
          <cell r="K62">
            <v>45374.52</v>
          </cell>
        </row>
        <row r="64">
          <cell r="K64">
            <v>932940</v>
          </cell>
        </row>
        <row r="65">
          <cell r="K65">
            <v>99157.5</v>
          </cell>
        </row>
        <row r="66">
          <cell r="K66">
            <v>0</v>
          </cell>
        </row>
        <row r="67">
          <cell r="K67">
            <v>62871.86</v>
          </cell>
        </row>
        <row r="68">
          <cell r="K68">
            <v>0</v>
          </cell>
        </row>
        <row r="69">
          <cell r="K69">
            <v>44706.78</v>
          </cell>
        </row>
        <row r="74">
          <cell r="K74">
            <v>0</v>
          </cell>
        </row>
        <row r="75">
          <cell r="K75">
            <v>52056</v>
          </cell>
        </row>
        <row r="76">
          <cell r="K76">
            <v>0</v>
          </cell>
        </row>
        <row r="77">
          <cell r="K77">
            <v>191250.59</v>
          </cell>
        </row>
        <row r="78">
          <cell r="K78">
            <v>0</v>
          </cell>
        </row>
        <row r="79">
          <cell r="K79">
            <v>3864.91</v>
          </cell>
        </row>
        <row r="81">
          <cell r="K81">
            <v>0</v>
          </cell>
        </row>
        <row r="82">
          <cell r="K82">
            <v>57024</v>
          </cell>
        </row>
        <row r="83">
          <cell r="K83">
            <v>0</v>
          </cell>
        </row>
        <row r="84">
          <cell r="K84">
            <v>182276.73</v>
          </cell>
        </row>
        <row r="85">
          <cell r="K85">
            <v>0</v>
          </cell>
        </row>
        <row r="86">
          <cell r="K86">
            <v>2912.81</v>
          </cell>
        </row>
        <row r="91">
          <cell r="K91">
            <v>303029.99</v>
          </cell>
        </row>
        <row r="92">
          <cell r="K92">
            <v>611.66999999999996</v>
          </cell>
        </row>
        <row r="93">
          <cell r="K93">
            <v>0</v>
          </cell>
        </row>
        <row r="94">
          <cell r="K94">
            <v>105991.25</v>
          </cell>
        </row>
        <row r="95">
          <cell r="K95">
            <v>0</v>
          </cell>
        </row>
        <row r="96">
          <cell r="K96">
            <v>87207.45</v>
          </cell>
        </row>
        <row r="98">
          <cell r="K98">
            <v>171601</v>
          </cell>
        </row>
        <row r="99">
          <cell r="K99">
            <v>1470.36</v>
          </cell>
        </row>
        <row r="100">
          <cell r="K100">
            <v>0</v>
          </cell>
        </row>
        <row r="101">
          <cell r="K101">
            <v>120294.6</v>
          </cell>
        </row>
        <row r="102">
          <cell r="K102">
            <v>0</v>
          </cell>
        </row>
        <row r="103">
          <cell r="K103">
            <v>95731.76</v>
          </cell>
        </row>
        <row r="108">
          <cell r="K108">
            <v>6832.8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23508.26</v>
          </cell>
        </row>
        <row r="112">
          <cell r="K112">
            <v>0</v>
          </cell>
        </row>
        <row r="113">
          <cell r="K113">
            <v>20746.88</v>
          </cell>
        </row>
        <row r="115">
          <cell r="K115">
            <v>6149.36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24081.82</v>
          </cell>
        </row>
        <row r="119">
          <cell r="K119">
            <v>0</v>
          </cell>
        </row>
        <row r="120">
          <cell r="K120">
            <v>17355.259999999998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6131.35</v>
          </cell>
        </row>
        <row r="129">
          <cell r="K129">
            <v>0</v>
          </cell>
        </row>
        <row r="130">
          <cell r="K130">
            <v>273.72000000000003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6931.35</v>
          </cell>
        </row>
        <row r="136">
          <cell r="K136">
            <v>0</v>
          </cell>
        </row>
        <row r="137">
          <cell r="K137">
            <v>273.72000000000003</v>
          </cell>
        </row>
        <row r="142">
          <cell r="K142">
            <v>6226.89</v>
          </cell>
        </row>
        <row r="143">
          <cell r="K143">
            <v>679.78</v>
          </cell>
        </row>
        <row r="144">
          <cell r="K144">
            <v>0</v>
          </cell>
        </row>
        <row r="145">
          <cell r="K145">
            <v>800</v>
          </cell>
        </row>
        <row r="146">
          <cell r="K146">
            <v>0</v>
          </cell>
        </row>
        <row r="147">
          <cell r="K147">
            <v>3054.63</v>
          </cell>
        </row>
        <row r="149">
          <cell r="K149">
            <v>4151.28</v>
          </cell>
        </row>
        <row r="150">
          <cell r="K150">
            <v>65.7</v>
          </cell>
        </row>
        <row r="151">
          <cell r="K151">
            <v>0</v>
          </cell>
        </row>
        <row r="152">
          <cell r="K152">
            <v>890.34</v>
          </cell>
        </row>
        <row r="153">
          <cell r="K153">
            <v>0</v>
          </cell>
        </row>
        <row r="154">
          <cell r="K154">
            <v>1515.69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704.65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582.01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70.08</v>
          </cell>
        </row>
        <row r="183">
          <cell r="K183">
            <v>0</v>
          </cell>
        </row>
        <row r="184">
          <cell r="K184">
            <v>274.05</v>
          </cell>
        </row>
        <row r="185">
          <cell r="K185">
            <v>0</v>
          </cell>
        </row>
        <row r="186">
          <cell r="K186">
            <v>344.13</v>
          </cell>
        </row>
        <row r="187">
          <cell r="K187">
            <v>0</v>
          </cell>
        </row>
        <row r="188">
          <cell r="K188">
            <v>0</v>
          </cell>
        </row>
      </sheetData>
      <sheetData sheetId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RAL"/>
      <sheetName val="ANO 2022"/>
    </sheetNames>
    <sheetDataSet>
      <sheetData sheetId="0"/>
      <sheetData sheetId="1">
        <row r="4">
          <cell r="E4">
            <v>306077.84000000003</v>
          </cell>
        </row>
        <row r="5">
          <cell r="E5">
            <v>30113.46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64561.79</v>
          </cell>
        </row>
        <row r="11">
          <cell r="E11">
            <v>245641.08</v>
          </cell>
        </row>
        <row r="12">
          <cell r="E12">
            <v>29984.79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6739.7</v>
          </cell>
        </row>
        <row r="21">
          <cell r="E21">
            <v>1805101.31</v>
          </cell>
        </row>
        <row r="22">
          <cell r="E22">
            <v>45509.84</v>
          </cell>
        </row>
        <row r="23">
          <cell r="E23">
            <v>0</v>
          </cell>
        </row>
        <row r="24">
          <cell r="E24">
            <v>317287.73</v>
          </cell>
        </row>
        <row r="25">
          <cell r="E25">
            <v>0</v>
          </cell>
        </row>
        <row r="26">
          <cell r="E26">
            <v>817954.83</v>
          </cell>
        </row>
        <row r="28">
          <cell r="E28">
            <v>1511204.26</v>
          </cell>
        </row>
        <row r="29">
          <cell r="E29">
            <v>40810.61</v>
          </cell>
        </row>
        <row r="30">
          <cell r="E30">
            <v>0</v>
          </cell>
        </row>
        <row r="31">
          <cell r="E31">
            <v>272508.39</v>
          </cell>
        </row>
        <row r="33">
          <cell r="E33">
            <v>206485.99</v>
          </cell>
        </row>
        <row r="38">
          <cell r="E38">
            <v>244193.76</v>
          </cell>
        </row>
        <row r="39">
          <cell r="E39">
            <v>29378.85</v>
          </cell>
        </row>
        <row r="40">
          <cell r="E40">
            <v>0</v>
          </cell>
        </row>
        <row r="41">
          <cell r="E41">
            <v>91706.25</v>
          </cell>
        </row>
        <row r="42">
          <cell r="E42">
            <v>0</v>
          </cell>
        </row>
        <row r="43">
          <cell r="E43">
            <v>71972.149999999994</v>
          </cell>
        </row>
        <row r="45">
          <cell r="E45">
            <v>218912.4</v>
          </cell>
        </row>
        <row r="46">
          <cell r="E46">
            <v>33487.360000000001</v>
          </cell>
        </row>
        <row r="47">
          <cell r="E47">
            <v>0</v>
          </cell>
        </row>
        <row r="48">
          <cell r="E48">
            <v>88079.77</v>
          </cell>
        </row>
        <row r="49">
          <cell r="E49">
            <v>0</v>
          </cell>
        </row>
        <row r="50">
          <cell r="E50">
            <v>15781.93</v>
          </cell>
        </row>
        <row r="55">
          <cell r="E55">
            <v>1180350.43</v>
          </cell>
        </row>
        <row r="56">
          <cell r="E56">
            <v>129144.35</v>
          </cell>
        </row>
        <row r="57">
          <cell r="E57">
            <v>0</v>
          </cell>
        </row>
        <row r="58">
          <cell r="E58">
            <v>48409.39</v>
          </cell>
        </row>
        <row r="59">
          <cell r="E59">
            <v>0</v>
          </cell>
        </row>
        <row r="60">
          <cell r="E60">
            <v>66501.72</v>
          </cell>
        </row>
        <row r="62">
          <cell r="E62">
            <v>1356801.4</v>
          </cell>
        </row>
        <row r="63">
          <cell r="E63">
            <v>147933.84</v>
          </cell>
        </row>
        <row r="64">
          <cell r="E64">
            <v>0</v>
          </cell>
        </row>
        <row r="65">
          <cell r="E65">
            <v>45866.71</v>
          </cell>
        </row>
        <row r="66">
          <cell r="E66">
            <v>0</v>
          </cell>
        </row>
        <row r="67">
          <cell r="E67">
            <v>55172.480000000003</v>
          </cell>
        </row>
        <row r="72">
          <cell r="E72">
            <v>0</v>
          </cell>
        </row>
        <row r="73">
          <cell r="E73">
            <v>52114.8</v>
          </cell>
        </row>
        <row r="74">
          <cell r="E74">
            <v>0</v>
          </cell>
        </row>
        <row r="75">
          <cell r="E75">
            <v>211424.94</v>
          </cell>
        </row>
        <row r="76">
          <cell r="E76">
            <v>0</v>
          </cell>
        </row>
        <row r="77">
          <cell r="E77">
            <v>5193.8500000000004</v>
          </cell>
        </row>
        <row r="79">
          <cell r="E79">
            <v>0</v>
          </cell>
        </row>
        <row r="80">
          <cell r="E80">
            <v>52180.83</v>
          </cell>
        </row>
        <row r="81">
          <cell r="E81">
            <v>0</v>
          </cell>
        </row>
        <row r="82">
          <cell r="E82">
            <v>244583.35</v>
          </cell>
        </row>
        <row r="83">
          <cell r="E83">
            <v>0</v>
          </cell>
        </row>
        <row r="84">
          <cell r="E84">
            <v>3902.28</v>
          </cell>
        </row>
        <row r="89">
          <cell r="E89">
            <v>322605.12</v>
          </cell>
        </row>
        <row r="90">
          <cell r="E90">
            <v>3808.3</v>
          </cell>
        </row>
        <row r="91">
          <cell r="E91">
            <v>0</v>
          </cell>
        </row>
        <row r="92">
          <cell r="E92">
            <v>112943.48</v>
          </cell>
        </row>
        <row r="93">
          <cell r="E93">
            <v>0</v>
          </cell>
        </row>
        <row r="94">
          <cell r="E94">
            <v>144498.95000000001</v>
          </cell>
        </row>
        <row r="96">
          <cell r="E96">
            <v>314993.40000000002</v>
          </cell>
        </row>
        <row r="97">
          <cell r="E97">
            <v>859.21</v>
          </cell>
        </row>
        <row r="98">
          <cell r="E98">
            <v>0</v>
          </cell>
        </row>
        <row r="99">
          <cell r="E99">
            <v>116430.07</v>
          </cell>
        </row>
        <row r="100">
          <cell r="E100">
            <v>0</v>
          </cell>
        </row>
        <row r="101">
          <cell r="E101">
            <v>75595.83</v>
          </cell>
        </row>
        <row r="106">
          <cell r="E106">
            <v>6832.8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29033.69</v>
          </cell>
        </row>
        <row r="110">
          <cell r="E110">
            <v>0</v>
          </cell>
        </row>
        <row r="111">
          <cell r="E111">
            <v>21563.23</v>
          </cell>
        </row>
        <row r="113">
          <cell r="E113">
            <v>7971.6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24729.15</v>
          </cell>
        </row>
        <row r="117">
          <cell r="E117">
            <v>0</v>
          </cell>
        </row>
        <row r="118">
          <cell r="E118">
            <v>19460.48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6131.35</v>
          </cell>
        </row>
        <row r="127">
          <cell r="E127">
            <v>0</v>
          </cell>
        </row>
        <row r="128">
          <cell r="E128">
            <v>273.72000000000003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6744.49</v>
          </cell>
        </row>
        <row r="134">
          <cell r="E134">
            <v>0</v>
          </cell>
        </row>
        <row r="135">
          <cell r="E135">
            <v>0</v>
          </cell>
        </row>
        <row r="140">
          <cell r="E140">
            <v>11640.83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878.84</v>
          </cell>
        </row>
        <row r="144">
          <cell r="E144">
            <v>8766.82</v>
          </cell>
        </row>
        <row r="147">
          <cell r="E147">
            <v>7264.74</v>
          </cell>
        </row>
        <row r="148">
          <cell r="E148">
            <v>597.91999999999996</v>
          </cell>
        </row>
        <row r="149">
          <cell r="E149">
            <v>0</v>
          </cell>
        </row>
        <row r="150">
          <cell r="E150">
            <v>935.26</v>
          </cell>
        </row>
        <row r="151">
          <cell r="E151">
            <v>0</v>
          </cell>
        </row>
        <row r="152">
          <cell r="E152">
            <v>4438.29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1002.49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608.29999999999995</v>
          </cell>
        </row>
        <row r="175">
          <cell r="E175">
            <v>0</v>
          </cell>
        </row>
        <row r="176">
          <cell r="E176">
            <v>274.05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70.08</v>
          </cell>
        </row>
        <row r="182">
          <cell r="E182">
            <v>0</v>
          </cell>
        </row>
        <row r="183">
          <cell r="E183">
            <v>274.05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70.08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RAL"/>
      <sheetName val="ANO 2022"/>
    </sheetNames>
    <sheetDataSet>
      <sheetData sheetId="0">
        <row r="15">
          <cell r="E15">
            <v>433053.2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">
        <row r="6">
          <cell r="E6">
            <v>519663.87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794.71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S 2021"/>
    </sheetNames>
    <sheetDataSet>
      <sheetData sheetId="0">
        <row r="483">
          <cell r="L483">
            <v>23475046.130000018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S"/>
    </sheetNames>
    <sheetDataSet>
      <sheetData sheetId="0">
        <row r="496">
          <cell r="L496">
            <v>28220682.090000022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CJ 2019"/>
    </sheetNames>
    <sheetDataSet>
      <sheetData sheetId="0">
        <row r="205">
          <cell r="L205">
            <v>20694291.329999994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CJ 2020"/>
    </sheetNames>
    <sheetDataSet>
      <sheetData sheetId="0">
        <row r="151">
          <cell r="L151">
            <v>21583744.079999998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CJ 2021"/>
    </sheetNames>
    <sheetDataSet>
      <sheetData sheetId="0">
        <row r="135">
          <cell r="L135">
            <v>23622501.490000002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brancaAprovada (4)"/>
    </sheetNames>
    <sheetDataSet>
      <sheetData sheetId="0">
        <row r="136">
          <cell r="L136">
            <v>27138245.299999993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quivos.ana.gov.br/institucional/sag/CobrancaUso/Cobranca/NotaTecnica_SERLA_nr_01_2008_DGRH.pdf" TargetMode="External"/><Relationship Id="rId2" Type="http://schemas.openxmlformats.org/officeDocument/2006/relationships/hyperlink" Target="http://arquivos.ana.gov.br/institucional/sag/CobrancaUso/Cobranca/NotaTecnica_SERLA_nr_01_2008_DGRH.pdf" TargetMode="External"/><Relationship Id="rId1" Type="http://schemas.openxmlformats.org/officeDocument/2006/relationships/hyperlink" Target="http://arquivos.ana.gov.br/institucional/sag/CobrancaUso/Cobranca/NotaTecnica_SERLA_nr_01_2008_DGRH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rquivos.ana.gov.br/institucional/sag/CobrancaUso/Cobranca/NotaTecnica_SERLA_nr_01_2008_DGR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T109"/>
  <sheetViews>
    <sheetView tabSelected="1" zoomScaleNormal="100" workbookViewId="0">
      <pane xSplit="4" ySplit="4" topLeftCell="EE5" activePane="bottomRight" state="frozen"/>
      <selection pane="topRight" activeCell="E1" sqref="E1"/>
      <selection pane="bottomLeft" activeCell="A5" sqref="A5"/>
      <selection pane="bottomRight" sqref="A1:EO1"/>
    </sheetView>
  </sheetViews>
  <sheetFormatPr defaultRowHeight="15" outlineLevelCol="1" x14ac:dyDescent="0.25"/>
  <cols>
    <col min="1" max="1" width="18.140625" style="5" customWidth="1"/>
    <col min="2" max="2" width="42.28515625" style="5" customWidth="1"/>
    <col min="3" max="3" width="8.5703125" style="5" bestFit="1" customWidth="1"/>
    <col min="4" max="4" width="7.5703125" style="5" customWidth="1"/>
    <col min="5" max="5" width="9.85546875" style="5" bestFit="1" customWidth="1"/>
    <col min="6" max="6" width="11.5703125" style="5" bestFit="1" customWidth="1"/>
    <col min="7" max="7" width="12.42578125" style="5" customWidth="1"/>
    <col min="8" max="14" width="11.5703125" style="5" bestFit="1" customWidth="1"/>
    <col min="15" max="21" width="12.7109375" style="5" bestFit="1" customWidth="1"/>
    <col min="22" max="39" width="14" style="5" bestFit="1" customWidth="1"/>
    <col min="40" max="42" width="14" style="5" customWidth="1"/>
    <col min="43" max="44" width="14" style="5" bestFit="1" customWidth="1"/>
    <col min="45" max="45" width="14" style="5" hidden="1" customWidth="1" outlineLevel="1"/>
    <col min="46" max="47" width="12.7109375" style="5" hidden="1" customWidth="1" outlineLevel="1"/>
    <col min="48" max="48" width="13.42578125" style="5" hidden="1" customWidth="1" outlineLevel="1"/>
    <col min="49" max="49" width="12.5703125" style="5" hidden="1" customWidth="1" outlineLevel="1"/>
    <col min="50" max="50" width="11.5703125" style="5" hidden="1" customWidth="1" outlineLevel="1"/>
    <col min="51" max="51" width="13.85546875" style="5" customWidth="1" collapsed="1"/>
    <col min="52" max="52" width="14" style="5" hidden="1" customWidth="1" outlineLevel="1"/>
    <col min="53" max="54" width="12.7109375" style="5" hidden="1" customWidth="1" outlineLevel="1"/>
    <col min="55" max="55" width="13.42578125" style="5" hidden="1" customWidth="1" outlineLevel="1"/>
    <col min="56" max="56" width="12.5703125" style="5" hidden="1" customWidth="1" outlineLevel="1"/>
    <col min="57" max="57" width="11.5703125" style="5" hidden="1" customWidth="1" outlineLevel="1"/>
    <col min="58" max="58" width="14" style="5" customWidth="1" collapsed="1"/>
    <col min="59" max="64" width="14" style="5" hidden="1" customWidth="1" outlineLevel="1"/>
    <col min="65" max="65" width="14" style="5" customWidth="1" collapsed="1"/>
    <col min="66" max="71" width="14" style="5" hidden="1" customWidth="1" outlineLevel="1"/>
    <col min="72" max="72" width="14" style="5" customWidth="1" collapsed="1"/>
    <col min="73" max="78" width="14" style="5" hidden="1" customWidth="1" outlineLevel="1"/>
    <col min="79" max="79" width="14" style="5" customWidth="1" collapsed="1"/>
    <col min="80" max="85" width="14" style="5" hidden="1" customWidth="1" outlineLevel="1"/>
    <col min="86" max="86" width="14" style="5" customWidth="1" collapsed="1"/>
    <col min="87" max="92" width="14" style="5" hidden="1" customWidth="1" outlineLevel="1"/>
    <col min="93" max="93" width="14" style="5" customWidth="1" collapsed="1"/>
    <col min="94" max="99" width="14" style="5" hidden="1" customWidth="1" outlineLevel="1"/>
    <col min="100" max="100" width="14" style="5" customWidth="1" collapsed="1"/>
    <col min="101" max="106" width="14" style="5" hidden="1" customWidth="1" outlineLevel="1"/>
    <col min="107" max="107" width="14" style="5" customWidth="1" collapsed="1"/>
    <col min="108" max="113" width="14" style="5" hidden="1" customWidth="1" outlineLevel="1"/>
    <col min="114" max="114" width="14" style="5" customWidth="1" collapsed="1"/>
    <col min="115" max="120" width="14" style="5" hidden="1" customWidth="1" outlineLevel="1"/>
    <col min="121" max="121" width="14" style="5" customWidth="1" collapsed="1"/>
    <col min="122" max="127" width="14" style="5" hidden="1" customWidth="1" outlineLevel="1"/>
    <col min="128" max="128" width="14" style="5" customWidth="1" collapsed="1"/>
    <col min="129" max="134" width="14" style="5" hidden="1" customWidth="1" outlineLevel="1"/>
    <col min="135" max="135" width="14" style="5" customWidth="1" collapsed="1"/>
    <col min="136" max="141" width="14" style="5" hidden="1" customWidth="1" outlineLevel="1"/>
    <col min="142" max="142" width="14" style="5" customWidth="1" collapsed="1"/>
    <col min="143" max="144" width="15.7109375" style="5" bestFit="1" customWidth="1"/>
    <col min="145" max="145" width="15.5703125" bestFit="1" customWidth="1"/>
    <col min="147" max="147" width="15.140625" customWidth="1"/>
    <col min="148" max="148" width="15" bestFit="1" customWidth="1"/>
    <col min="149" max="150" width="15.28515625" customWidth="1"/>
  </cols>
  <sheetData>
    <row r="1" spans="1:150" ht="18" x14ac:dyDescent="0.25">
      <c r="A1" s="186" t="s">
        <v>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8"/>
    </row>
    <row r="2" spans="1:150" s="5" customFormat="1" ht="12.75" x14ac:dyDescent="0.2">
      <c r="A2" s="189" t="s">
        <v>0</v>
      </c>
      <c r="B2" s="190"/>
      <c r="C2" s="190" t="s">
        <v>1</v>
      </c>
      <c r="D2" s="190" t="s">
        <v>2</v>
      </c>
      <c r="E2" s="182">
        <v>1996</v>
      </c>
      <c r="F2" s="182"/>
      <c r="G2" s="182">
        <v>1997</v>
      </c>
      <c r="H2" s="182"/>
      <c r="I2" s="182">
        <v>1998</v>
      </c>
      <c r="J2" s="182"/>
      <c r="K2" s="182">
        <v>1999</v>
      </c>
      <c r="L2" s="182"/>
      <c r="M2" s="182">
        <v>2000</v>
      </c>
      <c r="N2" s="182"/>
      <c r="O2" s="182">
        <v>2001</v>
      </c>
      <c r="P2" s="182"/>
      <c r="Q2" s="182">
        <v>2002</v>
      </c>
      <c r="R2" s="182"/>
      <c r="S2" s="182">
        <v>2003</v>
      </c>
      <c r="T2" s="182"/>
      <c r="U2" s="182">
        <v>2004</v>
      </c>
      <c r="V2" s="182"/>
      <c r="W2" s="182">
        <v>2005</v>
      </c>
      <c r="X2" s="182"/>
      <c r="Y2" s="182">
        <v>2006</v>
      </c>
      <c r="Z2" s="182"/>
      <c r="AA2" s="182">
        <v>2007</v>
      </c>
      <c r="AB2" s="182"/>
      <c r="AC2" s="182">
        <v>2008</v>
      </c>
      <c r="AD2" s="182"/>
      <c r="AE2" s="182">
        <v>2009</v>
      </c>
      <c r="AF2" s="182"/>
      <c r="AG2" s="182">
        <v>2010</v>
      </c>
      <c r="AH2" s="182"/>
      <c r="AI2" s="182">
        <v>2011</v>
      </c>
      <c r="AJ2" s="182"/>
      <c r="AK2" s="182">
        <v>2012</v>
      </c>
      <c r="AL2" s="182"/>
      <c r="AM2" s="182">
        <v>2013</v>
      </c>
      <c r="AN2" s="182"/>
      <c r="AO2" s="173">
        <v>2014</v>
      </c>
      <c r="AP2" s="175"/>
      <c r="AQ2" s="173">
        <v>2015</v>
      </c>
      <c r="AR2" s="175"/>
      <c r="AS2" s="173">
        <v>2016</v>
      </c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5"/>
      <c r="BG2" s="173">
        <v>2017</v>
      </c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5"/>
      <c r="BU2" s="173">
        <v>2018</v>
      </c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5"/>
      <c r="CI2" s="173">
        <v>2019</v>
      </c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5"/>
      <c r="CW2" s="173">
        <v>2020</v>
      </c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5"/>
      <c r="DK2" s="173">
        <v>2021</v>
      </c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5"/>
      <c r="DY2" s="173">
        <v>2022</v>
      </c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5"/>
      <c r="EM2" s="173" t="s">
        <v>3</v>
      </c>
      <c r="EN2" s="175"/>
      <c r="EO2" s="191" t="s">
        <v>4</v>
      </c>
    </row>
    <row r="3" spans="1:150" s="5" customFormat="1" ht="15" customHeight="1" x14ac:dyDescent="0.2">
      <c r="A3" s="189"/>
      <c r="B3" s="190"/>
      <c r="C3" s="190"/>
      <c r="D3" s="190"/>
      <c r="E3" s="37" t="s">
        <v>5</v>
      </c>
      <c r="F3" s="37" t="s">
        <v>6</v>
      </c>
      <c r="G3" s="37" t="s">
        <v>5</v>
      </c>
      <c r="H3" s="37" t="s">
        <v>6</v>
      </c>
      <c r="I3" s="37" t="s">
        <v>5</v>
      </c>
      <c r="J3" s="37" t="s">
        <v>6</v>
      </c>
      <c r="K3" s="37" t="s">
        <v>5</v>
      </c>
      <c r="L3" s="37" t="s">
        <v>6</v>
      </c>
      <c r="M3" s="37" t="s">
        <v>5</v>
      </c>
      <c r="N3" s="37" t="s">
        <v>6</v>
      </c>
      <c r="O3" s="37" t="s">
        <v>5</v>
      </c>
      <c r="P3" s="37" t="s">
        <v>6</v>
      </c>
      <c r="Q3" s="37" t="s">
        <v>5</v>
      </c>
      <c r="R3" s="37" t="s">
        <v>6</v>
      </c>
      <c r="S3" s="37" t="s">
        <v>5</v>
      </c>
      <c r="T3" s="37" t="s">
        <v>6</v>
      </c>
      <c r="U3" s="37" t="s">
        <v>5</v>
      </c>
      <c r="V3" s="37" t="s">
        <v>6</v>
      </c>
      <c r="W3" s="37" t="s">
        <v>5</v>
      </c>
      <c r="X3" s="37" t="s">
        <v>6</v>
      </c>
      <c r="Y3" s="37" t="s">
        <v>5</v>
      </c>
      <c r="Z3" s="37" t="s">
        <v>6</v>
      </c>
      <c r="AA3" s="37" t="s">
        <v>5</v>
      </c>
      <c r="AB3" s="37" t="s">
        <v>6</v>
      </c>
      <c r="AC3" s="37" t="s">
        <v>5</v>
      </c>
      <c r="AD3" s="37" t="s">
        <v>6</v>
      </c>
      <c r="AE3" s="37" t="s">
        <v>5</v>
      </c>
      <c r="AF3" s="37" t="s">
        <v>6</v>
      </c>
      <c r="AG3" s="37" t="s">
        <v>5</v>
      </c>
      <c r="AH3" s="37" t="s">
        <v>6</v>
      </c>
      <c r="AI3" s="37" t="s">
        <v>5</v>
      </c>
      <c r="AJ3" s="37" t="s">
        <v>6</v>
      </c>
      <c r="AK3" s="37" t="s">
        <v>5</v>
      </c>
      <c r="AL3" s="37" t="s">
        <v>6</v>
      </c>
      <c r="AM3" s="37" t="s">
        <v>5</v>
      </c>
      <c r="AN3" s="37" t="s">
        <v>6</v>
      </c>
      <c r="AO3" s="37" t="s">
        <v>81</v>
      </c>
      <c r="AP3" s="37" t="s">
        <v>6</v>
      </c>
      <c r="AQ3" s="37" t="s">
        <v>81</v>
      </c>
      <c r="AR3" s="37" t="s">
        <v>6</v>
      </c>
      <c r="AS3" s="179" t="s">
        <v>81</v>
      </c>
      <c r="AT3" s="180"/>
      <c r="AU3" s="180"/>
      <c r="AV3" s="180"/>
      <c r="AW3" s="180"/>
      <c r="AX3" s="180"/>
      <c r="AY3" s="181"/>
      <c r="AZ3" s="179" t="s">
        <v>6</v>
      </c>
      <c r="BA3" s="180"/>
      <c r="BB3" s="180"/>
      <c r="BC3" s="180"/>
      <c r="BD3" s="180"/>
      <c r="BE3" s="180"/>
      <c r="BF3" s="181"/>
      <c r="BG3" s="179" t="s">
        <v>81</v>
      </c>
      <c r="BH3" s="180"/>
      <c r="BI3" s="180"/>
      <c r="BJ3" s="180"/>
      <c r="BK3" s="180"/>
      <c r="BL3" s="180"/>
      <c r="BM3" s="181"/>
      <c r="BN3" s="179" t="s">
        <v>6</v>
      </c>
      <c r="BO3" s="180"/>
      <c r="BP3" s="180"/>
      <c r="BQ3" s="180"/>
      <c r="BR3" s="180"/>
      <c r="BS3" s="180"/>
      <c r="BT3" s="181"/>
      <c r="BU3" s="179" t="s">
        <v>81</v>
      </c>
      <c r="BV3" s="180"/>
      <c r="BW3" s="180"/>
      <c r="BX3" s="180"/>
      <c r="BY3" s="180"/>
      <c r="BZ3" s="180"/>
      <c r="CA3" s="181"/>
      <c r="CB3" s="179" t="s">
        <v>6</v>
      </c>
      <c r="CC3" s="180"/>
      <c r="CD3" s="180"/>
      <c r="CE3" s="180"/>
      <c r="CF3" s="180"/>
      <c r="CG3" s="180"/>
      <c r="CH3" s="181"/>
      <c r="CI3" s="179" t="s">
        <v>81</v>
      </c>
      <c r="CJ3" s="180"/>
      <c r="CK3" s="180"/>
      <c r="CL3" s="180"/>
      <c r="CM3" s="180"/>
      <c r="CN3" s="180"/>
      <c r="CO3" s="181"/>
      <c r="CP3" s="179" t="s">
        <v>6</v>
      </c>
      <c r="CQ3" s="180"/>
      <c r="CR3" s="180"/>
      <c r="CS3" s="180"/>
      <c r="CT3" s="180"/>
      <c r="CU3" s="180"/>
      <c r="CV3" s="181"/>
      <c r="CW3" s="179" t="s">
        <v>81</v>
      </c>
      <c r="CX3" s="180"/>
      <c r="CY3" s="180"/>
      <c r="CZ3" s="180"/>
      <c r="DA3" s="180"/>
      <c r="DB3" s="180"/>
      <c r="DC3" s="181"/>
      <c r="DD3" s="179" t="s">
        <v>6</v>
      </c>
      <c r="DE3" s="180"/>
      <c r="DF3" s="180"/>
      <c r="DG3" s="180"/>
      <c r="DH3" s="180"/>
      <c r="DI3" s="180"/>
      <c r="DJ3" s="181"/>
      <c r="DK3" s="179" t="s">
        <v>81</v>
      </c>
      <c r="DL3" s="180"/>
      <c r="DM3" s="180"/>
      <c r="DN3" s="180"/>
      <c r="DO3" s="180"/>
      <c r="DP3" s="180"/>
      <c r="DQ3" s="181"/>
      <c r="DR3" s="179" t="s">
        <v>6</v>
      </c>
      <c r="DS3" s="180"/>
      <c r="DT3" s="180"/>
      <c r="DU3" s="180"/>
      <c r="DV3" s="180"/>
      <c r="DW3" s="180"/>
      <c r="DX3" s="181"/>
      <c r="DY3" s="179" t="s">
        <v>81</v>
      </c>
      <c r="DZ3" s="180"/>
      <c r="EA3" s="180"/>
      <c r="EB3" s="180"/>
      <c r="EC3" s="180"/>
      <c r="ED3" s="180"/>
      <c r="EE3" s="181"/>
      <c r="EF3" s="179" t="s">
        <v>6</v>
      </c>
      <c r="EG3" s="180"/>
      <c r="EH3" s="180"/>
      <c r="EI3" s="180"/>
      <c r="EJ3" s="180"/>
      <c r="EK3" s="180"/>
      <c r="EL3" s="181"/>
      <c r="EM3" s="37" t="s">
        <v>5</v>
      </c>
      <c r="EN3" s="37" t="s">
        <v>6</v>
      </c>
      <c r="EO3" s="192"/>
    </row>
    <row r="4" spans="1:150" s="5" customFormat="1" ht="12.75" x14ac:dyDescent="0.2">
      <c r="A4" s="9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 t="s">
        <v>111</v>
      </c>
      <c r="AT4" s="37" t="s">
        <v>112</v>
      </c>
      <c r="AU4" s="37" t="s">
        <v>121</v>
      </c>
      <c r="AV4" s="37" t="s">
        <v>119</v>
      </c>
      <c r="AW4" s="37" t="s">
        <v>120</v>
      </c>
      <c r="AX4" s="37" t="s">
        <v>113</v>
      </c>
      <c r="AY4" s="37" t="s">
        <v>67</v>
      </c>
      <c r="AZ4" s="37" t="s">
        <v>111</v>
      </c>
      <c r="BA4" s="37" t="s">
        <v>112</v>
      </c>
      <c r="BB4" s="37" t="s">
        <v>121</v>
      </c>
      <c r="BC4" s="37" t="s">
        <v>119</v>
      </c>
      <c r="BD4" s="37" t="s">
        <v>120</v>
      </c>
      <c r="BE4" s="37" t="s">
        <v>113</v>
      </c>
      <c r="BF4" s="37" t="s">
        <v>67</v>
      </c>
      <c r="BG4" s="37" t="s">
        <v>111</v>
      </c>
      <c r="BH4" s="37" t="s">
        <v>112</v>
      </c>
      <c r="BI4" s="37" t="s">
        <v>121</v>
      </c>
      <c r="BJ4" s="37" t="s">
        <v>119</v>
      </c>
      <c r="BK4" s="37" t="s">
        <v>120</v>
      </c>
      <c r="BL4" s="37" t="s">
        <v>113</v>
      </c>
      <c r="BM4" s="37" t="s">
        <v>67</v>
      </c>
      <c r="BN4" s="37" t="s">
        <v>111</v>
      </c>
      <c r="BO4" s="37" t="s">
        <v>112</v>
      </c>
      <c r="BP4" s="37" t="s">
        <v>121</v>
      </c>
      <c r="BQ4" s="37" t="s">
        <v>119</v>
      </c>
      <c r="BR4" s="37" t="s">
        <v>120</v>
      </c>
      <c r="BS4" s="37" t="s">
        <v>113</v>
      </c>
      <c r="BT4" s="37" t="s">
        <v>67</v>
      </c>
      <c r="BU4" s="37" t="s">
        <v>111</v>
      </c>
      <c r="BV4" s="37" t="s">
        <v>112</v>
      </c>
      <c r="BW4" s="37" t="s">
        <v>121</v>
      </c>
      <c r="BX4" s="37" t="s">
        <v>119</v>
      </c>
      <c r="BY4" s="37" t="s">
        <v>120</v>
      </c>
      <c r="BZ4" s="37" t="s">
        <v>113</v>
      </c>
      <c r="CA4" s="37" t="s">
        <v>67</v>
      </c>
      <c r="CB4" s="37" t="s">
        <v>111</v>
      </c>
      <c r="CC4" s="37" t="s">
        <v>112</v>
      </c>
      <c r="CD4" s="37" t="s">
        <v>121</v>
      </c>
      <c r="CE4" s="37" t="s">
        <v>119</v>
      </c>
      <c r="CF4" s="37" t="s">
        <v>120</v>
      </c>
      <c r="CG4" s="37" t="s">
        <v>113</v>
      </c>
      <c r="CH4" s="37" t="s">
        <v>67</v>
      </c>
      <c r="CI4" s="37" t="s">
        <v>111</v>
      </c>
      <c r="CJ4" s="37" t="s">
        <v>112</v>
      </c>
      <c r="CK4" s="37" t="s">
        <v>121</v>
      </c>
      <c r="CL4" s="37" t="s">
        <v>119</v>
      </c>
      <c r="CM4" s="37" t="s">
        <v>120</v>
      </c>
      <c r="CN4" s="37" t="s">
        <v>113</v>
      </c>
      <c r="CO4" s="37" t="s">
        <v>67</v>
      </c>
      <c r="CP4" s="37" t="s">
        <v>111</v>
      </c>
      <c r="CQ4" s="37" t="s">
        <v>112</v>
      </c>
      <c r="CR4" s="37" t="s">
        <v>121</v>
      </c>
      <c r="CS4" s="37" t="s">
        <v>119</v>
      </c>
      <c r="CT4" s="37" t="s">
        <v>120</v>
      </c>
      <c r="CU4" s="37" t="s">
        <v>113</v>
      </c>
      <c r="CV4" s="37" t="s">
        <v>67</v>
      </c>
      <c r="CW4" s="37" t="s">
        <v>111</v>
      </c>
      <c r="CX4" s="37" t="s">
        <v>112</v>
      </c>
      <c r="CY4" s="37" t="s">
        <v>121</v>
      </c>
      <c r="CZ4" s="37" t="s">
        <v>119</v>
      </c>
      <c r="DA4" s="37" t="s">
        <v>120</v>
      </c>
      <c r="DB4" s="37" t="s">
        <v>113</v>
      </c>
      <c r="DC4" s="37" t="s">
        <v>67</v>
      </c>
      <c r="DD4" s="37" t="s">
        <v>111</v>
      </c>
      <c r="DE4" s="37" t="s">
        <v>112</v>
      </c>
      <c r="DF4" s="37" t="s">
        <v>121</v>
      </c>
      <c r="DG4" s="37" t="s">
        <v>119</v>
      </c>
      <c r="DH4" s="37" t="s">
        <v>120</v>
      </c>
      <c r="DI4" s="37" t="s">
        <v>113</v>
      </c>
      <c r="DJ4" s="37" t="s">
        <v>67</v>
      </c>
      <c r="DK4" s="37" t="s">
        <v>111</v>
      </c>
      <c r="DL4" s="37" t="s">
        <v>112</v>
      </c>
      <c r="DM4" s="37" t="s">
        <v>121</v>
      </c>
      <c r="DN4" s="37" t="s">
        <v>119</v>
      </c>
      <c r="DO4" s="37" t="s">
        <v>120</v>
      </c>
      <c r="DP4" s="37" t="s">
        <v>113</v>
      </c>
      <c r="DQ4" s="37" t="s">
        <v>67</v>
      </c>
      <c r="DR4" s="37" t="s">
        <v>111</v>
      </c>
      <c r="DS4" s="37" t="s">
        <v>112</v>
      </c>
      <c r="DT4" s="37" t="s">
        <v>121</v>
      </c>
      <c r="DU4" s="37" t="s">
        <v>119</v>
      </c>
      <c r="DV4" s="37" t="s">
        <v>120</v>
      </c>
      <c r="DW4" s="37" t="s">
        <v>113</v>
      </c>
      <c r="DX4" s="37" t="s">
        <v>67</v>
      </c>
      <c r="DY4" s="37" t="s">
        <v>111</v>
      </c>
      <c r="DZ4" s="37" t="s">
        <v>112</v>
      </c>
      <c r="EA4" s="37" t="s">
        <v>121</v>
      </c>
      <c r="EB4" s="37" t="s">
        <v>119</v>
      </c>
      <c r="EC4" s="37" t="s">
        <v>120</v>
      </c>
      <c r="ED4" s="37" t="s">
        <v>113</v>
      </c>
      <c r="EE4" s="37" t="s">
        <v>67</v>
      </c>
      <c r="EF4" s="37" t="s">
        <v>111</v>
      </c>
      <c r="EG4" s="37" t="s">
        <v>112</v>
      </c>
      <c r="EH4" s="37" t="s">
        <v>121</v>
      </c>
      <c r="EI4" s="37" t="s">
        <v>119</v>
      </c>
      <c r="EJ4" s="37" t="s">
        <v>120</v>
      </c>
      <c r="EK4" s="37" t="s">
        <v>113</v>
      </c>
      <c r="EL4" s="37" t="s">
        <v>67</v>
      </c>
      <c r="EM4" s="37"/>
      <c r="EN4" s="37"/>
      <c r="EO4" s="38"/>
    </row>
    <row r="5" spans="1:150" s="5" customFormat="1" ht="12.75" x14ac:dyDescent="0.2">
      <c r="A5" s="196" t="s">
        <v>38</v>
      </c>
      <c r="B5" s="15" t="s">
        <v>73</v>
      </c>
      <c r="C5" s="1" t="s">
        <v>7</v>
      </c>
      <c r="D5" s="2">
        <v>37681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10">
        <v>8664360.0999999996</v>
      </c>
      <c r="T5" s="10">
        <v>5904038.1600000001</v>
      </c>
      <c r="U5" s="10">
        <v>10067367.73</v>
      </c>
      <c r="V5" s="10">
        <v>5957932.7000000002</v>
      </c>
      <c r="W5" s="10">
        <v>10515169.449999999</v>
      </c>
      <c r="X5" s="10">
        <v>6271188.2400000002</v>
      </c>
      <c r="Y5" s="10">
        <v>10809800.84</v>
      </c>
      <c r="Z5" s="10">
        <v>6729143.6799999997</v>
      </c>
      <c r="AA5" s="10">
        <v>8907179.6300000008</v>
      </c>
      <c r="AB5" s="10">
        <v>6184502.9400000004</v>
      </c>
      <c r="AC5" s="10">
        <v>9160917.4900000002</v>
      </c>
      <c r="AD5" s="10">
        <v>8078975.5700000003</v>
      </c>
      <c r="AE5" s="10">
        <v>10300789.67</v>
      </c>
      <c r="AF5" s="10">
        <v>9891959.6199999992</v>
      </c>
      <c r="AG5" s="10">
        <v>10839742.439999999</v>
      </c>
      <c r="AH5" s="10">
        <v>12412154.15</v>
      </c>
      <c r="AI5" s="10">
        <v>10295162.779999999</v>
      </c>
      <c r="AJ5" s="10">
        <v>25565421.550000001</v>
      </c>
      <c r="AK5" s="10">
        <v>10065651.300000001</v>
      </c>
      <c r="AL5" s="10">
        <v>10310157.359999999</v>
      </c>
      <c r="AM5" s="10">
        <v>11305405.390000001</v>
      </c>
      <c r="AN5" s="10">
        <v>10896675.73</v>
      </c>
      <c r="AO5" s="71">
        <v>11647219</v>
      </c>
      <c r="AP5" s="10">
        <v>11524352.960000001</v>
      </c>
      <c r="AQ5" s="10">
        <v>10748778.08</v>
      </c>
      <c r="AR5" s="10">
        <v>10665785</v>
      </c>
      <c r="AS5" s="10">
        <v>7484626.4099999992</v>
      </c>
      <c r="AT5" s="10">
        <v>3284582.23</v>
      </c>
      <c r="AU5" s="10">
        <f>4214.49+68811.37</f>
        <v>73025.86</v>
      </c>
      <c r="AV5" s="10">
        <v>56886.389999999985</v>
      </c>
      <c r="AW5" s="10">
        <v>79264.52</v>
      </c>
      <c r="AX5" s="10">
        <v>23060.080000000002</v>
      </c>
      <c r="AY5" s="10">
        <f>SUM(AS5:AX5)</f>
        <v>11001445.489999998</v>
      </c>
      <c r="AZ5" s="10">
        <v>7522040.4100000011</v>
      </c>
      <c r="BA5" s="10">
        <v>3025498.35</v>
      </c>
      <c r="BB5" s="10">
        <v>48448.80000000001</v>
      </c>
      <c r="BC5" s="10">
        <v>43631.040000000001</v>
      </c>
      <c r="BD5" s="10">
        <v>79422.459999999992</v>
      </c>
      <c r="BE5" s="10">
        <v>21328.63</v>
      </c>
      <c r="BF5" s="10">
        <f>SUM(AZ5:BE5)</f>
        <v>10740369.690000003</v>
      </c>
      <c r="BG5" s="10">
        <v>8123388.2899999954</v>
      </c>
      <c r="BH5" s="10">
        <v>3534993.6999999997</v>
      </c>
      <c r="BI5" s="10">
        <f>2388.39+78658.72</f>
        <v>81047.11</v>
      </c>
      <c r="BJ5" s="10">
        <v>48956.890000000007</v>
      </c>
      <c r="BK5" s="10">
        <v>16253.23</v>
      </c>
      <c r="BL5" s="10">
        <v>14662.950000000003</v>
      </c>
      <c r="BM5" s="10">
        <f>SUM(BG5:BL5)</f>
        <v>11819302.169999994</v>
      </c>
      <c r="BN5" s="10">
        <v>8218161.8999999994</v>
      </c>
      <c r="BO5" s="10">
        <v>3369468.2000000007</v>
      </c>
      <c r="BP5" s="10">
        <v>45256.029999999992</v>
      </c>
      <c r="BQ5" s="10">
        <v>37973.19000000001</v>
      </c>
      <c r="BR5" s="10">
        <v>14447.28</v>
      </c>
      <c r="BS5" s="10">
        <v>16865.88</v>
      </c>
      <c r="BT5" s="10">
        <f>SUM(BN5:BS5)</f>
        <v>11702172.479999999</v>
      </c>
      <c r="BU5" s="10">
        <v>8539944</v>
      </c>
      <c r="BV5" s="10">
        <v>3579346</v>
      </c>
      <c r="BW5" s="10">
        <v>78492</v>
      </c>
      <c r="BX5" s="10">
        <v>29843</v>
      </c>
      <c r="BY5" s="10">
        <v>49338</v>
      </c>
      <c r="BZ5" s="10">
        <v>11057</v>
      </c>
      <c r="CA5" s="10">
        <f>SUM(BU5:BZ5)</f>
        <v>12288020</v>
      </c>
      <c r="CB5" s="10">
        <v>8646693.4600000009</v>
      </c>
      <c r="CC5" s="10">
        <v>3543633.91</v>
      </c>
      <c r="CD5" s="10">
        <v>65104</v>
      </c>
      <c r="CE5" s="10">
        <v>21112.160000000014</v>
      </c>
      <c r="CF5" s="10">
        <v>51144.1</v>
      </c>
      <c r="CG5" s="10">
        <v>18892.3</v>
      </c>
      <c r="CH5" s="10">
        <f>SUM(CB5:CG5)</f>
        <v>12346579.930000002</v>
      </c>
      <c r="CI5" s="10"/>
      <c r="CJ5" s="10"/>
      <c r="CK5" s="10"/>
      <c r="CL5" s="10"/>
      <c r="CM5" s="10"/>
      <c r="CN5" s="10"/>
      <c r="CO5" s="10">
        <f>'[1]PBS 2019'!$L$446</f>
        <v>15175794.219999995</v>
      </c>
      <c r="CP5" s="10"/>
      <c r="CQ5" s="10"/>
      <c r="CR5" s="10"/>
      <c r="CS5" s="10"/>
      <c r="CT5" s="10"/>
      <c r="CU5" s="10"/>
      <c r="CV5" s="10">
        <v>14751491.470000001</v>
      </c>
      <c r="CW5" s="10"/>
      <c r="CX5" s="10"/>
      <c r="CY5" s="10"/>
      <c r="CZ5" s="10"/>
      <c r="DA5" s="10"/>
      <c r="DB5" s="10"/>
      <c r="DC5" s="10">
        <f>'[2]PBS 2020'!$L$461</f>
        <v>23009485.819999997</v>
      </c>
      <c r="DD5" s="10"/>
      <c r="DE5" s="10"/>
      <c r="DF5" s="10"/>
      <c r="DG5" s="10"/>
      <c r="DH5" s="10"/>
      <c r="DI5" s="10"/>
      <c r="DJ5" s="10">
        <f>'[3]2020'!$R$16</f>
        <v>20727550.52</v>
      </c>
      <c r="DK5" s="10"/>
      <c r="DL5" s="10"/>
      <c r="DM5" s="10"/>
      <c r="DN5" s="10"/>
      <c r="DO5" s="10"/>
      <c r="DP5" s="10"/>
      <c r="DQ5" s="10">
        <f>'[4]PBS 2021'!$L$483</f>
        <v>23475046.130000018</v>
      </c>
      <c r="DR5" s="10"/>
      <c r="DS5" s="10"/>
      <c r="DT5" s="10"/>
      <c r="DU5" s="10"/>
      <c r="DV5" s="10"/>
      <c r="DW5" s="10"/>
      <c r="DX5" s="10">
        <f>21842748.5+5206.39</f>
        <v>21847954.890000001</v>
      </c>
      <c r="DY5" s="10"/>
      <c r="DZ5" s="10"/>
      <c r="EA5" s="10"/>
      <c r="EB5" s="10"/>
      <c r="EC5" s="10"/>
      <c r="ED5" s="10"/>
      <c r="EE5" s="10">
        <f>[5]PBS!$L$496</f>
        <v>28220682.090000022</v>
      </c>
      <c r="EF5" s="10"/>
      <c r="EG5" s="10"/>
      <c r="EH5" s="10"/>
      <c r="EI5" s="10"/>
      <c r="EJ5" s="10"/>
      <c r="EK5" s="10"/>
      <c r="EL5" s="10">
        <v>27937135.710000001</v>
      </c>
      <c r="EM5" s="10">
        <f t="shared" ref="EM5:EM10" si="0">E5+G5+I5+K5+M5+O5+Q5+S5+U5+W5+Y5+AA5+AC5+AE5+AG5+AI5+AK5+AM5+AO5+AQ5+AY5+BM5+CA5+CO5+DC5+DQ5+EE5</f>
        <v>258317319.82000002</v>
      </c>
      <c r="EN5" s="10">
        <f t="shared" ref="EN5:EN10" si="1">F5+H5+J5+L5+N5+P5+R5+T5+V5+X5+Z5+AB5+AD5+AF5+AH5+AJ5+AL5+AN5+AP5+AR5+BF5+BT5+CH5+CV5+DJ5+DX5+EL5</f>
        <v>250445542.34999999</v>
      </c>
      <c r="EO5" s="193" t="s">
        <v>8</v>
      </c>
      <c r="EQ5" s="36"/>
      <c r="ER5" s="36"/>
      <c r="ES5" s="36"/>
      <c r="ET5" s="36"/>
    </row>
    <row r="6" spans="1:150" s="5" customFormat="1" ht="12.75" x14ac:dyDescent="0.2">
      <c r="A6" s="196"/>
      <c r="B6" s="15" t="s">
        <v>71</v>
      </c>
      <c r="C6" s="1" t="s">
        <v>7</v>
      </c>
      <c r="D6" s="2">
        <v>38718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10">
        <v>10804819.5</v>
      </c>
      <c r="Z6" s="10">
        <v>10016779.369999999</v>
      </c>
      <c r="AA6" s="10">
        <v>13238455.57</v>
      </c>
      <c r="AB6" s="10">
        <v>13526453.5</v>
      </c>
      <c r="AC6" s="10">
        <v>17884015.120000001</v>
      </c>
      <c r="AD6" s="10">
        <v>17038837.780000001</v>
      </c>
      <c r="AE6" s="10">
        <v>16992940.59</v>
      </c>
      <c r="AF6" s="10">
        <v>16946531.579999998</v>
      </c>
      <c r="AG6" s="10">
        <v>17361007</v>
      </c>
      <c r="AH6" s="10">
        <v>17556783.420000002</v>
      </c>
      <c r="AI6" s="10">
        <v>16411084</v>
      </c>
      <c r="AJ6" s="10">
        <v>16514282.199999999</v>
      </c>
      <c r="AK6" s="10">
        <v>17954533.32</v>
      </c>
      <c r="AL6" s="10">
        <v>17840713.239999998</v>
      </c>
      <c r="AM6" s="10">
        <v>17863074.41</v>
      </c>
      <c r="AN6" s="10">
        <v>17542487.153000001</v>
      </c>
      <c r="AO6" s="10">
        <v>18011553</v>
      </c>
      <c r="AP6" s="10">
        <v>17130428.959999997</v>
      </c>
      <c r="AQ6" s="10">
        <v>18412699</v>
      </c>
      <c r="AR6" s="10">
        <v>17085086.77</v>
      </c>
      <c r="AS6" s="10">
        <v>18108744.740000002</v>
      </c>
      <c r="AT6" s="10">
        <v>2802793.3400000003</v>
      </c>
      <c r="AU6" s="10">
        <v>11771.140000000001</v>
      </c>
      <c r="AV6" s="10">
        <v>14783.55</v>
      </c>
      <c r="AW6" s="10">
        <v>0</v>
      </c>
      <c r="AX6" s="10">
        <v>28501.17</v>
      </c>
      <c r="AY6" s="10">
        <f>SUM(AS6:AX6)</f>
        <v>20966593.940000005</v>
      </c>
      <c r="AZ6" s="10">
        <v>7738547.0199999996</v>
      </c>
      <c r="BA6" s="10">
        <v>2600831.7499999995</v>
      </c>
      <c r="BB6" s="10">
        <v>13909.880000000001</v>
      </c>
      <c r="BC6" s="10">
        <v>8012.659999999998</v>
      </c>
      <c r="BD6" s="10">
        <v>0</v>
      </c>
      <c r="BE6" s="10">
        <v>28727.66</v>
      </c>
      <c r="BF6" s="10">
        <f>SUM(AZ6:BE6)</f>
        <v>10390028.970000001</v>
      </c>
      <c r="BG6" s="10">
        <v>16860858.890000001</v>
      </c>
      <c r="BH6" s="10">
        <v>2939805.1600000011</v>
      </c>
      <c r="BI6" s="10">
        <v>10670.05</v>
      </c>
      <c r="BJ6" s="10">
        <v>7135.15</v>
      </c>
      <c r="BK6" s="10">
        <v>0</v>
      </c>
      <c r="BL6" s="10">
        <v>34393.18</v>
      </c>
      <c r="BM6" s="10">
        <f>SUM(BG6:BL6)</f>
        <v>19852862.43</v>
      </c>
      <c r="BN6" s="10">
        <v>16352348.899999999</v>
      </c>
      <c r="BO6" s="10">
        <v>2980215.1800000006</v>
      </c>
      <c r="BP6" s="10">
        <v>5661.8300000000008</v>
      </c>
      <c r="BQ6" s="10">
        <v>15439.83</v>
      </c>
      <c r="BR6" s="10">
        <v>0</v>
      </c>
      <c r="BS6" s="10">
        <v>34265.599999999999</v>
      </c>
      <c r="BT6" s="10">
        <f>SUM(BN6:BS6)</f>
        <v>19387931.339999996</v>
      </c>
      <c r="BU6" s="10">
        <v>17099290.009999998</v>
      </c>
      <c r="BV6" s="10">
        <v>2711567.0700000003</v>
      </c>
      <c r="BW6" s="10">
        <v>18438.46</v>
      </c>
      <c r="BX6" s="10">
        <v>8518.9599999999991</v>
      </c>
      <c r="BY6" s="10">
        <v>0</v>
      </c>
      <c r="BZ6" s="10">
        <v>19739.93</v>
      </c>
      <c r="CA6" s="10">
        <f t="shared" ref="CA6:CA10" si="2">SUM(BU6:BZ6)</f>
        <v>19857554.43</v>
      </c>
      <c r="CB6" s="10">
        <v>17527510.93</v>
      </c>
      <c r="CC6" s="10">
        <v>2808658.7499999991</v>
      </c>
      <c r="CD6" s="10">
        <v>15569.169999999998</v>
      </c>
      <c r="CE6" s="10">
        <v>11144.650000000001</v>
      </c>
      <c r="CF6" s="10">
        <v>0</v>
      </c>
      <c r="CG6" s="10">
        <v>16854.559999999998</v>
      </c>
      <c r="CH6" s="10">
        <f t="shared" ref="CH6:CH10" si="3">SUM(CB6:CG6)</f>
        <v>20379738.059999999</v>
      </c>
      <c r="CI6" s="10"/>
      <c r="CJ6" s="10"/>
      <c r="CK6" s="10"/>
      <c r="CL6" s="10"/>
      <c r="CM6" s="10"/>
      <c r="CN6" s="10"/>
      <c r="CO6" s="10">
        <f>'[6]PCJ 2019'!$L$205</f>
        <v>20694291.329999994</v>
      </c>
      <c r="CP6" s="10"/>
      <c r="CQ6" s="10"/>
      <c r="CR6" s="10"/>
      <c r="CS6" s="10"/>
      <c r="CT6" s="10"/>
      <c r="CU6" s="10"/>
      <c r="CV6" s="10">
        <v>11595088.01</v>
      </c>
      <c r="CW6" s="10"/>
      <c r="CX6" s="10"/>
      <c r="CY6" s="10"/>
      <c r="CZ6" s="10"/>
      <c r="DA6" s="10"/>
      <c r="DB6" s="10"/>
      <c r="DC6" s="10">
        <f>'[7]PCJ 2020'!$L$151</f>
        <v>21583744.079999998</v>
      </c>
      <c r="DD6" s="10"/>
      <c r="DE6" s="10"/>
      <c r="DF6" s="10"/>
      <c r="DG6" s="10"/>
      <c r="DH6" s="10"/>
      <c r="DI6" s="10"/>
      <c r="DJ6" s="10">
        <f>'[3]2020'!$R$18</f>
        <v>9413680.5099999905</v>
      </c>
      <c r="DK6" s="10"/>
      <c r="DL6" s="10"/>
      <c r="DM6" s="10"/>
      <c r="DN6" s="10"/>
      <c r="DO6" s="10"/>
      <c r="DP6" s="10"/>
      <c r="DQ6" s="10">
        <f>'[8]PCJ 2021'!$L$135</f>
        <v>23622501.490000002</v>
      </c>
      <c r="DR6" s="10"/>
      <c r="DS6" s="10"/>
      <c r="DT6" s="10"/>
      <c r="DU6" s="10"/>
      <c r="DV6" s="10"/>
      <c r="DW6" s="10"/>
      <c r="DX6" s="10">
        <v>25323855.399999999</v>
      </c>
      <c r="DY6" s="10"/>
      <c r="DZ6" s="10"/>
      <c r="EA6" s="10"/>
      <c r="EB6" s="10"/>
      <c r="EC6" s="10"/>
      <c r="ED6" s="10"/>
      <c r="EE6" s="10">
        <f>'[9]CobrancaAprovada (4)'!$L$136</f>
        <v>27138245.299999993</v>
      </c>
      <c r="EF6" s="10"/>
      <c r="EG6" s="10"/>
      <c r="EH6" s="10"/>
      <c r="EI6" s="10"/>
      <c r="EJ6" s="10"/>
      <c r="EK6" s="10"/>
      <c r="EL6" s="10">
        <v>22056836.100000001</v>
      </c>
      <c r="EM6" s="10">
        <f t="shared" si="0"/>
        <v>318649974.50999999</v>
      </c>
      <c r="EN6" s="10">
        <f t="shared" si="1"/>
        <v>279745542.36300004</v>
      </c>
      <c r="EO6" s="194"/>
      <c r="EQ6" s="36"/>
      <c r="ER6" s="36"/>
      <c r="ES6" s="36"/>
      <c r="ET6" s="36"/>
    </row>
    <row r="7" spans="1:150" s="5" customFormat="1" ht="12.75" x14ac:dyDescent="0.2">
      <c r="A7" s="196"/>
      <c r="B7" s="15" t="s">
        <v>72</v>
      </c>
      <c r="C7" s="1" t="s">
        <v>7</v>
      </c>
      <c r="D7" s="2">
        <v>40360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12">
        <v>10592125.68</v>
      </c>
      <c r="AH7" s="10">
        <v>8631052.0099999998</v>
      </c>
      <c r="AI7" s="10">
        <v>21815684</v>
      </c>
      <c r="AJ7" s="10">
        <v>19582826</v>
      </c>
      <c r="AK7" s="10">
        <v>21809496.760000002</v>
      </c>
      <c r="AL7" s="10">
        <v>21500946.050000001</v>
      </c>
      <c r="AM7" s="10">
        <v>22905061.02</v>
      </c>
      <c r="AN7" s="10">
        <v>21759014.530000005</v>
      </c>
      <c r="AO7" s="10">
        <v>22492214</v>
      </c>
      <c r="AP7" s="10">
        <v>23056049.280000001</v>
      </c>
      <c r="AQ7" s="10">
        <v>23068966</v>
      </c>
      <c r="AR7" s="10">
        <v>22490082.5</v>
      </c>
      <c r="AS7" s="10">
        <v>18535403.479999997</v>
      </c>
      <c r="AT7" s="10">
        <v>220199.55</v>
      </c>
      <c r="AU7" s="10">
        <v>301897.88</v>
      </c>
      <c r="AV7" s="10">
        <v>3732715.3900000066</v>
      </c>
      <c r="AW7" s="10">
        <v>137030.39999999999</v>
      </c>
      <c r="AX7" s="10">
        <v>71554.92</v>
      </c>
      <c r="AY7" s="10">
        <f>SUM(AS7:AX7)</f>
        <v>22998801.620000005</v>
      </c>
      <c r="AZ7" s="77"/>
      <c r="BA7" s="77"/>
      <c r="BB7" s="77"/>
      <c r="BC7" s="77"/>
      <c r="BD7" s="77"/>
      <c r="BE7" s="77"/>
      <c r="BF7" s="10">
        <v>20953008.989999998</v>
      </c>
      <c r="BG7" s="10">
        <v>18974303.300000001</v>
      </c>
      <c r="BH7" s="10">
        <v>308335.67</v>
      </c>
      <c r="BI7" s="10">
        <v>742748.16000000003</v>
      </c>
      <c r="BJ7" s="10">
        <v>3198834.7599999844</v>
      </c>
      <c r="BK7" s="10">
        <v>136656</v>
      </c>
      <c r="BL7" s="10">
        <v>29454.57</v>
      </c>
      <c r="BM7" s="10">
        <f>SUM(BG7:BL7)</f>
        <v>23390332.459999986</v>
      </c>
      <c r="BN7" s="10">
        <v>18266205.460000001</v>
      </c>
      <c r="BO7" s="10">
        <v>283521.99</v>
      </c>
      <c r="BP7" s="10">
        <v>981147.49</v>
      </c>
      <c r="BQ7" s="10">
        <v>2716195.5699999942</v>
      </c>
      <c r="BR7" s="10">
        <v>0</v>
      </c>
      <c r="BS7" s="10">
        <v>45743.609999999993</v>
      </c>
      <c r="BT7" s="10">
        <f>SUM(BN7:BS7)</f>
        <v>22292814.11999999</v>
      </c>
      <c r="BU7" s="10">
        <v>19982002.260000002</v>
      </c>
      <c r="BV7" s="10">
        <v>306549.24000000011</v>
      </c>
      <c r="BW7" s="10">
        <v>766201.69</v>
      </c>
      <c r="BX7" s="10">
        <v>3734566.6600000006</v>
      </c>
      <c r="BY7" s="10">
        <v>140345.70000000001</v>
      </c>
      <c r="BZ7" s="10">
        <v>37667.980000000003</v>
      </c>
      <c r="CA7" s="10">
        <f t="shared" si="2"/>
        <v>24967333.530000001</v>
      </c>
      <c r="CB7" s="10">
        <v>18738274.729999997</v>
      </c>
      <c r="CC7" s="10">
        <v>310524.58999999997</v>
      </c>
      <c r="CD7" s="10">
        <v>744387</v>
      </c>
      <c r="CE7" s="10">
        <v>3261671.8800000018</v>
      </c>
      <c r="CF7" s="10">
        <v>0</v>
      </c>
      <c r="CG7" s="10">
        <v>25868.94</v>
      </c>
      <c r="CH7" s="10">
        <f t="shared" si="3"/>
        <v>23080727.140000001</v>
      </c>
      <c r="CI7" s="10"/>
      <c r="CJ7" s="10"/>
      <c r="CK7" s="10"/>
      <c r="CL7" s="10"/>
      <c r="CM7" s="10"/>
      <c r="CN7" s="10"/>
      <c r="CO7" s="10">
        <f>'[10]SF 2019'!$L$4484</f>
        <v>41148601.650000036</v>
      </c>
      <c r="CP7" s="10"/>
      <c r="CQ7" s="10"/>
      <c r="CR7" s="10"/>
      <c r="CS7" s="10"/>
      <c r="CT7" s="10"/>
      <c r="CU7" s="10"/>
      <c r="CV7" s="10">
        <v>33872593.439999998</v>
      </c>
      <c r="CW7" s="10"/>
      <c r="CX7" s="10"/>
      <c r="CY7" s="10"/>
      <c r="CZ7" s="10"/>
      <c r="DA7" s="10"/>
      <c r="DB7" s="10"/>
      <c r="DC7" s="10">
        <f>'[11]SF 2020'!$L$5155</f>
        <v>41322065.399999872</v>
      </c>
      <c r="DD7" s="10"/>
      <c r="DE7" s="10"/>
      <c r="DF7" s="10"/>
      <c r="DG7" s="10"/>
      <c r="DH7" s="10"/>
      <c r="DI7" s="10"/>
      <c r="DJ7" s="10">
        <f>'[3]2020'!$Q$13</f>
        <v>33949757.390000001</v>
      </c>
      <c r="DK7" s="10"/>
      <c r="DL7" s="10"/>
      <c r="DM7" s="10"/>
      <c r="DN7" s="10"/>
      <c r="DO7" s="10"/>
      <c r="DP7" s="10"/>
      <c r="DQ7" s="10">
        <f>'[12]SF 2021'!$L$5687</f>
        <v>42279976.620000333</v>
      </c>
      <c r="DR7" s="10"/>
      <c r="DS7" s="10"/>
      <c r="DT7" s="10"/>
      <c r="DU7" s="10"/>
      <c r="DV7" s="10"/>
      <c r="DW7" s="10"/>
      <c r="DX7" s="10">
        <f>32157557.92+13588.29</f>
        <v>32171146.210000001</v>
      </c>
      <c r="DY7" s="10"/>
      <c r="DZ7" s="10"/>
      <c r="EA7" s="10"/>
      <c r="EB7" s="10"/>
      <c r="EC7" s="10"/>
      <c r="ED7" s="10"/>
      <c r="EE7" s="10">
        <f>'[13]CobrancaAprovada (2)'!$L$6073</f>
        <v>48575313.019999571</v>
      </c>
      <c r="EF7" s="10"/>
      <c r="EG7" s="10"/>
      <c r="EH7" s="10"/>
      <c r="EI7" s="10"/>
      <c r="EJ7" s="10"/>
      <c r="EK7" s="10"/>
      <c r="EL7" s="10">
        <v>41064596.390000001</v>
      </c>
      <c r="EM7" s="10">
        <f t="shared" si="0"/>
        <v>367365971.75999981</v>
      </c>
      <c r="EN7" s="10">
        <f t="shared" si="1"/>
        <v>324404614.04999995</v>
      </c>
      <c r="EO7" s="194"/>
      <c r="EQ7" s="36"/>
      <c r="ER7" s="36"/>
      <c r="ES7" s="36"/>
      <c r="ET7" s="36"/>
    </row>
    <row r="8" spans="1:150" s="5" customFormat="1" ht="14.25" x14ac:dyDescent="0.2">
      <c r="A8" s="196"/>
      <c r="B8" s="15" t="s">
        <v>125</v>
      </c>
      <c r="C8" s="1" t="s">
        <v>7</v>
      </c>
      <c r="D8" s="2">
        <v>40848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10">
        <v>1142191.3999999999</v>
      </c>
      <c r="AJ8" s="10">
        <v>0</v>
      </c>
      <c r="AK8" s="10">
        <v>9200487.1099999994</v>
      </c>
      <c r="AL8" s="10">
        <v>3438674.02</v>
      </c>
      <c r="AM8" s="10">
        <v>8404887.0399999991</v>
      </c>
      <c r="AN8" s="10">
        <v>6505081.04</v>
      </c>
      <c r="AO8" s="10">
        <v>9817054</v>
      </c>
      <c r="AP8" s="10">
        <v>9729725</v>
      </c>
      <c r="AQ8" s="10">
        <v>12577512</v>
      </c>
      <c r="AR8" s="89">
        <v>10699660.65</v>
      </c>
      <c r="AS8" s="10">
        <v>3572092.7899999996</v>
      </c>
      <c r="AT8" s="10">
        <v>7305339.7699999996</v>
      </c>
      <c r="AU8" s="10">
        <v>119197.18999999997</v>
      </c>
      <c r="AV8" s="10">
        <v>18140.57</v>
      </c>
      <c r="AW8" s="10">
        <v>0</v>
      </c>
      <c r="AX8" s="10">
        <v>26278.199999999997</v>
      </c>
      <c r="AY8" s="10">
        <f>SUM(AS8:AX8)</f>
        <v>11041048.519999998</v>
      </c>
      <c r="AZ8" s="79">
        <v>1824790.8099999998</v>
      </c>
      <c r="BA8" s="79">
        <v>7246005.4499999993</v>
      </c>
      <c r="BB8" s="79">
        <v>76352.91</v>
      </c>
      <c r="BC8" s="79">
        <v>16200.149999999998</v>
      </c>
      <c r="BD8" s="79">
        <v>0</v>
      </c>
      <c r="BE8" s="79">
        <v>25523.319999999996</v>
      </c>
      <c r="BF8" s="10">
        <f>SUM(AZ8:BE8)</f>
        <v>9188872.6400000006</v>
      </c>
      <c r="BG8" s="10">
        <v>3616953.8699999987</v>
      </c>
      <c r="BH8" s="10">
        <v>8180395.3100000005</v>
      </c>
      <c r="BI8" s="10">
        <v>112961.30999999998</v>
      </c>
      <c r="BJ8" s="10">
        <v>29280.96000000001</v>
      </c>
      <c r="BK8" s="10">
        <v>0</v>
      </c>
      <c r="BL8" s="10">
        <v>26845.940000000002</v>
      </c>
      <c r="BM8" s="10">
        <f>SUM(BG8:BL8)</f>
        <v>11966437.390000001</v>
      </c>
      <c r="BN8" s="10">
        <v>3688707.5799999996</v>
      </c>
      <c r="BO8" s="10">
        <v>7444909.1600000001</v>
      </c>
      <c r="BP8" s="10">
        <v>80630.070000000007</v>
      </c>
      <c r="BQ8" s="10">
        <v>26157.510000000002</v>
      </c>
      <c r="BR8" s="10">
        <v>0</v>
      </c>
      <c r="BS8" s="10">
        <v>22942.04</v>
      </c>
      <c r="BT8" s="10">
        <f>SUM(BN8:BS8)</f>
        <v>11263346.359999999</v>
      </c>
      <c r="BU8" s="10">
        <v>3391123.93</v>
      </c>
      <c r="BV8" s="10">
        <v>6494733.7999999998</v>
      </c>
      <c r="BW8" s="10">
        <v>126846.93</v>
      </c>
      <c r="BX8" s="10">
        <v>28719.159999999996</v>
      </c>
      <c r="BY8" s="10">
        <v>0</v>
      </c>
      <c r="BZ8" s="10">
        <v>35350.079999999994</v>
      </c>
      <c r="CA8" s="10">
        <f t="shared" si="2"/>
        <v>10076773.9</v>
      </c>
      <c r="CB8" s="10">
        <v>5061697.8</v>
      </c>
      <c r="CC8" s="10">
        <v>7084339.8100000005</v>
      </c>
      <c r="CD8" s="10">
        <v>103870.84999999999</v>
      </c>
      <c r="CE8" s="10">
        <v>24332.680000000004</v>
      </c>
      <c r="CF8" s="10">
        <v>0</v>
      </c>
      <c r="CG8" s="10">
        <v>30744.760000000002</v>
      </c>
      <c r="CH8" s="10">
        <f t="shared" si="3"/>
        <v>12304985.899999999</v>
      </c>
      <c r="CI8" s="10"/>
      <c r="CJ8" s="10"/>
      <c r="CK8" s="10"/>
      <c r="CL8" s="10"/>
      <c r="CM8" s="10"/>
      <c r="CN8" s="10"/>
      <c r="CO8" s="10">
        <f>'[14]DOCE 2019'!$L$278</f>
        <v>12038745.069999998</v>
      </c>
      <c r="CP8" s="10"/>
      <c r="CQ8" s="10"/>
      <c r="CR8" s="10"/>
      <c r="CS8" s="10"/>
      <c r="CT8" s="10"/>
      <c r="CU8" s="10"/>
      <c r="CV8" s="10">
        <v>13799098.43</v>
      </c>
      <c r="CW8" s="10"/>
      <c r="CX8" s="10"/>
      <c r="CY8" s="10"/>
      <c r="CZ8" s="10"/>
      <c r="DA8" s="10"/>
      <c r="DB8" s="10"/>
      <c r="DC8" s="10">
        <f>'[15]DOCE 2020'!$L$297</f>
        <v>13393384.6</v>
      </c>
      <c r="DD8" s="10"/>
      <c r="DE8" s="10"/>
      <c r="DF8" s="10"/>
      <c r="DG8" s="10"/>
      <c r="DH8" s="10"/>
      <c r="DI8" s="10"/>
      <c r="DJ8" s="10">
        <f>'[3]2020'!$R$15</f>
        <v>12144134.92</v>
      </c>
      <c r="DK8" s="10"/>
      <c r="DL8" s="10"/>
      <c r="DM8" s="10"/>
      <c r="DN8" s="10"/>
      <c r="DO8" s="10"/>
      <c r="DP8" s="10"/>
      <c r="DQ8" s="10">
        <f>'[16]DOCE 2021'!$L$310</f>
        <v>13605990.520000003</v>
      </c>
      <c r="DR8" s="10"/>
      <c r="DS8" s="10"/>
      <c r="DT8" s="10"/>
      <c r="DU8" s="10"/>
      <c r="DV8" s="10"/>
      <c r="DW8" s="10"/>
      <c r="DX8" s="10">
        <v>12031331.82</v>
      </c>
      <c r="DY8" s="10"/>
      <c r="DZ8" s="10"/>
      <c r="EA8" s="10"/>
      <c r="EB8" s="10"/>
      <c r="EC8" s="10"/>
      <c r="ED8" s="10"/>
      <c r="EE8" s="10">
        <f>[17]Doce!$L$323</f>
        <v>17419166.809999995</v>
      </c>
      <c r="EF8" s="10"/>
      <c r="EG8" s="10"/>
      <c r="EH8" s="10"/>
      <c r="EI8" s="10"/>
      <c r="EJ8" s="10"/>
      <c r="EK8" s="10"/>
      <c r="EL8" s="10">
        <v>15819982.32</v>
      </c>
      <c r="EM8" s="10">
        <f t="shared" si="0"/>
        <v>130683678.35999998</v>
      </c>
      <c r="EN8" s="10">
        <f t="shared" si="1"/>
        <v>116924893.09999999</v>
      </c>
      <c r="EO8" s="194"/>
      <c r="EQ8" s="169"/>
      <c r="ER8" s="36"/>
      <c r="ES8" s="36"/>
      <c r="ET8" s="36"/>
    </row>
    <row r="9" spans="1:150" s="5" customFormat="1" ht="14.25" x14ac:dyDescent="0.2">
      <c r="A9" s="197"/>
      <c r="B9" s="133" t="s">
        <v>138</v>
      </c>
      <c r="C9" s="130" t="s">
        <v>7</v>
      </c>
      <c r="D9" s="131">
        <v>42795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83">
        <v>4876905.2700000005</v>
      </c>
      <c r="BV9" s="83">
        <v>1237836.19</v>
      </c>
      <c r="BW9" s="83">
        <v>306271.7</v>
      </c>
      <c r="BX9" s="83">
        <v>535773.43000000005</v>
      </c>
      <c r="BY9" s="83">
        <v>0</v>
      </c>
      <c r="BZ9" s="83">
        <v>28659.57</v>
      </c>
      <c r="CA9" s="10">
        <f t="shared" si="2"/>
        <v>6985446.1600000011</v>
      </c>
      <c r="CB9" s="83">
        <v>4841663.46</v>
      </c>
      <c r="CC9" s="83">
        <v>1093434.8500000001</v>
      </c>
      <c r="CD9" s="83">
        <v>297619</v>
      </c>
      <c r="CE9" s="83">
        <v>396689.25000000012</v>
      </c>
      <c r="CF9" s="83">
        <v>0</v>
      </c>
      <c r="CG9" s="83">
        <v>17159.43</v>
      </c>
      <c r="CH9" s="10">
        <f t="shared" si="3"/>
        <v>6646565.9900000002</v>
      </c>
      <c r="CI9" s="10"/>
      <c r="CJ9" s="10"/>
      <c r="CK9" s="10"/>
      <c r="CL9" s="10"/>
      <c r="CM9" s="10"/>
      <c r="CN9" s="10"/>
      <c r="CO9" s="10">
        <f>'[18]PARANAIBA 2018 cobrado em 2019'!$L$526</f>
        <v>7924945.5299999956</v>
      </c>
      <c r="CP9" s="10"/>
      <c r="CQ9" s="10"/>
      <c r="CR9" s="10"/>
      <c r="CS9" s="10"/>
      <c r="CT9" s="10"/>
      <c r="CU9" s="10"/>
      <c r="CV9" s="10">
        <v>7520524.1699999999</v>
      </c>
      <c r="CW9" s="83"/>
      <c r="CX9" s="83"/>
      <c r="CY9" s="83"/>
      <c r="CZ9" s="83"/>
      <c r="DA9" s="83"/>
      <c r="DB9" s="83"/>
      <c r="DC9" s="83">
        <f>'[19]PARANAIBA 2019 cobrado em 2020'!$L$621</f>
        <v>12071792.800000001</v>
      </c>
      <c r="DD9" s="83"/>
      <c r="DE9" s="83"/>
      <c r="DF9" s="83"/>
      <c r="DG9" s="83"/>
      <c r="DH9" s="83"/>
      <c r="DI9" s="83"/>
      <c r="DJ9" s="83">
        <f>'[3]2020'!$R$17</f>
        <v>11061655.99</v>
      </c>
      <c r="DK9" s="83"/>
      <c r="DL9" s="83"/>
      <c r="DM9" s="83"/>
      <c r="DN9" s="83"/>
      <c r="DO9" s="83"/>
      <c r="DP9" s="83"/>
      <c r="DQ9" s="83">
        <f>'[20]PARANAIBA 2020 cobrado em 2021'!$L$754</f>
        <v>12511245.519999996</v>
      </c>
      <c r="DR9" s="83"/>
      <c r="DS9" s="83"/>
      <c r="DT9" s="83"/>
      <c r="DU9" s="83"/>
      <c r="DV9" s="83"/>
      <c r="DW9" s="83"/>
      <c r="DX9" s="83">
        <v>11226688.6</v>
      </c>
      <c r="DY9" s="83"/>
      <c r="DZ9" s="83"/>
      <c r="EA9" s="83"/>
      <c r="EB9" s="83"/>
      <c r="EC9" s="83"/>
      <c r="ED9" s="83"/>
      <c r="EE9" s="83">
        <f>'[21]CobrancaAprovada (6)'!$L$933</f>
        <v>17222178.499999981</v>
      </c>
      <c r="EF9" s="83"/>
      <c r="EG9" s="83"/>
      <c r="EH9" s="83"/>
      <c r="EI9" s="83"/>
      <c r="EJ9" s="83"/>
      <c r="EK9" s="83"/>
      <c r="EL9" s="83">
        <v>17500617.969999999</v>
      </c>
      <c r="EM9" s="10">
        <f t="shared" si="0"/>
        <v>56715608.509999976</v>
      </c>
      <c r="EN9" s="10">
        <f t="shared" si="1"/>
        <v>53956052.719999999</v>
      </c>
      <c r="EO9" s="194"/>
      <c r="EQ9" s="36"/>
      <c r="ER9" s="36"/>
      <c r="ES9" s="36"/>
      <c r="ET9" s="36"/>
    </row>
    <row r="10" spans="1:150" s="5" customFormat="1" ht="14.25" x14ac:dyDescent="0.2">
      <c r="A10" s="197"/>
      <c r="B10" s="15" t="s">
        <v>144</v>
      </c>
      <c r="C10" s="130" t="s">
        <v>7</v>
      </c>
      <c r="D10" s="131">
        <v>42826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83">
        <v>42174.42</v>
      </c>
      <c r="BV10" s="83">
        <v>687.71</v>
      </c>
      <c r="BW10" s="83">
        <v>0</v>
      </c>
      <c r="BX10" s="83">
        <v>50075.630000000005</v>
      </c>
      <c r="BY10" s="83">
        <v>0</v>
      </c>
      <c r="BZ10" s="83">
        <v>0</v>
      </c>
      <c r="CA10" s="10">
        <f t="shared" si="2"/>
        <v>92937.760000000009</v>
      </c>
      <c r="CB10" s="83">
        <v>34910.6</v>
      </c>
      <c r="CC10" s="83">
        <v>589.44000000000005</v>
      </c>
      <c r="CD10" s="83">
        <v>0</v>
      </c>
      <c r="CE10" s="83">
        <v>33546.549999999988</v>
      </c>
      <c r="CF10" s="83">
        <v>0</v>
      </c>
      <c r="CG10" s="83">
        <v>0</v>
      </c>
      <c r="CH10" s="10">
        <f t="shared" si="3"/>
        <v>69046.59</v>
      </c>
      <c r="CI10" s="10"/>
      <c r="CJ10" s="10"/>
      <c r="CK10" s="10"/>
      <c r="CL10" s="10"/>
      <c r="CM10" s="10"/>
      <c r="CN10" s="10"/>
      <c r="CO10" s="10">
        <f>'[22]VG 2018 cobrado em 2019'!$L$169</f>
        <v>208821.07000000004</v>
      </c>
      <c r="CP10" s="10"/>
      <c r="CQ10" s="10"/>
      <c r="CR10" s="10"/>
      <c r="CS10" s="10"/>
      <c r="CT10" s="10"/>
      <c r="CU10" s="10"/>
      <c r="CV10" s="10">
        <v>195234</v>
      </c>
      <c r="CW10" s="83"/>
      <c r="CX10" s="83"/>
      <c r="CY10" s="83"/>
      <c r="CZ10" s="83"/>
      <c r="DA10" s="83"/>
      <c r="DB10" s="83"/>
      <c r="DC10" s="83">
        <f>'[23]VG 2019 cobrado em 2020'!$L$185</f>
        <v>151546.7699999999</v>
      </c>
      <c r="DD10" s="83"/>
      <c r="DE10" s="83"/>
      <c r="DF10" s="83"/>
      <c r="DG10" s="83"/>
      <c r="DH10" s="83"/>
      <c r="DI10" s="83"/>
      <c r="DJ10" s="83">
        <f>'[3]2020'!$Q$14</f>
        <v>124927.49</v>
      </c>
      <c r="DK10" s="83"/>
      <c r="DL10" s="83"/>
      <c r="DM10" s="83"/>
      <c r="DN10" s="83"/>
      <c r="DO10" s="83"/>
      <c r="DP10" s="83"/>
      <c r="DQ10" s="83">
        <f>'[24]VG 2020 cobrado em 2021'!$L$199</f>
        <v>141054.87999999998</v>
      </c>
      <c r="DR10" s="83"/>
      <c r="DS10" s="83"/>
      <c r="DT10" s="83"/>
      <c r="DU10" s="83"/>
      <c r="DV10" s="83"/>
      <c r="DW10" s="83"/>
      <c r="DX10" s="83">
        <v>126236.94</v>
      </c>
      <c r="DY10" s="83"/>
      <c r="DZ10" s="83"/>
      <c r="EA10" s="83"/>
      <c r="EB10" s="83"/>
      <c r="EC10" s="83"/>
      <c r="ED10" s="83"/>
      <c r="EE10" s="83">
        <f>'[25]Verde Grande 2021 cobrado em 20'!$L$165</f>
        <v>127818.37000000002</v>
      </c>
      <c r="EF10" s="83"/>
      <c r="EG10" s="83"/>
      <c r="EH10" s="83"/>
      <c r="EI10" s="83"/>
      <c r="EJ10" s="83"/>
      <c r="EK10" s="83"/>
      <c r="EL10" s="83">
        <v>106474.75</v>
      </c>
      <c r="EM10" s="10">
        <f t="shared" si="0"/>
        <v>722178.85</v>
      </c>
      <c r="EN10" s="10">
        <f t="shared" si="1"/>
        <v>621919.77</v>
      </c>
      <c r="EO10" s="195"/>
      <c r="EQ10" s="36"/>
      <c r="ER10" s="36"/>
      <c r="ES10" s="36"/>
      <c r="ET10" s="36"/>
    </row>
    <row r="11" spans="1:150" s="5" customFormat="1" ht="12.75" x14ac:dyDescent="0.2">
      <c r="A11" s="197"/>
      <c r="B11" s="202" t="s">
        <v>62</v>
      </c>
      <c r="C11" s="203"/>
      <c r="D11" s="203"/>
      <c r="E11" s="57">
        <f>E8+E7+E6+E5+E9+E10</f>
        <v>0</v>
      </c>
      <c r="F11" s="57">
        <f t="shared" ref="F11:I11" si="4">F8+F7+F6+F5+F9+F10</f>
        <v>0</v>
      </c>
      <c r="G11" s="57">
        <f t="shared" si="4"/>
        <v>0</v>
      </c>
      <c r="H11" s="57">
        <f t="shared" si="4"/>
        <v>0</v>
      </c>
      <c r="I11" s="57">
        <f t="shared" si="4"/>
        <v>0</v>
      </c>
      <c r="J11" s="57">
        <f t="shared" ref="J11" si="5">J8+J7+J6+J5+J9+J10</f>
        <v>0</v>
      </c>
      <c r="K11" s="57">
        <f t="shared" ref="K11" si="6">K8+K7+K6+K5+K9+K10</f>
        <v>0</v>
      </c>
      <c r="L11" s="57">
        <f t="shared" ref="L11:M11" si="7">L8+L7+L6+L5+L9+L10</f>
        <v>0</v>
      </c>
      <c r="M11" s="57">
        <f t="shared" si="7"/>
        <v>0</v>
      </c>
      <c r="N11" s="57">
        <f t="shared" ref="N11" si="8">N8+N7+N6+N5+N9+N10</f>
        <v>0</v>
      </c>
      <c r="O11" s="57">
        <f t="shared" ref="O11" si="9">O8+O7+O6+O5+O9+O10</f>
        <v>0</v>
      </c>
      <c r="P11" s="57">
        <f t="shared" ref="P11:Q11" si="10">P8+P7+P6+P5+P9+P10</f>
        <v>0</v>
      </c>
      <c r="Q11" s="57">
        <f t="shared" si="10"/>
        <v>0</v>
      </c>
      <c r="R11" s="57">
        <f t="shared" ref="R11" si="11">R8+R7+R6+R5+R9+R10</f>
        <v>0</v>
      </c>
      <c r="S11" s="57">
        <f t="shared" ref="S11" si="12">S8+S7+S6+S5+S9+S10</f>
        <v>8664360.0999999996</v>
      </c>
      <c r="T11" s="57">
        <f>T8+T7+T6+T5+T9+T10</f>
        <v>5904038.1600000001</v>
      </c>
      <c r="U11" s="57">
        <f t="shared" ref="U11" si="13">U8+U7+U6+U5+U9+U10</f>
        <v>10067367.73</v>
      </c>
      <c r="V11" s="57">
        <f t="shared" ref="V11" si="14">V8+V7+V6+V5+V9+V10</f>
        <v>5957932.7000000002</v>
      </c>
      <c r="W11" s="57">
        <f>W8+W7+W6+W5+W9+W10</f>
        <v>10515169.449999999</v>
      </c>
      <c r="X11" s="57">
        <f t="shared" ref="X11" si="15">X8+X7+X6+X5+X9+X10</f>
        <v>6271188.2400000002</v>
      </c>
      <c r="Y11" s="57">
        <f t="shared" ref="Y11" si="16">Y8+Y7+Y6+Y5+Y9+Y10</f>
        <v>21614620.34</v>
      </c>
      <c r="Z11" s="57">
        <f t="shared" ref="Z11" si="17">Z8+Z7+Z6+Z5+Z9+Z10</f>
        <v>16745923.049999999</v>
      </c>
      <c r="AA11" s="57">
        <f t="shared" ref="AA11" si="18">AA8+AA7+AA6+AA5+AA9+AA10</f>
        <v>22145635.200000003</v>
      </c>
      <c r="AB11" s="57">
        <f t="shared" ref="AB11" si="19">AB8+AB7+AB6+AB5+AB9+AB10</f>
        <v>19710956.440000001</v>
      </c>
      <c r="AC11" s="57">
        <f t="shared" ref="AC11" si="20">AC8+AC7+AC6+AC5+AC9+AC10</f>
        <v>27044932.609999999</v>
      </c>
      <c r="AD11" s="57">
        <f t="shared" ref="AD11" si="21">AD8+AD7+AD6+AD5+AD9+AD10</f>
        <v>25117813.350000001</v>
      </c>
      <c r="AE11" s="57">
        <f t="shared" ref="AE11" si="22">AE8+AE7+AE6+AE5+AE9+AE10</f>
        <v>27293730.259999998</v>
      </c>
      <c r="AF11" s="57">
        <f t="shared" ref="AF11" si="23">AF8+AF7+AF6+AF5+AF9+AF10</f>
        <v>26838491.199999996</v>
      </c>
      <c r="AG11" s="57">
        <f t="shared" ref="AG11" si="24">AG8+AG7+AG6+AG5+AG9+AG10</f>
        <v>38792875.119999997</v>
      </c>
      <c r="AH11" s="57">
        <f t="shared" ref="AH11" si="25">AH8+AH7+AH6+AH5+AH9+AH10</f>
        <v>38599989.579999998</v>
      </c>
      <c r="AI11" s="57">
        <f t="shared" ref="AI11" si="26">AI8+AI7+AI6+AI5+AI9+AI10</f>
        <v>49664122.18</v>
      </c>
      <c r="AJ11" s="57">
        <f>AJ8+AJ7+AJ6+AJ5+AJ9+AJ10</f>
        <v>61662529.75</v>
      </c>
      <c r="AK11" s="57">
        <f t="shared" ref="AK11" si="27">AK8+AK7+AK6+AK5+AK9+AK10</f>
        <v>59030168.489999995</v>
      </c>
      <c r="AL11" s="57">
        <f t="shared" ref="AL11" si="28">AL8+AL7+AL6+AL5+AL9+AL10</f>
        <v>53090490.670000002</v>
      </c>
      <c r="AM11" s="57">
        <f t="shared" ref="AM11" si="29">AM8+AM7+AM6+AM5+AM9+AM10</f>
        <v>60478427.859999999</v>
      </c>
      <c r="AN11" s="57">
        <f t="shared" ref="AN11" si="30">AN8+AN7+AN6+AN5+AN9+AN10</f>
        <v>56703258.453000009</v>
      </c>
      <c r="AO11" s="57">
        <f t="shared" ref="AO11" si="31">AO8+AO7+AO6+AO5+AO9+AO10</f>
        <v>61968040</v>
      </c>
      <c r="AP11" s="57">
        <f t="shared" ref="AP11" si="32">AP8+AP7+AP6+AP5+AP9+AP10</f>
        <v>61440556.199999996</v>
      </c>
      <c r="AQ11" s="57">
        <f t="shared" ref="AQ11" si="33">AQ8+AQ7+AQ6+AQ5+AQ9+AQ10</f>
        <v>64807955.079999998</v>
      </c>
      <c r="AR11" s="57">
        <f t="shared" ref="AR11" si="34">AR8+AR7+AR6+AR5+AR9+AR10</f>
        <v>60940614.920000002</v>
      </c>
      <c r="AS11" s="57">
        <f t="shared" ref="AS11" si="35">AS8+AS7+AS6+AS5+AS9+AS10</f>
        <v>47700867.419999994</v>
      </c>
      <c r="AT11" s="57">
        <f t="shared" ref="AT11" si="36">AT8+AT7+AT6+AT5+AT9+AT10</f>
        <v>13612914.890000001</v>
      </c>
      <c r="AU11" s="57">
        <f t="shared" ref="AU11" si="37">AU8+AU7+AU6+AU5+AU9+AU10</f>
        <v>505892.06999999995</v>
      </c>
      <c r="AV11" s="57">
        <f t="shared" ref="AV11" si="38">AV8+AV7+AV6+AV5+AV9+AV10</f>
        <v>3822525.9000000064</v>
      </c>
      <c r="AW11" s="57">
        <f t="shared" ref="AW11" si="39">AW8+AW7+AW6+AW5+AW9+AW10</f>
        <v>216294.91999999998</v>
      </c>
      <c r="AX11" s="57">
        <f t="shared" ref="AX11" si="40">AX8+AX7+AX6+AX5+AX9+AX10</f>
        <v>149394.37</v>
      </c>
      <c r="AY11" s="57">
        <f>AY8+AY7+AY6+AY5+AY9+AY10</f>
        <v>66007889.570000008</v>
      </c>
      <c r="AZ11" s="57">
        <f t="shared" ref="AZ11" si="41">AZ8+AZ7+AZ6+AZ5+AZ9+AZ10</f>
        <v>17085378.240000002</v>
      </c>
      <c r="BA11" s="57">
        <f t="shared" ref="BA11" si="42">BA8+BA7+BA6+BA5+BA9+BA10</f>
        <v>12872335.549999999</v>
      </c>
      <c r="BB11" s="57">
        <f>BB8+BB7+BB6+BB5+BB9+BB10</f>
        <v>138711.59000000003</v>
      </c>
      <c r="BC11" s="57">
        <f t="shared" ref="BC11" si="43">BC8+BC7+BC6+BC5+BC9+BC10</f>
        <v>67843.850000000006</v>
      </c>
      <c r="BD11" s="57">
        <f t="shared" ref="BD11" si="44">BD8+BD7+BD6+BD5+BD9+BD10</f>
        <v>79422.459999999992</v>
      </c>
      <c r="BE11" s="57">
        <f t="shared" ref="BE11" si="45">BE8+BE7+BE6+BE5+BE9+BE10</f>
        <v>75579.61</v>
      </c>
      <c r="BF11" s="57">
        <f>BF8+BF7+BF6+BF5+BF9+BF10</f>
        <v>51272280.290000007</v>
      </c>
      <c r="BG11" s="57">
        <f>BG8+BG7+BG6+BG5+BG9+BG10</f>
        <v>47575504.349999994</v>
      </c>
      <c r="BH11" s="57">
        <f>BH8+BH7+BH6+BH5+BH9+BH10</f>
        <v>14963529.84</v>
      </c>
      <c r="BI11" s="57">
        <f t="shared" ref="BI11" si="46">BI8+BI7+BI6+BI5+BI9+BI10</f>
        <v>947426.63</v>
      </c>
      <c r="BJ11" s="57">
        <f t="shared" ref="BJ11" si="47">BJ8+BJ7+BJ6+BJ5+BJ9+BJ10</f>
        <v>3284207.7599999844</v>
      </c>
      <c r="BK11" s="57">
        <f t="shared" ref="BK11" si="48">BK8+BK7+BK6+BK5+BK9+BK10</f>
        <v>152909.23000000001</v>
      </c>
      <c r="BL11" s="57">
        <f t="shared" ref="BL11" si="49">BL8+BL7+BL6+BL5+BL9+BL10</f>
        <v>105356.64</v>
      </c>
      <c r="BM11" s="57">
        <f>BM8+BM7+BM6+BM5+BM9+BM10</f>
        <v>67028934.449999981</v>
      </c>
      <c r="BN11" s="57">
        <f>BN8+BN7+BN6+BN5+BN9+BN10</f>
        <v>46525423.839999996</v>
      </c>
      <c r="BO11" s="57">
        <f>BO8+BO7+BO6+BO5+BO9+BO10</f>
        <v>14078114.530000003</v>
      </c>
      <c r="BP11" s="57">
        <f>BP8+BP7+BP6+BP5+BP9+BP10</f>
        <v>1112695.4200000002</v>
      </c>
      <c r="BQ11" s="57">
        <f t="shared" ref="BQ11" si="50">BQ8+BQ7+BQ6+BQ5+BQ9+BQ10</f>
        <v>2795766.099999994</v>
      </c>
      <c r="BR11" s="57">
        <f t="shared" ref="BR11" si="51">BR8+BR7+BR6+BR5+BR9+BR10</f>
        <v>14447.28</v>
      </c>
      <c r="BS11" s="57">
        <f t="shared" ref="BS11" si="52">BS8+BS7+BS6+BS5+BS9+BS10</f>
        <v>119817.13</v>
      </c>
      <c r="BT11" s="57">
        <f>BT8+BT7+BT6+BT5+BT9+BT10</f>
        <v>64646264.299999982</v>
      </c>
      <c r="BU11" s="57">
        <f t="shared" ref="BU11:CN11" si="53">BU8+BU7+BU6+BU5+BU9+BU10</f>
        <v>53931439.890000008</v>
      </c>
      <c r="BV11" s="57">
        <f t="shared" si="53"/>
        <v>14330720.01</v>
      </c>
      <c r="BW11" s="57">
        <f t="shared" si="53"/>
        <v>1296250.7799999998</v>
      </c>
      <c r="BX11" s="57">
        <f>BX8+BX7+BX6+BX5+BX9+BX10</f>
        <v>4387496.8400000008</v>
      </c>
      <c r="BY11" s="57">
        <f t="shared" si="53"/>
        <v>189683.7</v>
      </c>
      <c r="BZ11" s="57">
        <f t="shared" si="53"/>
        <v>132474.56</v>
      </c>
      <c r="CA11" s="57">
        <f t="shared" si="53"/>
        <v>74268065.780000001</v>
      </c>
      <c r="CB11" s="57">
        <f t="shared" si="53"/>
        <v>54850750.979999997</v>
      </c>
      <c r="CC11" s="57">
        <f t="shared" si="53"/>
        <v>14841181.349999998</v>
      </c>
      <c r="CD11" s="57">
        <f t="shared" si="53"/>
        <v>1226550.02</v>
      </c>
      <c r="CE11" s="57">
        <f t="shared" si="53"/>
        <v>3748497.1700000018</v>
      </c>
      <c r="CF11" s="57">
        <f t="shared" si="53"/>
        <v>51144.1</v>
      </c>
      <c r="CG11" s="57">
        <f t="shared" si="53"/>
        <v>109519.98999999999</v>
      </c>
      <c r="CH11" s="57">
        <f t="shared" si="53"/>
        <v>74827643.609999999</v>
      </c>
      <c r="CI11" s="57">
        <f t="shared" si="53"/>
        <v>0</v>
      </c>
      <c r="CJ11" s="57">
        <f t="shared" si="53"/>
        <v>0</v>
      </c>
      <c r="CK11" s="57">
        <f t="shared" si="53"/>
        <v>0</v>
      </c>
      <c r="CL11" s="57">
        <f t="shared" si="53"/>
        <v>0</v>
      </c>
      <c r="CM11" s="57">
        <f t="shared" si="53"/>
        <v>0</v>
      </c>
      <c r="CN11" s="57">
        <f t="shared" si="53"/>
        <v>0</v>
      </c>
      <c r="CO11" s="57">
        <f>SUM(CO5:CO10)</f>
        <v>97191198.870000005</v>
      </c>
      <c r="CP11" s="57">
        <f t="shared" ref="CP11:CU11" si="54">SUM(CP5:CP10)</f>
        <v>0</v>
      </c>
      <c r="CQ11" s="57">
        <f t="shared" si="54"/>
        <v>0</v>
      </c>
      <c r="CR11" s="57">
        <f t="shared" si="54"/>
        <v>0</v>
      </c>
      <c r="CS11" s="57">
        <f t="shared" si="54"/>
        <v>0</v>
      </c>
      <c r="CT11" s="57">
        <f t="shared" si="54"/>
        <v>0</v>
      </c>
      <c r="CU11" s="57">
        <f t="shared" si="54"/>
        <v>0</v>
      </c>
      <c r="CV11" s="57">
        <f>SUM(CV5:CV10)</f>
        <v>81734029.519999996</v>
      </c>
      <c r="CW11" s="57"/>
      <c r="CX11" s="57"/>
      <c r="CY11" s="57"/>
      <c r="CZ11" s="57"/>
      <c r="DA11" s="57"/>
      <c r="DB11" s="57"/>
      <c r="DC11" s="57">
        <f>SUM(DC5:DC10)</f>
        <v>111532019.46999985</v>
      </c>
      <c r="DD11" s="57"/>
      <c r="DE11" s="57"/>
      <c r="DF11" s="57"/>
      <c r="DG11" s="57"/>
      <c r="DH11" s="57"/>
      <c r="DI11" s="57"/>
      <c r="DJ11" s="57">
        <f>SUM(DJ5:DJ10)</f>
        <v>87421706.819999978</v>
      </c>
      <c r="DK11" s="57"/>
      <c r="DL11" s="57"/>
      <c r="DM11" s="57"/>
      <c r="DN11" s="57"/>
      <c r="DO11" s="57"/>
      <c r="DP11" s="57"/>
      <c r="DQ11" s="57">
        <f t="shared" ref="DQ11:EL11" si="55">DQ8+DQ7+DQ6+DQ5+DQ9+DQ10</f>
        <v>115635815.16000034</v>
      </c>
      <c r="DR11" s="57">
        <f t="shared" si="55"/>
        <v>0</v>
      </c>
      <c r="DS11" s="57">
        <f t="shared" si="55"/>
        <v>0</v>
      </c>
      <c r="DT11" s="57">
        <f t="shared" si="55"/>
        <v>0</v>
      </c>
      <c r="DU11" s="57">
        <f t="shared" si="55"/>
        <v>0</v>
      </c>
      <c r="DV11" s="57">
        <f t="shared" si="55"/>
        <v>0</v>
      </c>
      <c r="DW11" s="57">
        <f t="shared" si="55"/>
        <v>0</v>
      </c>
      <c r="DX11" s="57">
        <f t="shared" si="55"/>
        <v>102727213.86</v>
      </c>
      <c r="DY11" s="57">
        <f t="shared" si="55"/>
        <v>0</v>
      </c>
      <c r="DZ11" s="57">
        <f t="shared" si="55"/>
        <v>0</v>
      </c>
      <c r="EA11" s="57">
        <f t="shared" si="55"/>
        <v>0</v>
      </c>
      <c r="EB11" s="57">
        <f t="shared" si="55"/>
        <v>0</v>
      </c>
      <c r="EC11" s="57">
        <f t="shared" si="55"/>
        <v>0</v>
      </c>
      <c r="ED11" s="57">
        <f t="shared" si="55"/>
        <v>0</v>
      </c>
      <c r="EE11" s="57">
        <f t="shared" si="55"/>
        <v>138703404.08999956</v>
      </c>
      <c r="EF11" s="57">
        <f t="shared" si="55"/>
        <v>0</v>
      </c>
      <c r="EG11" s="57">
        <f t="shared" si="55"/>
        <v>0</v>
      </c>
      <c r="EH11" s="57">
        <f t="shared" si="55"/>
        <v>0</v>
      </c>
      <c r="EI11" s="57">
        <f t="shared" si="55"/>
        <v>0</v>
      </c>
      <c r="EJ11" s="57">
        <f t="shared" si="55"/>
        <v>0</v>
      </c>
      <c r="EK11" s="57">
        <f t="shared" si="55"/>
        <v>0</v>
      </c>
      <c r="EL11" s="57">
        <f t="shared" si="55"/>
        <v>124485643.24000001</v>
      </c>
      <c r="EM11" s="57">
        <f>EM8+EM7+EM6+EM5+EM9+EM10</f>
        <v>1132454731.8099997</v>
      </c>
      <c r="EN11" s="57">
        <f>EN8+EN7+EN6+EN5+EN9+EN10</f>
        <v>1026098564.353</v>
      </c>
      <c r="EO11" s="63"/>
      <c r="EQ11" s="172"/>
      <c r="ER11" s="36"/>
      <c r="ES11" s="36"/>
      <c r="ET11" s="36"/>
    </row>
    <row r="12" spans="1:150" s="5" customFormat="1" ht="12.75" x14ac:dyDescent="0.2">
      <c r="A12" s="200" t="s">
        <v>133</v>
      </c>
      <c r="B12" s="4" t="s">
        <v>101</v>
      </c>
      <c r="C12" s="1" t="s">
        <v>28</v>
      </c>
      <c r="D12" s="7">
        <v>35370</v>
      </c>
      <c r="E12" s="65">
        <v>268410</v>
      </c>
      <c r="F12" s="59">
        <v>268410</v>
      </c>
      <c r="G12" s="59">
        <v>2470181.7799999998</v>
      </c>
      <c r="H12" s="59">
        <v>2214215.56</v>
      </c>
      <c r="I12" s="59">
        <v>3519212.05</v>
      </c>
      <c r="J12" s="59">
        <v>3511912.83</v>
      </c>
      <c r="K12" s="59">
        <v>5066229.42</v>
      </c>
      <c r="L12" s="59">
        <v>4731586.53</v>
      </c>
      <c r="M12" s="59">
        <v>7752867.96</v>
      </c>
      <c r="N12" s="59">
        <v>6276712.0999999996</v>
      </c>
      <c r="O12" s="59">
        <v>9707824.8599999994</v>
      </c>
      <c r="P12" s="59">
        <v>7952960.5700000003</v>
      </c>
      <c r="Q12" s="59">
        <v>10032037.59</v>
      </c>
      <c r="R12" s="59">
        <v>10649416.25</v>
      </c>
      <c r="S12" s="59">
        <v>11747468.17</v>
      </c>
      <c r="T12" s="59">
        <v>8290738.4400000004</v>
      </c>
      <c r="U12" s="59">
        <v>19471302.629999999</v>
      </c>
      <c r="V12" s="59">
        <v>19719019.050000001</v>
      </c>
      <c r="W12" s="59">
        <v>21984644.32</v>
      </c>
      <c r="X12" s="59">
        <v>21030986.870000001</v>
      </c>
      <c r="Y12" s="59">
        <v>27370337.57</v>
      </c>
      <c r="Z12" s="59">
        <v>25213821.579999998</v>
      </c>
      <c r="AA12" s="59">
        <v>28795594</v>
      </c>
      <c r="AB12" s="59">
        <v>27121635.609999999</v>
      </c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155">
        <f>E12+G12+I12+K12+M12+O12+Q12+S12+U12+W12+Y12+AA12+AC12+AE12+AG12+AI12+AK12+AM12+AO12+AQ12+AY12+BM12+CA12+CO12+DC12+DQ12+EE12</f>
        <v>148186110.34999999</v>
      </c>
      <c r="EN12" s="155">
        <f>F12+H12+J12+L12+N12+P12+R12+T12+V12+X12+Z12+AB12+AD12+AF12+AH12+AJ12+AL12+AN12+AP12+AR12+BF12+BT12+CH12+CV12+DJ12+DX12+EL12</f>
        <v>136981415.38999999</v>
      </c>
      <c r="EO12" s="193" t="s">
        <v>29</v>
      </c>
      <c r="EQ12" s="36"/>
      <c r="ER12" s="36"/>
      <c r="ES12" s="36"/>
      <c r="ET12" s="36"/>
    </row>
    <row r="13" spans="1:150" s="5" customFormat="1" ht="12.75" x14ac:dyDescent="0.2">
      <c r="A13" s="201"/>
      <c r="B13" s="4" t="s">
        <v>82</v>
      </c>
      <c r="C13" s="66" t="s">
        <v>28</v>
      </c>
      <c r="D13" s="67">
        <v>35370</v>
      </c>
      <c r="E13" s="75" t="s">
        <v>11</v>
      </c>
      <c r="F13" s="75" t="s">
        <v>11</v>
      </c>
      <c r="G13" s="75" t="s">
        <v>11</v>
      </c>
      <c r="H13" s="75" t="s">
        <v>11</v>
      </c>
      <c r="I13" s="75" t="s">
        <v>11</v>
      </c>
      <c r="J13" s="75" t="s">
        <v>11</v>
      </c>
      <c r="K13" s="75" t="s">
        <v>11</v>
      </c>
      <c r="L13" s="75" t="s">
        <v>11</v>
      </c>
      <c r="M13" s="75" t="s">
        <v>11</v>
      </c>
      <c r="N13" s="75" t="s">
        <v>11</v>
      </c>
      <c r="O13" s="75" t="s">
        <v>11</v>
      </c>
      <c r="P13" s="75" t="s">
        <v>11</v>
      </c>
      <c r="Q13" s="75" t="s">
        <v>11</v>
      </c>
      <c r="R13" s="75" t="s">
        <v>11</v>
      </c>
      <c r="S13" s="75" t="s">
        <v>11</v>
      </c>
      <c r="T13" s="75" t="s">
        <v>11</v>
      </c>
      <c r="U13" s="75" t="s">
        <v>11</v>
      </c>
      <c r="V13" s="75" t="s">
        <v>11</v>
      </c>
      <c r="W13" s="75" t="s">
        <v>11</v>
      </c>
      <c r="X13" s="75" t="s">
        <v>11</v>
      </c>
      <c r="Y13" s="75" t="s">
        <v>11</v>
      </c>
      <c r="Z13" s="75" t="s">
        <v>11</v>
      </c>
      <c r="AA13" s="75" t="s">
        <v>11</v>
      </c>
      <c r="AB13" s="75" t="s">
        <v>11</v>
      </c>
      <c r="AC13" s="68">
        <v>141617.28</v>
      </c>
      <c r="AD13" s="68">
        <v>102545.31000000001</v>
      </c>
      <c r="AE13" s="68">
        <v>133265.78</v>
      </c>
      <c r="AF13" s="68">
        <v>84163.55</v>
      </c>
      <c r="AG13" s="68">
        <v>179448.26</v>
      </c>
      <c r="AH13" s="68">
        <v>163012.50999999998</v>
      </c>
      <c r="AI13" s="68">
        <v>172341.43</v>
      </c>
      <c r="AJ13" s="68">
        <v>190253.64999999997</v>
      </c>
      <c r="AK13" s="68">
        <v>1701561.13</v>
      </c>
      <c r="AL13" s="68">
        <v>198597.61000000002</v>
      </c>
      <c r="AM13" s="68">
        <v>154161</v>
      </c>
      <c r="AN13" s="69">
        <v>169097.99000000002</v>
      </c>
      <c r="AO13" s="72">
        <v>146017.42000000001</v>
      </c>
      <c r="AP13" s="72">
        <v>173997.18</v>
      </c>
      <c r="AQ13" s="72">
        <v>164989.74</v>
      </c>
      <c r="AR13" s="72">
        <v>163975.53</v>
      </c>
      <c r="AS13" s="110">
        <v>178284.7</v>
      </c>
      <c r="AT13" s="110">
        <v>4231</v>
      </c>
      <c r="AU13" s="77"/>
      <c r="AV13" s="110">
        <v>0</v>
      </c>
      <c r="AW13" s="77"/>
      <c r="AX13" s="110">
        <v>5820.58</v>
      </c>
      <c r="AY13" s="10">
        <f t="shared" ref="AY13:AY25" si="56">SUM(AS13:AX13)</f>
        <v>188336.28</v>
      </c>
      <c r="AZ13" s="110">
        <v>178284.7</v>
      </c>
      <c r="BA13" s="110">
        <v>3573.06</v>
      </c>
      <c r="BB13" s="77"/>
      <c r="BC13" s="110">
        <v>0</v>
      </c>
      <c r="BD13" s="77"/>
      <c r="BE13" s="110">
        <v>5820.58</v>
      </c>
      <c r="BF13" s="10">
        <f t="shared" ref="BF13:BF25" si="57">SUM(AZ13:BE13)</f>
        <v>187678.34</v>
      </c>
      <c r="BG13" s="10">
        <v>234584</v>
      </c>
      <c r="BH13" s="10">
        <v>5888</v>
      </c>
      <c r="BI13" s="10">
        <v>0</v>
      </c>
      <c r="BJ13" s="10">
        <v>2044</v>
      </c>
      <c r="BK13" s="10">
        <v>0</v>
      </c>
      <c r="BL13" s="10">
        <v>128</v>
      </c>
      <c r="BM13" s="79">
        <f>SUM(BG13:BL13)</f>
        <v>242644</v>
      </c>
      <c r="BN13" s="10">
        <v>234584</v>
      </c>
      <c r="BO13" s="10">
        <v>4783</v>
      </c>
      <c r="BP13" s="10">
        <v>0</v>
      </c>
      <c r="BQ13" s="10">
        <v>2044</v>
      </c>
      <c r="BR13" s="10">
        <v>0</v>
      </c>
      <c r="BS13" s="10">
        <v>128</v>
      </c>
      <c r="BT13" s="137">
        <f>SUM(BN13:BS13)</f>
        <v>241539</v>
      </c>
      <c r="BU13" s="137">
        <v>221312.27</v>
      </c>
      <c r="BV13" s="137">
        <v>3347.2</v>
      </c>
      <c r="BW13" s="79">
        <v>0</v>
      </c>
      <c r="BX13" s="137">
        <v>3077.6</v>
      </c>
      <c r="BY13" s="79">
        <v>0</v>
      </c>
      <c r="BZ13" s="79">
        <v>5600.81</v>
      </c>
      <c r="CA13" s="10">
        <f>SUM(BU13:BZ13)</f>
        <v>233337.88</v>
      </c>
      <c r="CB13" s="137">
        <v>221312.27</v>
      </c>
      <c r="CC13" s="137">
        <v>2664.63</v>
      </c>
      <c r="CD13" s="79">
        <v>0</v>
      </c>
      <c r="CE13" s="137">
        <v>3077.6</v>
      </c>
      <c r="CF13" s="79">
        <v>0</v>
      </c>
      <c r="CG13" s="79">
        <v>5599.04</v>
      </c>
      <c r="CH13" s="10">
        <f>SUM(CB13:CG13)</f>
        <v>232653.54</v>
      </c>
      <c r="CI13" s="10">
        <f>[26]Planilha1!$E$50</f>
        <v>246701.01</v>
      </c>
      <c r="CJ13" s="10">
        <f>[26]Planilha1!$E$54</f>
        <v>4031.07</v>
      </c>
      <c r="CK13" s="10">
        <v>0</v>
      </c>
      <c r="CL13" s="10">
        <f>[26]Planilha1!$E$52+[26]Planilha1!$E$55</f>
        <v>2557.91</v>
      </c>
      <c r="CM13" s="10">
        <v>0</v>
      </c>
      <c r="CN13" s="10">
        <f>[26]Planilha1!$E$51+[26]Planilha1!$E$53+[26]Planilha1!$E$56</f>
        <v>10049.58</v>
      </c>
      <c r="CO13" s="10">
        <f>SUM(CI13:CN13)</f>
        <v>263339.57</v>
      </c>
      <c r="CP13" s="10">
        <f>[26]Planilha1!$F$50</f>
        <v>246701.01</v>
      </c>
      <c r="CQ13" s="10">
        <f>[26]Planilha1!$F$54</f>
        <v>3660.02</v>
      </c>
      <c r="CR13" s="10">
        <v>0</v>
      </c>
      <c r="CS13" s="10">
        <f>[26]Planilha1!$F$52+[26]Planilha1!$F$55</f>
        <v>2510.79</v>
      </c>
      <c r="CT13" s="10">
        <v>0</v>
      </c>
      <c r="CU13" s="10">
        <f>[26]Planilha1!$F$51+[26]Planilha1!$F$53+[26]Planilha1!$F$56</f>
        <v>9395.9699999999993</v>
      </c>
      <c r="CV13" s="10">
        <f>SUM(CP13:CU13)</f>
        <v>262267.78999999998</v>
      </c>
      <c r="CW13" s="10">
        <f>[26]Planilha1!$C$50</f>
        <v>259468.69</v>
      </c>
      <c r="CX13" s="10">
        <f>[26]Planilha1!$C$54</f>
        <v>7377.1</v>
      </c>
      <c r="CY13" s="10">
        <v>0</v>
      </c>
      <c r="CZ13" s="10">
        <f>[26]Planilha1!$C$52+[26]Planilha1!$C$55</f>
        <v>4768.63</v>
      </c>
      <c r="DA13" s="10">
        <v>0</v>
      </c>
      <c r="DB13" s="10">
        <f>[26]Planilha1!$C$51+[26]Planilha1!$C$53+[26]Planilha1!$C$56</f>
        <v>12993.08</v>
      </c>
      <c r="DC13" s="10">
        <f>SUM(CW13:DB13)</f>
        <v>284607.5</v>
      </c>
      <c r="DD13" s="10">
        <f>[26]Planilha1!$D$50</f>
        <v>253227.15</v>
      </c>
      <c r="DE13" s="10">
        <f>[26]Planilha1!$D$54</f>
        <v>6404.87</v>
      </c>
      <c r="DF13" s="10">
        <v>0</v>
      </c>
      <c r="DG13" s="10">
        <f>[26]Planilha1!$D$52+[26]Planilha1!$D$55</f>
        <v>4748.28</v>
      </c>
      <c r="DH13" s="10">
        <v>0</v>
      </c>
      <c r="DI13" s="10">
        <v>11733.4</v>
      </c>
      <c r="DJ13" s="10">
        <f>SUM(DD13:DI13)</f>
        <v>276113.7</v>
      </c>
      <c r="DK13" s="10">
        <v>283259.25</v>
      </c>
      <c r="DL13" s="10">
        <v>5820.34</v>
      </c>
      <c r="DM13" s="10"/>
      <c r="DN13" s="10">
        <v>2353.23</v>
      </c>
      <c r="DO13" s="10">
        <v>0</v>
      </c>
      <c r="DP13" s="10">
        <v>25462.21</v>
      </c>
      <c r="DQ13" s="10">
        <f>SUM(DK13:DP13)</f>
        <v>316895.03000000003</v>
      </c>
      <c r="DR13" s="10">
        <v>283259.25</v>
      </c>
      <c r="DS13" s="10">
        <v>5685.68</v>
      </c>
      <c r="DT13" s="10">
        <v>0</v>
      </c>
      <c r="DU13" s="10">
        <v>2353.23</v>
      </c>
      <c r="DV13" s="10">
        <v>0</v>
      </c>
      <c r="DW13" s="10">
        <v>23040.77</v>
      </c>
      <c r="DX13" s="10">
        <f>SUM(DR13:DW13)</f>
        <v>314338.93</v>
      </c>
      <c r="DY13" s="10">
        <v>370176.97</v>
      </c>
      <c r="DZ13" s="10">
        <v>5360.24</v>
      </c>
      <c r="EA13" s="10">
        <v>0</v>
      </c>
      <c r="EB13" s="10">
        <v>2434.8200000000002</v>
      </c>
      <c r="EC13" s="10">
        <v>0</v>
      </c>
      <c r="ED13" s="10">
        <v>23748.17</v>
      </c>
      <c r="EE13" s="10">
        <f>SUM(DY13:ED13)</f>
        <v>401720.19999999995</v>
      </c>
      <c r="EF13" s="10">
        <v>370176.97</v>
      </c>
      <c r="EG13" s="10">
        <v>5360.24</v>
      </c>
      <c r="EH13" s="10">
        <v>0</v>
      </c>
      <c r="EI13" s="10">
        <v>2434.8200000000002</v>
      </c>
      <c r="EJ13" s="10">
        <v>0</v>
      </c>
      <c r="EK13" s="10">
        <v>17949.25</v>
      </c>
      <c r="EL13" s="10">
        <f>SUM(EF13:EK13)</f>
        <v>395921.27999999997</v>
      </c>
      <c r="EM13" s="156">
        <f>AC13+AE13+AG13+AI13+AK13+AM13+AO13+AQ13+AY13+BM13+CA13+CO13+DC13+DQ13+EE13</f>
        <v>4724282.5</v>
      </c>
      <c r="EN13" s="155">
        <f>AD13+AF13+AH13+AJ13+AL13+AN13+AP13+AR13+BF13+BT13+CH13+CV13+DJ13+DX13+EL13</f>
        <v>3156155.91</v>
      </c>
      <c r="EO13" s="194"/>
      <c r="EQ13" s="36"/>
      <c r="ER13" s="36"/>
      <c r="ES13" s="36"/>
      <c r="ET13" s="36"/>
    </row>
    <row r="14" spans="1:150" s="5" customFormat="1" ht="12.75" x14ac:dyDescent="0.2">
      <c r="A14" s="201"/>
      <c r="B14" s="4" t="s">
        <v>83</v>
      </c>
      <c r="C14" s="66" t="s">
        <v>28</v>
      </c>
      <c r="D14" s="67">
        <f t="shared" ref="D14:D25" si="58">D13</f>
        <v>35370</v>
      </c>
      <c r="E14" s="75" t="s">
        <v>11</v>
      </c>
      <c r="F14" s="75" t="s">
        <v>11</v>
      </c>
      <c r="G14" s="75" t="s">
        <v>11</v>
      </c>
      <c r="H14" s="75" t="s">
        <v>11</v>
      </c>
      <c r="I14" s="75" t="s">
        <v>11</v>
      </c>
      <c r="J14" s="75" t="s">
        <v>11</v>
      </c>
      <c r="K14" s="75" t="s">
        <v>11</v>
      </c>
      <c r="L14" s="75" t="s">
        <v>11</v>
      </c>
      <c r="M14" s="75" t="s">
        <v>11</v>
      </c>
      <c r="N14" s="75" t="s">
        <v>11</v>
      </c>
      <c r="O14" s="75" t="s">
        <v>11</v>
      </c>
      <c r="P14" s="75" t="s">
        <v>11</v>
      </c>
      <c r="Q14" s="75" t="s">
        <v>11</v>
      </c>
      <c r="R14" s="75" t="s">
        <v>11</v>
      </c>
      <c r="S14" s="75" t="s">
        <v>11</v>
      </c>
      <c r="T14" s="75" t="s">
        <v>11</v>
      </c>
      <c r="U14" s="75" t="s">
        <v>11</v>
      </c>
      <c r="V14" s="75" t="s">
        <v>11</v>
      </c>
      <c r="W14" s="75" t="s">
        <v>11</v>
      </c>
      <c r="X14" s="75" t="s">
        <v>11</v>
      </c>
      <c r="Y14" s="75" t="s">
        <v>11</v>
      </c>
      <c r="Z14" s="75" t="s">
        <v>11</v>
      </c>
      <c r="AA14" s="75" t="s">
        <v>11</v>
      </c>
      <c r="AB14" s="75" t="s">
        <v>11</v>
      </c>
      <c r="AC14" s="68">
        <v>1054064.45</v>
      </c>
      <c r="AD14" s="68">
        <v>838262.7899999998</v>
      </c>
      <c r="AE14" s="68">
        <v>903280.33</v>
      </c>
      <c r="AF14" s="68">
        <v>760824.92</v>
      </c>
      <c r="AG14" s="68">
        <v>1178116.3400000001</v>
      </c>
      <c r="AH14" s="68">
        <v>1236873.92</v>
      </c>
      <c r="AI14" s="68">
        <v>1149394.0900000001</v>
      </c>
      <c r="AJ14" s="68">
        <v>1282637.6100000003</v>
      </c>
      <c r="AK14" s="68">
        <v>1520107.98</v>
      </c>
      <c r="AL14" s="68">
        <v>1367917.2200000002</v>
      </c>
      <c r="AM14" s="68">
        <v>1708911</v>
      </c>
      <c r="AN14" s="69">
        <v>1645635.0700000005</v>
      </c>
      <c r="AO14" s="72">
        <v>1945603.7999999998</v>
      </c>
      <c r="AP14" s="72">
        <v>2001393.15</v>
      </c>
      <c r="AQ14" s="72">
        <v>2007860.6</v>
      </c>
      <c r="AR14" s="72">
        <v>1897370.96</v>
      </c>
      <c r="AS14" s="110">
        <v>1820052.14</v>
      </c>
      <c r="AT14" s="110">
        <v>364117.37</v>
      </c>
      <c r="AU14" s="77"/>
      <c r="AV14" s="110">
        <v>4545.4399999999996</v>
      </c>
      <c r="AW14" s="77"/>
      <c r="AX14" s="110">
        <v>55486.44</v>
      </c>
      <c r="AY14" s="10">
        <f t="shared" si="56"/>
        <v>2244201.3899999997</v>
      </c>
      <c r="AZ14" s="110">
        <v>1697682.06</v>
      </c>
      <c r="BA14" s="110">
        <v>318255.52</v>
      </c>
      <c r="BB14" s="77"/>
      <c r="BC14" s="110">
        <v>4335.72</v>
      </c>
      <c r="BD14" s="77"/>
      <c r="BE14" s="110">
        <v>48608.95</v>
      </c>
      <c r="BF14" s="10">
        <f t="shared" si="57"/>
        <v>2068882.25</v>
      </c>
      <c r="BG14" s="10">
        <v>2046268</v>
      </c>
      <c r="BH14" s="10">
        <v>335595</v>
      </c>
      <c r="BI14" s="10">
        <v>0</v>
      </c>
      <c r="BJ14" s="10">
        <v>7744</v>
      </c>
      <c r="BK14" s="10">
        <v>0</v>
      </c>
      <c r="BL14" s="10">
        <v>58149</v>
      </c>
      <c r="BM14" s="79">
        <f t="shared" ref="BM14:BM25" si="59">SUM(BG14:BL14)</f>
        <v>2447756</v>
      </c>
      <c r="BN14" s="10">
        <v>2015636</v>
      </c>
      <c r="BO14" s="10">
        <v>315175</v>
      </c>
      <c r="BP14" s="10">
        <v>0</v>
      </c>
      <c r="BQ14" s="10">
        <v>7744</v>
      </c>
      <c r="BR14" s="10">
        <v>0</v>
      </c>
      <c r="BS14" s="10">
        <v>52709</v>
      </c>
      <c r="BT14" s="137">
        <f t="shared" ref="BT14:BT25" si="60">SUM(BN14:BS14)</f>
        <v>2391264</v>
      </c>
      <c r="BU14" s="137">
        <v>2167061.67</v>
      </c>
      <c r="BV14" s="137">
        <v>315228.74</v>
      </c>
      <c r="BW14" s="79">
        <v>0</v>
      </c>
      <c r="BX14" s="137">
        <v>3243.61</v>
      </c>
      <c r="BY14" s="79">
        <v>0</v>
      </c>
      <c r="BZ14" s="137">
        <v>119722.18000000001</v>
      </c>
      <c r="CA14" s="10">
        <f t="shared" ref="CA14:CA72" si="61">SUM(BU14:BZ14)</f>
        <v>2605256.2000000002</v>
      </c>
      <c r="CB14" s="137">
        <v>2143374.5</v>
      </c>
      <c r="CC14" s="137">
        <v>298748.61</v>
      </c>
      <c r="CD14" s="79">
        <v>0</v>
      </c>
      <c r="CE14" s="137">
        <v>3183.36</v>
      </c>
      <c r="CF14" s="79">
        <v>0</v>
      </c>
      <c r="CG14" s="137">
        <v>83391.520000000004</v>
      </c>
      <c r="CH14" s="10">
        <f t="shared" ref="CH14:CH25" si="62">SUM(CB14:CG14)</f>
        <v>2528697.9899999998</v>
      </c>
      <c r="CI14" s="10">
        <f>[26]Planilha1!$E$3</f>
        <v>2518184.2000000002</v>
      </c>
      <c r="CJ14" s="10">
        <f>[26]Planilha1!$E$7</f>
        <v>354247.83</v>
      </c>
      <c r="CK14" s="10">
        <v>0</v>
      </c>
      <c r="CL14" s="10">
        <f>[26]Planilha1!$E$5+[26]Planilha1!$E$8</f>
        <v>4917.3900000000003</v>
      </c>
      <c r="CM14" s="10">
        <v>0</v>
      </c>
      <c r="CN14" s="10">
        <f>[26]Planilha1!$E$4+[26]Planilha1!$E$6+[26]Planilha1!$E$9</f>
        <v>128341.88</v>
      </c>
      <c r="CO14" s="10">
        <f>SUM(CI14:CN14)</f>
        <v>3005691.3000000003</v>
      </c>
      <c r="CP14" s="10">
        <f>[26]Planilha1!$F$3</f>
        <v>2447190.54</v>
      </c>
      <c r="CQ14" s="10">
        <f>[26]Planilha1!$F$7</f>
        <v>332193.46000000002</v>
      </c>
      <c r="CR14" s="10">
        <v>0</v>
      </c>
      <c r="CS14" s="10">
        <f>[26]Planilha1!$F$5+[26]Planilha1!$F$8</f>
        <v>4286.3599999999997</v>
      </c>
      <c r="CT14" s="10">
        <v>0</v>
      </c>
      <c r="CU14" s="10">
        <f>[26]Planilha1!$F$4+[26]Planilha1!$F$6+[26]Planilha1!$F$9</f>
        <v>90385.11</v>
      </c>
      <c r="CV14" s="10">
        <f>SUM(CP14:CU14)</f>
        <v>2874055.4699999997</v>
      </c>
      <c r="CW14" s="10">
        <f>[26]Planilha1!$C$3</f>
        <v>2630331.2999999998</v>
      </c>
      <c r="CX14" s="10">
        <f>[26]Planilha1!$C$7</f>
        <v>465062.31</v>
      </c>
      <c r="CY14" s="10">
        <v>0</v>
      </c>
      <c r="CZ14" s="10">
        <f>[26]Planilha1!$C$5+[26]Planilha1!$C$8</f>
        <v>3645.29</v>
      </c>
      <c r="DA14" s="10">
        <v>0</v>
      </c>
      <c r="DB14" s="10">
        <f>[26]Planilha1!$C$4+[26]Planilha1!$C$6+[26]Planilha1!$C$9</f>
        <v>148247.58000000002</v>
      </c>
      <c r="DC14" s="10">
        <f t="shared" ref="DC14:DC25" si="63">SUM(CW14:DB14)</f>
        <v>3247286.48</v>
      </c>
      <c r="DD14" s="10">
        <v>2611475.9700000002</v>
      </c>
      <c r="DE14" s="10">
        <v>437877.36</v>
      </c>
      <c r="DF14" s="10">
        <v>0</v>
      </c>
      <c r="DG14" s="10">
        <v>3397.07</v>
      </c>
      <c r="DH14" s="10">
        <v>0</v>
      </c>
      <c r="DI14" s="10">
        <v>113673.46</v>
      </c>
      <c r="DJ14" s="10">
        <f>SUM(DD14:DI14)</f>
        <v>3166423.86</v>
      </c>
      <c r="DK14" s="10">
        <v>2906971.64</v>
      </c>
      <c r="DL14" s="10">
        <v>883956.59</v>
      </c>
      <c r="DM14" s="10"/>
      <c r="DN14" s="10">
        <f>4593.78+8561.46</f>
        <v>13155.239999999998</v>
      </c>
      <c r="DO14" s="10">
        <v>0</v>
      </c>
      <c r="DP14" s="10">
        <f>232500.16-8561.46</f>
        <v>223938.7</v>
      </c>
      <c r="DQ14" s="10">
        <f t="shared" ref="DQ14:DQ25" si="64">SUM(DK14:DP14)</f>
        <v>4028022.1700000004</v>
      </c>
      <c r="DR14" s="10">
        <v>2906971.64</v>
      </c>
      <c r="DS14" s="10">
        <v>861485.43</v>
      </c>
      <c r="DT14" s="10">
        <v>0</v>
      </c>
      <c r="DU14" s="10">
        <f>3967.25+3507.55</f>
        <v>7474.8</v>
      </c>
      <c r="DV14" s="10">
        <v>0</v>
      </c>
      <c r="DW14" s="10">
        <f>180785.88</f>
        <v>180785.88</v>
      </c>
      <c r="DX14" s="10">
        <f t="shared" ref="DX14:DX25" si="65">SUM(DR14:DW14)</f>
        <v>3956717.75</v>
      </c>
      <c r="DY14" s="10">
        <v>3463765.82</v>
      </c>
      <c r="DZ14" s="10">
        <v>798367.06</v>
      </c>
      <c r="EA14" s="10">
        <v>0</v>
      </c>
      <c r="EB14" s="10">
        <v>18892.689999999999</v>
      </c>
      <c r="EC14" s="10">
        <v>0</v>
      </c>
      <c r="ED14" s="10">
        <v>282530.3</v>
      </c>
      <c r="EE14" s="10">
        <f>SUM(DY14:ED14)</f>
        <v>4563555.87</v>
      </c>
      <c r="EF14" s="10">
        <v>3463065.49</v>
      </c>
      <c r="EG14" s="10">
        <v>736770.37</v>
      </c>
      <c r="EH14" s="10">
        <v>0</v>
      </c>
      <c r="EI14" s="10">
        <v>13140.44</v>
      </c>
      <c r="EJ14" s="10">
        <v>0</v>
      </c>
      <c r="EK14" s="10">
        <v>249530.99</v>
      </c>
      <c r="EL14" s="10">
        <f t="shared" ref="EL14:EL36" si="66">SUM(EF14:EK14)</f>
        <v>4462507.290000001</v>
      </c>
      <c r="EM14" s="156">
        <f>AC14+AE14+AG14+AI14+AK14+AM14+AO14+AQ14+AY14+BM14+CA14+CO14+DC14+DQ14+EE14</f>
        <v>33609108</v>
      </c>
      <c r="EN14" s="155">
        <f>AD14+AF14+AH14+AJ14+AL14+AN14+AP14+AR14+BF14+BT14+CH14+CV14+DJ14+DX14+EL14</f>
        <v>32479464.25</v>
      </c>
      <c r="EO14" s="194"/>
      <c r="EQ14" s="36"/>
      <c r="ER14" s="36"/>
      <c r="ES14" s="36"/>
      <c r="ET14" s="36"/>
    </row>
    <row r="15" spans="1:150" s="5" customFormat="1" ht="12.75" x14ac:dyDescent="0.2">
      <c r="A15" s="201"/>
      <c r="B15" s="4" t="s">
        <v>84</v>
      </c>
      <c r="C15" s="66" t="s">
        <v>28</v>
      </c>
      <c r="D15" s="67">
        <f t="shared" si="58"/>
        <v>35370</v>
      </c>
      <c r="E15" s="75" t="s">
        <v>11</v>
      </c>
      <c r="F15" s="75" t="s">
        <v>11</v>
      </c>
      <c r="G15" s="75" t="s">
        <v>11</v>
      </c>
      <c r="H15" s="75" t="s">
        <v>11</v>
      </c>
      <c r="I15" s="75" t="s">
        <v>11</v>
      </c>
      <c r="J15" s="75" t="s">
        <v>11</v>
      </c>
      <c r="K15" s="75" t="s">
        <v>11</v>
      </c>
      <c r="L15" s="75" t="s">
        <v>11</v>
      </c>
      <c r="M15" s="75" t="s">
        <v>11</v>
      </c>
      <c r="N15" s="75" t="s">
        <v>11</v>
      </c>
      <c r="O15" s="75" t="s">
        <v>11</v>
      </c>
      <c r="P15" s="75" t="s">
        <v>11</v>
      </c>
      <c r="Q15" s="75" t="s">
        <v>11</v>
      </c>
      <c r="R15" s="75" t="s">
        <v>11</v>
      </c>
      <c r="S15" s="75" t="s">
        <v>11</v>
      </c>
      <c r="T15" s="75" t="s">
        <v>11</v>
      </c>
      <c r="U15" s="75" t="s">
        <v>11</v>
      </c>
      <c r="V15" s="75" t="s">
        <v>11</v>
      </c>
      <c r="W15" s="75" t="s">
        <v>11</v>
      </c>
      <c r="X15" s="75" t="s">
        <v>11</v>
      </c>
      <c r="Y15" s="75" t="s">
        <v>11</v>
      </c>
      <c r="Z15" s="75" t="s">
        <v>11</v>
      </c>
      <c r="AA15" s="75" t="s">
        <v>11</v>
      </c>
      <c r="AB15" s="75" t="s">
        <v>11</v>
      </c>
      <c r="AC15" s="68">
        <v>280280.62</v>
      </c>
      <c r="AD15" s="68">
        <v>305669.41999999987</v>
      </c>
      <c r="AE15" s="68">
        <v>331925.39</v>
      </c>
      <c r="AF15" s="68">
        <v>356200.04</v>
      </c>
      <c r="AG15" s="68">
        <v>381965.66</v>
      </c>
      <c r="AH15" s="68">
        <v>400653.86000000004</v>
      </c>
      <c r="AI15" s="68">
        <v>439925.8</v>
      </c>
      <c r="AJ15" s="68">
        <v>456623.32</v>
      </c>
      <c r="AK15" s="68">
        <v>515742.43</v>
      </c>
      <c r="AL15" s="68">
        <v>535054.61</v>
      </c>
      <c r="AM15" s="68">
        <v>541450</v>
      </c>
      <c r="AN15" s="69">
        <v>557734.57999999996</v>
      </c>
      <c r="AO15" s="72">
        <v>835337.0199999999</v>
      </c>
      <c r="AP15" s="72">
        <v>685010.34</v>
      </c>
      <c r="AQ15" s="72">
        <v>597767.89</v>
      </c>
      <c r="AR15" s="72">
        <v>596678.87</v>
      </c>
      <c r="AS15" s="110">
        <v>57289.62</v>
      </c>
      <c r="AT15" s="110">
        <v>491013.65</v>
      </c>
      <c r="AU15" s="77"/>
      <c r="AV15" s="110">
        <v>0</v>
      </c>
      <c r="AW15" s="77"/>
      <c r="AX15" s="110">
        <v>722.21</v>
      </c>
      <c r="AY15" s="10">
        <f t="shared" si="56"/>
        <v>549025.48</v>
      </c>
      <c r="AZ15" s="110">
        <v>57289.62</v>
      </c>
      <c r="BA15" s="110">
        <v>489729.22</v>
      </c>
      <c r="BB15" s="77"/>
      <c r="BC15" s="110">
        <v>0</v>
      </c>
      <c r="BD15" s="77"/>
      <c r="BE15" s="110">
        <v>722.21</v>
      </c>
      <c r="BF15" s="10">
        <f t="shared" si="57"/>
        <v>547741.04999999993</v>
      </c>
      <c r="BG15" s="10">
        <v>287337</v>
      </c>
      <c r="BH15" s="10">
        <v>524916</v>
      </c>
      <c r="BI15" s="10">
        <v>0</v>
      </c>
      <c r="BJ15" s="10">
        <v>0</v>
      </c>
      <c r="BK15" s="10">
        <v>0</v>
      </c>
      <c r="BL15" s="10">
        <v>9816</v>
      </c>
      <c r="BM15" s="79">
        <f t="shared" si="59"/>
        <v>822069</v>
      </c>
      <c r="BN15" s="10">
        <v>287337</v>
      </c>
      <c r="BO15" s="10">
        <v>523442</v>
      </c>
      <c r="BP15" s="10">
        <v>0</v>
      </c>
      <c r="BQ15" s="10">
        <v>0</v>
      </c>
      <c r="BR15" s="10">
        <v>0</v>
      </c>
      <c r="BS15" s="10">
        <v>9816</v>
      </c>
      <c r="BT15" s="137">
        <f t="shared" si="60"/>
        <v>820595</v>
      </c>
      <c r="BU15" s="137">
        <v>324713.78000000003</v>
      </c>
      <c r="BV15" s="137">
        <v>475236.6</v>
      </c>
      <c r="BW15" s="79">
        <v>0</v>
      </c>
      <c r="BX15" s="79">
        <v>0</v>
      </c>
      <c r="BY15" s="79">
        <v>0</v>
      </c>
      <c r="BZ15" s="137">
        <v>17690.25</v>
      </c>
      <c r="CA15" s="10">
        <f t="shared" si="61"/>
        <v>817640.63</v>
      </c>
      <c r="CB15" s="137">
        <v>324713.78000000003</v>
      </c>
      <c r="CC15" s="137">
        <v>474341.41</v>
      </c>
      <c r="CD15" s="79">
        <v>0</v>
      </c>
      <c r="CE15" s="79">
        <v>0</v>
      </c>
      <c r="CF15" s="79">
        <v>0</v>
      </c>
      <c r="CG15" s="137">
        <v>17690.25</v>
      </c>
      <c r="CH15" s="10">
        <f t="shared" si="62"/>
        <v>816745.44</v>
      </c>
      <c r="CI15" s="10">
        <f>[26]Planilha1!$E$71</f>
        <v>395045.71</v>
      </c>
      <c r="CJ15" s="10">
        <f>[26]Planilha1!$E$73</f>
        <v>498244.73</v>
      </c>
      <c r="CK15" s="10">
        <v>0</v>
      </c>
      <c r="CL15" s="10">
        <f>[26]Planilha1!$E$74</f>
        <v>544.54</v>
      </c>
      <c r="CM15" s="10">
        <v>0</v>
      </c>
      <c r="CN15" s="10">
        <f>[26]Planilha1!$E$72+[26]Planilha1!$E$75</f>
        <v>1943.54</v>
      </c>
      <c r="CO15" s="10">
        <f t="shared" ref="CO15:CO25" si="67">SUM(CI15:CN15)</f>
        <v>895778.52</v>
      </c>
      <c r="CP15" s="10">
        <f>[26]Planilha1!$F$71</f>
        <v>395045.71</v>
      </c>
      <c r="CQ15" s="10">
        <f>[26]Planilha1!$F$73</f>
        <v>495696.5</v>
      </c>
      <c r="CR15" s="10">
        <v>0</v>
      </c>
      <c r="CS15" s="10">
        <f>[26]Planilha1!$F$74</f>
        <v>544.54</v>
      </c>
      <c r="CT15" s="10">
        <v>0</v>
      </c>
      <c r="CU15" s="10">
        <f>[26]Planilha1!$F$72+[26]Planilha1!$F$75</f>
        <v>1943.54</v>
      </c>
      <c r="CV15" s="10">
        <f t="shared" ref="CV15:CV25" si="68">SUM(CP15:CU15)</f>
        <v>893230.29</v>
      </c>
      <c r="CW15" s="10">
        <f>[26]Planilha1!$C$71</f>
        <v>471095.2</v>
      </c>
      <c r="CX15" s="10">
        <f>[26]Planilha1!$C$73</f>
        <v>381604.13</v>
      </c>
      <c r="CY15" s="10">
        <v>0</v>
      </c>
      <c r="CZ15" s="10">
        <f>[26]Planilha1!$C$74</f>
        <v>2194.73</v>
      </c>
      <c r="DA15" s="10">
        <v>0</v>
      </c>
      <c r="DB15" s="10">
        <f>[26]Planilha1!$C$72+[26]Planilha1!$C$75</f>
        <v>2843.9</v>
      </c>
      <c r="DC15" s="10">
        <f t="shared" si="63"/>
        <v>857737.96000000008</v>
      </c>
      <c r="DD15" s="10">
        <f>[26]Planilha1!$D$71</f>
        <v>459199.75</v>
      </c>
      <c r="DE15" s="10">
        <v>374819.71</v>
      </c>
      <c r="DF15" s="10">
        <v>0</v>
      </c>
      <c r="DG15" s="10">
        <v>2194.73</v>
      </c>
      <c r="DH15" s="10">
        <v>0</v>
      </c>
      <c r="DI15" s="10">
        <f>[26]Planilha1!$D$72+[26]Planilha1!$D$75</f>
        <v>2660.8999999999996</v>
      </c>
      <c r="DJ15" s="10">
        <f t="shared" ref="DJ15:DJ25" si="69">SUM(DD15:DI15)</f>
        <v>838875.09</v>
      </c>
      <c r="DK15" s="10">
        <v>519502.13</v>
      </c>
      <c r="DL15" s="10">
        <v>410292.38</v>
      </c>
      <c r="DM15" s="10"/>
      <c r="DN15" s="10">
        <v>2243.71</v>
      </c>
      <c r="DO15" s="10">
        <v>0</v>
      </c>
      <c r="DP15" s="10">
        <v>4930.25</v>
      </c>
      <c r="DQ15" s="10">
        <f t="shared" si="64"/>
        <v>936968.47</v>
      </c>
      <c r="DR15" s="10">
        <v>488937.45</v>
      </c>
      <c r="DS15" s="10">
        <v>395532.84</v>
      </c>
      <c r="DT15" s="10">
        <v>0</v>
      </c>
      <c r="DU15" s="10">
        <v>2243.71</v>
      </c>
      <c r="DV15" s="10">
        <v>0</v>
      </c>
      <c r="DW15" s="10">
        <v>4428.34</v>
      </c>
      <c r="DX15" s="10">
        <f t="shared" si="65"/>
        <v>891142.34</v>
      </c>
      <c r="DY15" s="10">
        <v>961728.28</v>
      </c>
      <c r="DZ15" s="10">
        <v>516926.98</v>
      </c>
      <c r="EA15" s="10">
        <v>0</v>
      </c>
      <c r="EB15" s="10">
        <v>6705.5099999999993</v>
      </c>
      <c r="EC15" s="10">
        <v>0</v>
      </c>
      <c r="ED15" s="10">
        <v>90296.7</v>
      </c>
      <c r="EE15" s="10">
        <f t="shared" ref="EE15:EE25" si="70">SUM(DY15:ED15)</f>
        <v>1575657.47</v>
      </c>
      <c r="EF15" s="10">
        <v>960284.54</v>
      </c>
      <c r="EG15" s="10">
        <v>427374.24</v>
      </c>
      <c r="EH15" s="10">
        <v>0</v>
      </c>
      <c r="EI15" s="10">
        <v>6464.71</v>
      </c>
      <c r="EJ15" s="10">
        <v>0</v>
      </c>
      <c r="EK15" s="10">
        <v>83302.8</v>
      </c>
      <c r="EL15" s="10">
        <f t="shared" si="66"/>
        <v>1477426.29</v>
      </c>
      <c r="EM15" s="156">
        <f t="shared" ref="EM15:EM25" si="71">AC15+AE15+AG15+AI15+AK15+AM15+AO15+AQ15+AY15+BM15+CA15+CO15+DC15+DQ15+EE15</f>
        <v>10379272.34</v>
      </c>
      <c r="EN15" s="155">
        <f t="shared" ref="EN15:EN25" si="72">AD15+AF15+AH15+AJ15+AL15+AN15+AP15+AR15+BF15+BT15+CH15+CV15+DJ15+DX15+EL15</f>
        <v>10179380.539999999</v>
      </c>
      <c r="EO15" s="194"/>
      <c r="EQ15" s="36"/>
      <c r="ER15" s="36"/>
      <c r="ES15" s="36"/>
      <c r="ET15" s="36"/>
    </row>
    <row r="16" spans="1:150" s="5" customFormat="1" ht="12.75" x14ac:dyDescent="0.2">
      <c r="A16" s="201"/>
      <c r="B16" s="4" t="s">
        <v>85</v>
      </c>
      <c r="C16" s="66" t="s">
        <v>28</v>
      </c>
      <c r="D16" s="67">
        <f t="shared" si="58"/>
        <v>35370</v>
      </c>
      <c r="E16" s="75" t="s">
        <v>11</v>
      </c>
      <c r="F16" s="75" t="s">
        <v>11</v>
      </c>
      <c r="G16" s="75" t="s">
        <v>11</v>
      </c>
      <c r="H16" s="75" t="s">
        <v>11</v>
      </c>
      <c r="I16" s="75" t="s">
        <v>11</v>
      </c>
      <c r="J16" s="75" t="s">
        <v>11</v>
      </c>
      <c r="K16" s="75" t="s">
        <v>11</v>
      </c>
      <c r="L16" s="75" t="s">
        <v>11</v>
      </c>
      <c r="M16" s="75" t="s">
        <v>11</v>
      </c>
      <c r="N16" s="75" t="s">
        <v>11</v>
      </c>
      <c r="O16" s="75" t="s">
        <v>11</v>
      </c>
      <c r="P16" s="75" t="s">
        <v>11</v>
      </c>
      <c r="Q16" s="75" t="s">
        <v>11</v>
      </c>
      <c r="R16" s="75" t="s">
        <v>11</v>
      </c>
      <c r="S16" s="75" t="s">
        <v>11</v>
      </c>
      <c r="T16" s="75" t="s">
        <v>11</v>
      </c>
      <c r="U16" s="75" t="s">
        <v>11</v>
      </c>
      <c r="V16" s="75" t="s">
        <v>11</v>
      </c>
      <c r="W16" s="75" t="s">
        <v>11</v>
      </c>
      <c r="X16" s="75" t="s">
        <v>11</v>
      </c>
      <c r="Y16" s="75" t="s">
        <v>11</v>
      </c>
      <c r="Z16" s="75" t="s">
        <v>11</v>
      </c>
      <c r="AA16" s="75" t="s">
        <v>11</v>
      </c>
      <c r="AB16" s="75" t="s">
        <v>11</v>
      </c>
      <c r="AC16" s="68">
        <v>264227.01999999996</v>
      </c>
      <c r="AD16" s="68">
        <v>136700.87000000002</v>
      </c>
      <c r="AE16" s="68">
        <v>260635.28</v>
      </c>
      <c r="AF16" s="68">
        <v>199782.74000000002</v>
      </c>
      <c r="AG16" s="68">
        <v>307343.92</v>
      </c>
      <c r="AH16" s="68">
        <v>196298.75999999998</v>
      </c>
      <c r="AI16" s="68">
        <v>296084.39</v>
      </c>
      <c r="AJ16" s="68">
        <v>352000.42000000016</v>
      </c>
      <c r="AK16" s="68">
        <v>376250.89</v>
      </c>
      <c r="AL16" s="68">
        <v>231418.21000000005</v>
      </c>
      <c r="AM16" s="68">
        <v>509300</v>
      </c>
      <c r="AN16" s="69">
        <v>422583.03</v>
      </c>
      <c r="AO16" s="72">
        <v>474013.77</v>
      </c>
      <c r="AP16" s="72">
        <v>481781.39</v>
      </c>
      <c r="AQ16" s="72">
        <v>857242.64</v>
      </c>
      <c r="AR16" s="72">
        <v>641109.37</v>
      </c>
      <c r="AS16" s="110">
        <v>753180.19</v>
      </c>
      <c r="AT16" s="110">
        <v>138449.35999999999</v>
      </c>
      <c r="AU16" s="77"/>
      <c r="AV16" s="110">
        <v>2334.59</v>
      </c>
      <c r="AW16" s="77"/>
      <c r="AX16" s="110">
        <v>57724.79</v>
      </c>
      <c r="AY16" s="10">
        <f t="shared" si="56"/>
        <v>951688.92999999993</v>
      </c>
      <c r="AZ16" s="110">
        <v>446770.48</v>
      </c>
      <c r="BA16" s="110">
        <v>92269.649999999907</v>
      </c>
      <c r="BB16" s="77"/>
      <c r="BC16" s="110">
        <v>2334.59</v>
      </c>
      <c r="BD16" s="77"/>
      <c r="BE16" s="110">
        <v>44321.07</v>
      </c>
      <c r="BF16" s="10">
        <f t="shared" si="57"/>
        <v>585695.7899999998</v>
      </c>
      <c r="BG16" s="10">
        <v>528151</v>
      </c>
      <c r="BH16" s="10">
        <v>152707</v>
      </c>
      <c r="BI16" s="10">
        <v>0</v>
      </c>
      <c r="BJ16" s="10">
        <v>7242</v>
      </c>
      <c r="BK16" s="10">
        <v>0</v>
      </c>
      <c r="BL16" s="10">
        <v>54013</v>
      </c>
      <c r="BM16" s="79">
        <f t="shared" si="59"/>
        <v>742113</v>
      </c>
      <c r="BN16" s="10">
        <v>527604</v>
      </c>
      <c r="BO16" s="10">
        <v>124401</v>
      </c>
      <c r="BP16" s="10">
        <v>0</v>
      </c>
      <c r="BQ16" s="10">
        <v>5489</v>
      </c>
      <c r="BR16" s="10">
        <v>0</v>
      </c>
      <c r="BS16" s="10">
        <v>48797</v>
      </c>
      <c r="BT16" s="137">
        <f t="shared" si="60"/>
        <v>706291</v>
      </c>
      <c r="BU16" s="137">
        <v>460733.55</v>
      </c>
      <c r="BV16" s="137">
        <v>160768.91</v>
      </c>
      <c r="BW16" s="79">
        <v>0</v>
      </c>
      <c r="BX16" s="137">
        <v>8915.0400000000009</v>
      </c>
      <c r="BY16" s="79">
        <v>0</v>
      </c>
      <c r="BZ16" s="137">
        <v>103298.53</v>
      </c>
      <c r="CA16" s="10">
        <f t="shared" si="61"/>
        <v>733716.03</v>
      </c>
      <c r="CB16" s="137">
        <v>460063.75</v>
      </c>
      <c r="CC16" s="137">
        <v>145506.35999999999</v>
      </c>
      <c r="CD16" s="79">
        <v>0</v>
      </c>
      <c r="CE16" s="137">
        <v>7555.11</v>
      </c>
      <c r="CF16" s="79">
        <v>0</v>
      </c>
      <c r="CG16" s="137">
        <v>89292.85</v>
      </c>
      <c r="CH16" s="10">
        <f t="shared" si="62"/>
        <v>702418.07</v>
      </c>
      <c r="CI16" s="10">
        <f>[26]Planilha1!$E$60</f>
        <v>528664.59</v>
      </c>
      <c r="CJ16" s="10">
        <f>[26]Planilha1!$E$64</f>
        <v>168683.22</v>
      </c>
      <c r="CK16" s="10">
        <v>0</v>
      </c>
      <c r="CL16" s="10">
        <f>[26]Planilha1!$E$62+[26]Planilha1!$E$65+[26]Planilha1!$E$66</f>
        <v>7955.33</v>
      </c>
      <c r="CM16" s="10">
        <f>0</f>
        <v>0</v>
      </c>
      <c r="CN16" s="10">
        <f>[26]Planilha1!$E$61+[26]Planilha1!$E$63+[26]Planilha1!$E$67</f>
        <v>103705.51999999999</v>
      </c>
      <c r="CO16" s="10">
        <f t="shared" si="67"/>
        <v>809008.65999999992</v>
      </c>
      <c r="CP16" s="10">
        <f>[26]Planilha1!$F$60</f>
        <v>527047.07999999996</v>
      </c>
      <c r="CQ16" s="10">
        <f>[26]Planilha1!$F$64</f>
        <v>144665.62</v>
      </c>
      <c r="CR16" s="10">
        <v>0</v>
      </c>
      <c r="CS16" s="10">
        <f>[26]Planilha1!$F$62+[26]Planilha1!$F$65+[26]Planilha1!$F$66</f>
        <v>7393.5399999999991</v>
      </c>
      <c r="CT16" s="10">
        <f>0</f>
        <v>0</v>
      </c>
      <c r="CU16" s="10">
        <f>[26]Planilha1!$F$61+[26]Planilha1!$F$63+[26]Planilha1!$F$67</f>
        <v>93160.829999999987</v>
      </c>
      <c r="CV16" s="10">
        <f t="shared" si="68"/>
        <v>772267.07</v>
      </c>
      <c r="CW16" s="10">
        <v>714763.94</v>
      </c>
      <c r="CX16" s="10">
        <f>[26]Planilha1!$C$64</f>
        <v>159283.4</v>
      </c>
      <c r="CY16" s="10">
        <v>0</v>
      </c>
      <c r="CZ16" s="10">
        <f>[26]Planilha1!$C$62+[26]Planilha1!$C$65+[26]Planilha1!$C$66</f>
        <v>5304.65</v>
      </c>
      <c r="DA16" s="10">
        <f>0</f>
        <v>0</v>
      </c>
      <c r="DB16" s="10">
        <v>164346.26</v>
      </c>
      <c r="DC16" s="10">
        <f t="shared" si="63"/>
        <v>1043698.25</v>
      </c>
      <c r="DD16" s="10">
        <v>557131.62</v>
      </c>
      <c r="DE16" s="10">
        <v>123292.79</v>
      </c>
      <c r="DF16" s="10">
        <v>0</v>
      </c>
      <c r="DG16" s="10">
        <f>[26]Planilha1!$D$62+[26]Planilha1!$D$65+[26]Planilha1!$D$66</f>
        <v>4533.9799999999996</v>
      </c>
      <c r="DH16" s="10">
        <f>0</f>
        <v>0</v>
      </c>
      <c r="DI16" s="10">
        <v>99169.05</v>
      </c>
      <c r="DJ16" s="10">
        <f t="shared" si="69"/>
        <v>784127.44000000006</v>
      </c>
      <c r="DK16" s="10">
        <v>1851993.92</v>
      </c>
      <c r="DL16" s="10">
        <v>189284.26</v>
      </c>
      <c r="DM16" s="10"/>
      <c r="DN16" s="10">
        <f>4305.85+777.84</f>
        <v>5083.6900000000005</v>
      </c>
      <c r="DO16" s="10">
        <v>0</v>
      </c>
      <c r="DP16" s="10">
        <f>194233.5-777.84</f>
        <v>193455.66</v>
      </c>
      <c r="DQ16" s="10">
        <f t="shared" si="64"/>
        <v>2239817.5299999998</v>
      </c>
      <c r="DR16" s="10">
        <v>1833407.86</v>
      </c>
      <c r="DS16" s="10">
        <v>144160.35</v>
      </c>
      <c r="DT16" s="10">
        <v>0</v>
      </c>
      <c r="DU16" s="10">
        <f>4305.85+777.84</f>
        <v>5083.6900000000005</v>
      </c>
      <c r="DV16" s="10">
        <v>0</v>
      </c>
      <c r="DW16" s="10">
        <v>101446.59</v>
      </c>
      <c r="DX16" s="10">
        <f t="shared" si="65"/>
        <v>2084098.4900000002</v>
      </c>
      <c r="DY16" s="10">
        <v>1460156.99</v>
      </c>
      <c r="DZ16" s="10">
        <v>110995.49</v>
      </c>
      <c r="EA16" s="10">
        <v>0</v>
      </c>
      <c r="EB16" s="10">
        <v>9414.9599999999991</v>
      </c>
      <c r="EC16" s="10">
        <v>0</v>
      </c>
      <c r="ED16" s="10">
        <v>118433.16</v>
      </c>
      <c r="EE16" s="10">
        <f t="shared" si="70"/>
        <v>1699000.5999999999</v>
      </c>
      <c r="EF16" s="10">
        <v>1399793.45</v>
      </c>
      <c r="EG16" s="10">
        <v>95808.36</v>
      </c>
      <c r="EH16" s="10">
        <v>0</v>
      </c>
      <c r="EI16" s="10">
        <v>9414.9599999999991</v>
      </c>
      <c r="EJ16" s="10">
        <v>0</v>
      </c>
      <c r="EK16" s="10">
        <v>95538.62000000001</v>
      </c>
      <c r="EL16" s="10">
        <f t="shared" si="66"/>
        <v>1600555.3900000001</v>
      </c>
      <c r="EM16" s="156">
        <f t="shared" si="71"/>
        <v>11564140.91</v>
      </c>
      <c r="EN16" s="155">
        <f t="shared" si="72"/>
        <v>9897128.040000001</v>
      </c>
      <c r="EO16" s="194"/>
      <c r="EQ16" s="36"/>
      <c r="ER16" s="36"/>
      <c r="ES16" s="36"/>
      <c r="ET16" s="36"/>
    </row>
    <row r="17" spans="1:150" s="5" customFormat="1" ht="12.75" x14ac:dyDescent="0.2">
      <c r="A17" s="201"/>
      <c r="B17" s="4" t="s">
        <v>86</v>
      </c>
      <c r="C17" s="66" t="s">
        <v>28</v>
      </c>
      <c r="D17" s="67">
        <f t="shared" si="58"/>
        <v>35370</v>
      </c>
      <c r="E17" s="75" t="s">
        <v>11</v>
      </c>
      <c r="F17" s="75" t="s">
        <v>11</v>
      </c>
      <c r="G17" s="75" t="s">
        <v>11</v>
      </c>
      <c r="H17" s="75" t="s">
        <v>11</v>
      </c>
      <c r="I17" s="75" t="s">
        <v>11</v>
      </c>
      <c r="J17" s="75" t="s">
        <v>11</v>
      </c>
      <c r="K17" s="75" t="s">
        <v>11</v>
      </c>
      <c r="L17" s="75" t="s">
        <v>11</v>
      </c>
      <c r="M17" s="75" t="s">
        <v>11</v>
      </c>
      <c r="N17" s="75" t="s">
        <v>11</v>
      </c>
      <c r="O17" s="75" t="s">
        <v>11</v>
      </c>
      <c r="P17" s="75" t="s">
        <v>11</v>
      </c>
      <c r="Q17" s="75" t="s">
        <v>11</v>
      </c>
      <c r="R17" s="75" t="s">
        <v>11</v>
      </c>
      <c r="S17" s="75" t="s">
        <v>11</v>
      </c>
      <c r="T17" s="75" t="s">
        <v>11</v>
      </c>
      <c r="U17" s="75" t="s">
        <v>11</v>
      </c>
      <c r="V17" s="75" t="s">
        <v>11</v>
      </c>
      <c r="W17" s="75" t="s">
        <v>11</v>
      </c>
      <c r="X17" s="75" t="s">
        <v>11</v>
      </c>
      <c r="Y17" s="75" t="s">
        <v>11</v>
      </c>
      <c r="Z17" s="75" t="s">
        <v>11</v>
      </c>
      <c r="AA17" s="75" t="s">
        <v>11</v>
      </c>
      <c r="AB17" s="75" t="s">
        <v>11</v>
      </c>
      <c r="AC17" s="68">
        <v>27077044.309999999</v>
      </c>
      <c r="AD17" s="68">
        <v>26590239.399999965</v>
      </c>
      <c r="AE17" s="68">
        <v>30026438.93</v>
      </c>
      <c r="AF17" s="68">
        <v>29864321.18</v>
      </c>
      <c r="AG17" s="68">
        <v>34866297.859999999</v>
      </c>
      <c r="AH17" s="68">
        <v>34350066.18</v>
      </c>
      <c r="AI17" s="68">
        <v>36144758.710000001</v>
      </c>
      <c r="AJ17" s="68">
        <v>35548289.409999996</v>
      </c>
      <c r="AK17" s="68">
        <v>48993263.380000003</v>
      </c>
      <c r="AL17" s="68">
        <v>48510239.450000003</v>
      </c>
      <c r="AM17" s="68">
        <v>60557110</v>
      </c>
      <c r="AN17" s="70">
        <v>58779348.280000001</v>
      </c>
      <c r="AO17" s="72">
        <v>67131541.359999999</v>
      </c>
      <c r="AP17" s="72">
        <v>66154042.759999998</v>
      </c>
      <c r="AQ17" s="72">
        <v>76425924.430000007</v>
      </c>
      <c r="AR17" s="72">
        <v>76117345.200000003</v>
      </c>
      <c r="AS17" s="110">
        <v>46499808.780000001</v>
      </c>
      <c r="AT17" s="110">
        <v>41860153.100000001</v>
      </c>
      <c r="AU17" s="77"/>
      <c r="AV17" s="110">
        <v>85583.1</v>
      </c>
      <c r="AW17" s="77"/>
      <c r="AX17" s="110">
        <v>644865.34</v>
      </c>
      <c r="AY17" s="10">
        <f t="shared" si="56"/>
        <v>89090410.319999993</v>
      </c>
      <c r="AZ17" s="110">
        <v>46431595.289999999</v>
      </c>
      <c r="BA17" s="110">
        <v>41690161.689999998</v>
      </c>
      <c r="BB17" s="77"/>
      <c r="BC17" s="110">
        <v>84551.67</v>
      </c>
      <c r="BD17" s="77"/>
      <c r="BE17" s="110">
        <v>558412.57999999903</v>
      </c>
      <c r="BF17" s="10">
        <f t="shared" si="57"/>
        <v>88764721.229999989</v>
      </c>
      <c r="BG17" s="10">
        <v>51125258</v>
      </c>
      <c r="BH17" s="10">
        <v>26410803</v>
      </c>
      <c r="BI17" s="10">
        <v>0</v>
      </c>
      <c r="BJ17" s="10">
        <v>58127</v>
      </c>
      <c r="BK17" s="10">
        <v>91470910</v>
      </c>
      <c r="BL17" s="10">
        <v>597509</v>
      </c>
      <c r="BM17" s="79">
        <f t="shared" si="59"/>
        <v>169662607</v>
      </c>
      <c r="BN17" s="10">
        <v>51103511</v>
      </c>
      <c r="BO17" s="10">
        <v>26114550</v>
      </c>
      <c r="BP17" s="10">
        <v>0</v>
      </c>
      <c r="BQ17" s="10">
        <v>48808</v>
      </c>
      <c r="BR17" s="10">
        <v>91470910</v>
      </c>
      <c r="BS17" s="10">
        <v>555956</v>
      </c>
      <c r="BT17" s="137">
        <f t="shared" si="60"/>
        <v>169293735</v>
      </c>
      <c r="BU17" s="137">
        <v>53345217.710000001</v>
      </c>
      <c r="BV17" s="137">
        <v>30650406.409999996</v>
      </c>
      <c r="BW17" s="79">
        <v>0</v>
      </c>
      <c r="BX17" s="137">
        <v>48002.9</v>
      </c>
      <c r="BY17" s="137">
        <v>67818435.049999997</v>
      </c>
      <c r="BZ17" s="137">
        <v>1376255.49</v>
      </c>
      <c r="CA17" s="10">
        <f t="shared" si="61"/>
        <v>153238317.56</v>
      </c>
      <c r="CB17" s="137">
        <v>53326536.710000001</v>
      </c>
      <c r="CC17" s="137">
        <v>30362292.219999999</v>
      </c>
      <c r="CD17" s="79">
        <v>0</v>
      </c>
      <c r="CE17" s="137">
        <v>39670.460000000006</v>
      </c>
      <c r="CF17" s="137">
        <v>67818435.049999997</v>
      </c>
      <c r="CG17" s="137">
        <v>1263002.1299999999</v>
      </c>
      <c r="CH17" s="10">
        <f t="shared" si="62"/>
        <v>152809936.56999999</v>
      </c>
      <c r="CI17" s="10">
        <f>[26]Planilha1!$E$90</f>
        <v>62113133.810000002</v>
      </c>
      <c r="CJ17" s="10">
        <f>[26]Planilha1!$E$95</f>
        <v>56449244.710000001</v>
      </c>
      <c r="CK17" s="10">
        <v>0</v>
      </c>
      <c r="CL17" s="10">
        <f>[26]Planilha1!$E$92+[26]Planilha1!$E$96+[26]Planilha1!$E$97</f>
        <v>43051.11</v>
      </c>
      <c r="CM17" s="10">
        <f>[26]Planilha1!$E$94</f>
        <v>39287031.109999999</v>
      </c>
      <c r="CN17" s="10">
        <f>[26]Planilha1!$E$91+[26]Planilha1!$E$93+[26]Planilha1!$E$98</f>
        <v>1667152.13</v>
      </c>
      <c r="CO17" s="10">
        <f t="shared" si="67"/>
        <v>159559612.87</v>
      </c>
      <c r="CP17" s="10">
        <f>[26]Planilha1!$F$90</f>
        <v>62103503.439999998</v>
      </c>
      <c r="CQ17" s="10">
        <f>[26]Planilha1!$F$95</f>
        <v>56067925.009999998</v>
      </c>
      <c r="CR17" s="10">
        <v>0</v>
      </c>
      <c r="CS17" s="10">
        <f>[26]Planilha1!$F$92+[26]Planilha1!$F$96+[26]Planilha1!$F$97</f>
        <v>39832.379999999997</v>
      </c>
      <c r="CT17" s="10">
        <f>[26]Planilha1!$F$94</f>
        <v>39287031.109999999</v>
      </c>
      <c r="CU17" s="10">
        <f>[26]Planilha1!$F$91+[26]Planilha1!$F$93+[26]Planilha1!$F$98</f>
        <v>1511893.56</v>
      </c>
      <c r="CV17" s="10">
        <f t="shared" si="68"/>
        <v>159010185.5</v>
      </c>
      <c r="CW17" s="10">
        <f>[26]Planilha1!$C$90</f>
        <v>66715938.539999999</v>
      </c>
      <c r="CX17" s="10">
        <v>51818830.359999999</v>
      </c>
      <c r="CY17" s="10">
        <v>0</v>
      </c>
      <c r="CZ17" s="10">
        <f>[26]Planilha1!$C$92+[26]Planilha1!$C$96+[26]Planilha1!$C$97</f>
        <v>52407.15</v>
      </c>
      <c r="DA17" s="10">
        <f>[26]Planilha1!$C$94</f>
        <v>21364472.640000001</v>
      </c>
      <c r="DB17" s="10">
        <v>1826963.35</v>
      </c>
      <c r="DC17" s="10">
        <f t="shared" si="63"/>
        <v>141778612.03999999</v>
      </c>
      <c r="DD17" s="10">
        <v>66684345.799999997</v>
      </c>
      <c r="DE17" s="10">
        <v>51446342.890000001</v>
      </c>
      <c r="DF17" s="10">
        <v>0</v>
      </c>
      <c r="DG17" s="10">
        <v>50934.39</v>
      </c>
      <c r="DH17" s="10">
        <f>[26]Planilha1!$D$94</f>
        <v>21364472.640000001</v>
      </c>
      <c r="DI17" s="10">
        <v>1608668.6</v>
      </c>
      <c r="DJ17" s="10">
        <f t="shared" si="69"/>
        <v>141154764.31999999</v>
      </c>
      <c r="DK17" s="10">
        <v>72745632.110000014</v>
      </c>
      <c r="DL17" s="10">
        <v>38200710.099999994</v>
      </c>
      <c r="DM17" s="10"/>
      <c r="DN17" s="10">
        <v>90928.24</v>
      </c>
      <c r="DO17" s="10">
        <v>74348937.180000007</v>
      </c>
      <c r="DP17" s="10">
        <v>1993227.9600000002</v>
      </c>
      <c r="DQ17" s="10">
        <f t="shared" si="64"/>
        <v>187379435.59</v>
      </c>
      <c r="DR17" s="10">
        <v>72642169.189999998</v>
      </c>
      <c r="DS17" s="10">
        <v>37997081.13000001</v>
      </c>
      <c r="DT17" s="10">
        <v>0</v>
      </c>
      <c r="DU17" s="10">
        <v>87549.83</v>
      </c>
      <c r="DV17" s="10">
        <v>74147304.099999994</v>
      </c>
      <c r="DW17" s="10">
        <v>1786925.4</v>
      </c>
      <c r="DX17" s="10">
        <f t="shared" si="65"/>
        <v>186661029.65000001</v>
      </c>
      <c r="DY17" s="10">
        <v>82717151.469999999</v>
      </c>
      <c r="DZ17" s="10">
        <v>65015481.25</v>
      </c>
      <c r="EA17" s="10">
        <v>0</v>
      </c>
      <c r="EB17" s="10">
        <v>82378.13</v>
      </c>
      <c r="EC17" s="10">
        <v>0</v>
      </c>
      <c r="ED17" s="10">
        <v>2422320.13</v>
      </c>
      <c r="EE17" s="10">
        <f t="shared" si="70"/>
        <v>150237330.97999999</v>
      </c>
      <c r="EF17" s="10">
        <v>75096388.950000003</v>
      </c>
      <c r="EG17" s="10">
        <v>64729773.25</v>
      </c>
      <c r="EH17" s="10">
        <v>0</v>
      </c>
      <c r="EI17" s="10">
        <v>67712.22</v>
      </c>
      <c r="EJ17" s="10">
        <v>0</v>
      </c>
      <c r="EK17" s="10">
        <v>2137331.2199999997</v>
      </c>
      <c r="EL17" s="10">
        <f t="shared" si="66"/>
        <v>142031205.63999999</v>
      </c>
      <c r="EM17" s="156">
        <f t="shared" si="71"/>
        <v>1432168705.3399999</v>
      </c>
      <c r="EN17" s="155">
        <f t="shared" si="72"/>
        <v>1415639469.77</v>
      </c>
      <c r="EO17" s="194"/>
      <c r="EQ17" s="36"/>
      <c r="ER17" s="36"/>
      <c r="ES17" s="36"/>
      <c r="ET17" s="36"/>
    </row>
    <row r="18" spans="1:150" s="5" customFormat="1" ht="12.75" x14ac:dyDescent="0.2">
      <c r="A18" s="201"/>
      <c r="B18" s="4" t="s">
        <v>87</v>
      </c>
      <c r="C18" s="66" t="s">
        <v>28</v>
      </c>
      <c r="D18" s="67">
        <f t="shared" si="58"/>
        <v>35370</v>
      </c>
      <c r="E18" s="75" t="s">
        <v>11</v>
      </c>
      <c r="F18" s="75" t="s">
        <v>11</v>
      </c>
      <c r="G18" s="75" t="s">
        <v>11</v>
      </c>
      <c r="H18" s="75" t="s">
        <v>11</v>
      </c>
      <c r="I18" s="75" t="s">
        <v>11</v>
      </c>
      <c r="J18" s="75" t="s">
        <v>11</v>
      </c>
      <c r="K18" s="75" t="s">
        <v>11</v>
      </c>
      <c r="L18" s="75" t="s">
        <v>11</v>
      </c>
      <c r="M18" s="75" t="s">
        <v>11</v>
      </c>
      <c r="N18" s="75" t="s">
        <v>11</v>
      </c>
      <c r="O18" s="75" t="s">
        <v>11</v>
      </c>
      <c r="P18" s="75" t="s">
        <v>11</v>
      </c>
      <c r="Q18" s="75" t="s">
        <v>11</v>
      </c>
      <c r="R18" s="75" t="s">
        <v>11</v>
      </c>
      <c r="S18" s="75" t="s">
        <v>11</v>
      </c>
      <c r="T18" s="75" t="s">
        <v>11</v>
      </c>
      <c r="U18" s="75" t="s">
        <v>11</v>
      </c>
      <c r="V18" s="75" t="s">
        <v>11</v>
      </c>
      <c r="W18" s="75" t="s">
        <v>11</v>
      </c>
      <c r="X18" s="75" t="s">
        <v>11</v>
      </c>
      <c r="Y18" s="75" t="s">
        <v>11</v>
      </c>
      <c r="Z18" s="75" t="s">
        <v>11</v>
      </c>
      <c r="AA18" s="75" t="s">
        <v>11</v>
      </c>
      <c r="AB18" s="75" t="s">
        <v>11</v>
      </c>
      <c r="AC18" s="68">
        <v>242831.38</v>
      </c>
      <c r="AD18" s="68">
        <v>183746.76</v>
      </c>
      <c r="AE18" s="68">
        <v>219733.06</v>
      </c>
      <c r="AF18" s="68">
        <v>258317.01999999993</v>
      </c>
      <c r="AG18" s="68">
        <v>215959.92</v>
      </c>
      <c r="AH18" s="68">
        <v>287294.07</v>
      </c>
      <c r="AI18" s="68">
        <v>158118.39000000001</v>
      </c>
      <c r="AJ18" s="68">
        <v>312873.68</v>
      </c>
      <c r="AK18" s="68">
        <v>228949.84</v>
      </c>
      <c r="AL18" s="68">
        <v>378245.78000000009</v>
      </c>
      <c r="AM18" s="68">
        <v>393288</v>
      </c>
      <c r="AN18" s="69">
        <v>501455.70999999973</v>
      </c>
      <c r="AO18" s="72">
        <v>375222.56</v>
      </c>
      <c r="AP18" s="72">
        <v>349494.14</v>
      </c>
      <c r="AQ18" s="72">
        <v>430440.25</v>
      </c>
      <c r="AR18" s="72">
        <v>347682.08</v>
      </c>
      <c r="AS18" s="110">
        <v>210854</v>
      </c>
      <c r="AT18" s="110">
        <v>81228.399999999994</v>
      </c>
      <c r="AU18" s="77"/>
      <c r="AV18" s="110">
        <v>71194.429999999993</v>
      </c>
      <c r="AW18" s="77"/>
      <c r="AX18" s="110">
        <v>41786.06</v>
      </c>
      <c r="AY18" s="10">
        <f t="shared" si="56"/>
        <v>405062.89</v>
      </c>
      <c r="AZ18" s="110">
        <v>207484.86</v>
      </c>
      <c r="BA18" s="110">
        <v>40889.120000000003</v>
      </c>
      <c r="BB18" s="77"/>
      <c r="BC18" s="110">
        <v>61485.17</v>
      </c>
      <c r="BD18" s="77"/>
      <c r="BE18" s="110">
        <v>39987.64</v>
      </c>
      <c r="BF18" s="10">
        <f t="shared" si="57"/>
        <v>349846.79</v>
      </c>
      <c r="BG18" s="10">
        <v>279033</v>
      </c>
      <c r="BH18" s="10">
        <v>48650</v>
      </c>
      <c r="BI18" s="10">
        <v>0</v>
      </c>
      <c r="BJ18" s="10">
        <v>57884</v>
      </c>
      <c r="BK18" s="10">
        <v>0</v>
      </c>
      <c r="BL18" s="10">
        <v>13891</v>
      </c>
      <c r="BM18" s="79">
        <f t="shared" si="59"/>
        <v>399458</v>
      </c>
      <c r="BN18" s="10">
        <v>279033</v>
      </c>
      <c r="BO18" s="10">
        <v>19150</v>
      </c>
      <c r="BP18" s="10">
        <v>0</v>
      </c>
      <c r="BQ18" s="10">
        <v>52611</v>
      </c>
      <c r="BR18" s="10">
        <v>0</v>
      </c>
      <c r="BS18" s="10">
        <v>13891</v>
      </c>
      <c r="BT18" s="137">
        <f t="shared" si="60"/>
        <v>364685</v>
      </c>
      <c r="BU18" s="137">
        <v>300281.89</v>
      </c>
      <c r="BV18" s="137">
        <v>8775.84</v>
      </c>
      <c r="BW18" s="79">
        <v>0</v>
      </c>
      <c r="BX18" s="137">
        <v>83848.399999999994</v>
      </c>
      <c r="BY18" s="79">
        <v>0</v>
      </c>
      <c r="BZ18" s="137">
        <v>24114.38</v>
      </c>
      <c r="CA18" s="10">
        <f t="shared" si="61"/>
        <v>417020.51</v>
      </c>
      <c r="CB18" s="137">
        <v>300281.89</v>
      </c>
      <c r="CC18" s="137">
        <v>4249.24</v>
      </c>
      <c r="CD18" s="79">
        <v>0</v>
      </c>
      <c r="CE18" s="137">
        <v>64495.4</v>
      </c>
      <c r="CF18" s="79">
        <v>0</v>
      </c>
      <c r="CG18" s="137">
        <v>24114.38</v>
      </c>
      <c r="CH18" s="10">
        <f t="shared" si="62"/>
        <v>393140.91000000003</v>
      </c>
      <c r="CI18" s="10">
        <f>[26]Planilha1!$E$31</f>
        <v>380030.14</v>
      </c>
      <c r="CJ18" s="10">
        <f>[26]Planilha1!$E$34</f>
        <v>32779.4</v>
      </c>
      <c r="CK18" s="10">
        <v>0</v>
      </c>
      <c r="CL18" s="10">
        <f>[26]Planilha1!$E$32+[26]Planilha1!$E$35</f>
        <v>99135.23</v>
      </c>
      <c r="CM18" s="10">
        <v>0</v>
      </c>
      <c r="CN18" s="10">
        <f>[26]Planilha1!$E$33+[26]Planilha1!$E$36</f>
        <v>80589.100000000006</v>
      </c>
      <c r="CO18" s="10">
        <f t="shared" si="67"/>
        <v>592533.87</v>
      </c>
      <c r="CP18" s="10">
        <f>[26]Planilha1!$F$31</f>
        <v>380030.14</v>
      </c>
      <c r="CQ18" s="10">
        <f>[26]Planilha1!$F$34</f>
        <v>18080.16</v>
      </c>
      <c r="CR18" s="10">
        <v>0</v>
      </c>
      <c r="CS18" s="10">
        <f>[26]Planilha1!$F$32+[26]Planilha1!$F$35</f>
        <v>98519.75</v>
      </c>
      <c r="CT18" s="10">
        <v>0</v>
      </c>
      <c r="CU18" s="10">
        <f>[26]Planilha1!$F$33+[26]Planilha1!$F$36</f>
        <v>80589.100000000006</v>
      </c>
      <c r="CV18" s="10">
        <f t="shared" si="68"/>
        <v>577219.15</v>
      </c>
      <c r="CW18" s="10">
        <v>446057.76</v>
      </c>
      <c r="CX18" s="10">
        <v>349680.43</v>
      </c>
      <c r="CY18" s="10">
        <v>0</v>
      </c>
      <c r="CZ18" s="10">
        <v>175067.91</v>
      </c>
      <c r="DA18" s="10">
        <v>0</v>
      </c>
      <c r="DB18" s="10">
        <f>[26]Planilha1!$C$33+[26]Planilha1!$C$36</f>
        <v>34038.720000000001</v>
      </c>
      <c r="DC18" s="10">
        <f t="shared" si="63"/>
        <v>1004844.82</v>
      </c>
      <c r="DD18" s="10">
        <v>446021.85</v>
      </c>
      <c r="DE18" s="10">
        <v>324325.03999999998</v>
      </c>
      <c r="DF18" s="10">
        <v>0</v>
      </c>
      <c r="DG18" s="10">
        <v>159703.63</v>
      </c>
      <c r="DH18" s="10">
        <v>0</v>
      </c>
      <c r="DI18" s="10">
        <v>18151.77</v>
      </c>
      <c r="DJ18" s="10">
        <f t="shared" si="69"/>
        <v>948202.28999999992</v>
      </c>
      <c r="DK18" s="10">
        <v>745626.76</v>
      </c>
      <c r="DL18" s="10">
        <v>650651.91</v>
      </c>
      <c r="DM18" s="10"/>
      <c r="DN18" s="10">
        <f>790109.04+9126.81</f>
        <v>799235.85000000009</v>
      </c>
      <c r="DO18" s="10">
        <v>0</v>
      </c>
      <c r="DP18" s="10">
        <f>16593.17-9126.81</f>
        <v>7466.3599999999988</v>
      </c>
      <c r="DQ18" s="10">
        <f t="shared" si="64"/>
        <v>2202980.88</v>
      </c>
      <c r="DR18" s="10">
        <v>741369.75</v>
      </c>
      <c r="DS18" s="10">
        <v>585305.07999999996</v>
      </c>
      <c r="DT18" s="10">
        <v>0</v>
      </c>
      <c r="DU18" s="10">
        <v>746151.12999999989</v>
      </c>
      <c r="DV18" s="10">
        <v>0</v>
      </c>
      <c r="DW18" s="10">
        <v>2232.1</v>
      </c>
      <c r="DX18" s="10">
        <f t="shared" si="65"/>
        <v>2075058.06</v>
      </c>
      <c r="DY18" s="10">
        <v>1295241.52</v>
      </c>
      <c r="DZ18" s="10">
        <v>949311.99</v>
      </c>
      <c r="EA18" s="10">
        <v>0</v>
      </c>
      <c r="EB18" s="10">
        <v>1469343.73</v>
      </c>
      <c r="EC18" s="10">
        <v>0</v>
      </c>
      <c r="ED18" s="10">
        <v>10818.39</v>
      </c>
      <c r="EE18" s="10">
        <f t="shared" si="70"/>
        <v>3724715.63</v>
      </c>
      <c r="EF18" s="10">
        <v>1285153.3700000001</v>
      </c>
      <c r="EG18" s="10">
        <v>826744.42</v>
      </c>
      <c r="EH18" s="10">
        <v>0</v>
      </c>
      <c r="EI18" s="10">
        <v>1366598.33</v>
      </c>
      <c r="EJ18" s="10">
        <v>0</v>
      </c>
      <c r="EK18" s="10">
        <v>9926.82</v>
      </c>
      <c r="EL18" s="10">
        <f t="shared" si="66"/>
        <v>3488422.94</v>
      </c>
      <c r="EM18" s="156">
        <f t="shared" si="71"/>
        <v>11011160</v>
      </c>
      <c r="EN18" s="155">
        <f t="shared" si="72"/>
        <v>10815684.379999999</v>
      </c>
      <c r="EO18" s="194"/>
      <c r="EQ18" s="36"/>
      <c r="ER18" s="36"/>
      <c r="ES18" s="36"/>
      <c r="ET18" s="36"/>
    </row>
    <row r="19" spans="1:150" s="5" customFormat="1" ht="12.75" x14ac:dyDescent="0.2">
      <c r="A19" s="201"/>
      <c r="B19" s="4" t="s">
        <v>167</v>
      </c>
      <c r="C19" s="66" t="s">
        <v>28</v>
      </c>
      <c r="D19" s="67">
        <f t="shared" si="58"/>
        <v>35370</v>
      </c>
      <c r="E19" s="75" t="s">
        <v>11</v>
      </c>
      <c r="F19" s="75" t="s">
        <v>11</v>
      </c>
      <c r="G19" s="75" t="s">
        <v>11</v>
      </c>
      <c r="H19" s="75" t="s">
        <v>11</v>
      </c>
      <c r="I19" s="75" t="s">
        <v>11</v>
      </c>
      <c r="J19" s="75" t="s">
        <v>11</v>
      </c>
      <c r="K19" s="75" t="s">
        <v>11</v>
      </c>
      <c r="L19" s="75" t="s">
        <v>11</v>
      </c>
      <c r="M19" s="75" t="s">
        <v>11</v>
      </c>
      <c r="N19" s="75" t="s">
        <v>11</v>
      </c>
      <c r="O19" s="75" t="s">
        <v>11</v>
      </c>
      <c r="P19" s="75" t="s">
        <v>11</v>
      </c>
      <c r="Q19" s="75" t="s">
        <v>11</v>
      </c>
      <c r="R19" s="75" t="s">
        <v>11</v>
      </c>
      <c r="S19" s="75" t="s">
        <v>11</v>
      </c>
      <c r="T19" s="75" t="s">
        <v>11</v>
      </c>
      <c r="U19" s="75" t="s">
        <v>11</v>
      </c>
      <c r="V19" s="75" t="s">
        <v>11</v>
      </c>
      <c r="W19" s="75" t="s">
        <v>11</v>
      </c>
      <c r="X19" s="75" t="s">
        <v>11</v>
      </c>
      <c r="Y19" s="75" t="s">
        <v>11</v>
      </c>
      <c r="Z19" s="75" t="s">
        <v>11</v>
      </c>
      <c r="AA19" s="75" t="s">
        <v>11</v>
      </c>
      <c r="AB19" s="75" t="s">
        <v>11</v>
      </c>
      <c r="AC19" s="68">
        <v>537175.74</v>
      </c>
      <c r="AD19" s="68">
        <v>537406.16000000038</v>
      </c>
      <c r="AE19" s="68">
        <v>519867</v>
      </c>
      <c r="AF19" s="68">
        <v>513995.42</v>
      </c>
      <c r="AG19" s="68">
        <v>544844.73</v>
      </c>
      <c r="AH19" s="68">
        <v>567743.82999999996</v>
      </c>
      <c r="AI19" s="68">
        <v>536323.06999999995</v>
      </c>
      <c r="AJ19" s="68">
        <v>539843.83999999997</v>
      </c>
      <c r="AK19" s="68">
        <v>608310.06999999995</v>
      </c>
      <c r="AL19" s="68">
        <v>594062.68999999994</v>
      </c>
      <c r="AM19" s="68">
        <v>614759</v>
      </c>
      <c r="AN19" s="70">
        <v>589092.09</v>
      </c>
      <c r="AO19" s="72">
        <v>668988.97</v>
      </c>
      <c r="AP19" s="72">
        <v>666020.96</v>
      </c>
      <c r="AQ19" s="72">
        <v>702429.74</v>
      </c>
      <c r="AR19" s="72">
        <v>687352.17</v>
      </c>
      <c r="AS19" s="110">
        <v>971586.38</v>
      </c>
      <c r="AT19" s="110">
        <v>53910.85</v>
      </c>
      <c r="AU19" s="77"/>
      <c r="AV19" s="110">
        <v>6163.31</v>
      </c>
      <c r="AW19" s="77"/>
      <c r="AX19" s="110">
        <v>14464.24</v>
      </c>
      <c r="AY19" s="10">
        <f t="shared" si="56"/>
        <v>1046124.78</v>
      </c>
      <c r="AZ19" s="110">
        <v>971586.38</v>
      </c>
      <c r="BA19" s="110">
        <v>49248.06</v>
      </c>
      <c r="BB19" s="77"/>
      <c r="BC19" s="110">
        <v>5687.94</v>
      </c>
      <c r="BD19" s="77"/>
      <c r="BE19" s="110">
        <v>2313.91</v>
      </c>
      <c r="BF19" s="10">
        <f t="shared" si="57"/>
        <v>1028836.2899999999</v>
      </c>
      <c r="BG19" s="10">
        <v>1712862</v>
      </c>
      <c r="BH19" s="10">
        <v>54238</v>
      </c>
      <c r="BI19" s="10">
        <v>0</v>
      </c>
      <c r="BJ19" s="10">
        <v>10814</v>
      </c>
      <c r="BK19" s="10">
        <v>0</v>
      </c>
      <c r="BL19" s="10">
        <v>31585</v>
      </c>
      <c r="BM19" s="79">
        <f t="shared" si="59"/>
        <v>1809499</v>
      </c>
      <c r="BN19" s="10">
        <v>1337857</v>
      </c>
      <c r="BO19" s="10">
        <v>48149</v>
      </c>
      <c r="BP19" s="10">
        <v>0</v>
      </c>
      <c r="BQ19" s="10">
        <v>8585</v>
      </c>
      <c r="BR19" s="10">
        <v>0</v>
      </c>
      <c r="BS19" s="10">
        <v>25271</v>
      </c>
      <c r="BT19" s="137">
        <f t="shared" si="60"/>
        <v>1419862</v>
      </c>
      <c r="BU19" s="137">
        <v>1292266.9099999999</v>
      </c>
      <c r="BV19" s="137">
        <v>70494.720000000001</v>
      </c>
      <c r="BW19" s="79">
        <v>0</v>
      </c>
      <c r="BX19" s="137">
        <v>14265.87</v>
      </c>
      <c r="BY19" s="79">
        <v>0</v>
      </c>
      <c r="BZ19" s="137">
        <v>24704.2</v>
      </c>
      <c r="CA19" s="10">
        <f>SUM(BU19:BZ19)</f>
        <v>1401731.7</v>
      </c>
      <c r="CB19" s="137">
        <v>969384.77000000095</v>
      </c>
      <c r="CC19" s="137">
        <v>65487.07</v>
      </c>
      <c r="CD19" s="79">
        <v>0</v>
      </c>
      <c r="CE19" s="137">
        <v>11571.92</v>
      </c>
      <c r="CF19" s="79">
        <v>0</v>
      </c>
      <c r="CG19" s="137">
        <v>21154.33</v>
      </c>
      <c r="CH19" s="10">
        <f t="shared" si="62"/>
        <v>1067598.090000001</v>
      </c>
      <c r="CI19" s="10">
        <f>[26]Planilha1!$E$23</f>
        <v>983292.68</v>
      </c>
      <c r="CJ19" s="10">
        <f>[26]Planilha1!$E$25</f>
        <v>88307.15</v>
      </c>
      <c r="CK19" s="10">
        <v>0</v>
      </c>
      <c r="CL19" s="10">
        <f>[26]Planilha1!$E$26</f>
        <v>24468.400000000001</v>
      </c>
      <c r="CM19" s="10">
        <v>0</v>
      </c>
      <c r="CN19" s="10">
        <f>[26]Planilha1!$E$24+[26]Planilha1!$E$27</f>
        <v>28719.96</v>
      </c>
      <c r="CO19" s="10">
        <f t="shared" si="67"/>
        <v>1124788.19</v>
      </c>
      <c r="CP19" s="10">
        <f>[26]Planilha1!$F$23</f>
        <v>980359.84</v>
      </c>
      <c r="CQ19" s="10">
        <f>[26]Planilha1!$F$25</f>
        <v>82295.08</v>
      </c>
      <c r="CR19" s="10">
        <v>0</v>
      </c>
      <c r="CS19" s="10">
        <f>[26]Planilha1!$F$26</f>
        <v>17988.849999999999</v>
      </c>
      <c r="CT19" s="10">
        <v>0</v>
      </c>
      <c r="CU19" s="10">
        <f>[26]Planilha1!$F$24+[26]Planilha1!$F$27</f>
        <v>27371.09</v>
      </c>
      <c r="CV19" s="10">
        <f>SUM(CP19:CU19)</f>
        <v>1108014.8600000001</v>
      </c>
      <c r="CW19" s="10">
        <f>[26]Planilha1!$C$23</f>
        <v>1089251.03</v>
      </c>
      <c r="CX19" s="10">
        <f>[26]Planilha1!$C$25</f>
        <v>71584.990000000005</v>
      </c>
      <c r="CY19" s="10">
        <v>0</v>
      </c>
      <c r="CZ19" s="10">
        <f>[26]Planilha1!$C$26</f>
        <v>22041.11</v>
      </c>
      <c r="DA19" s="10">
        <v>0</v>
      </c>
      <c r="DB19" s="10">
        <f>[26]Planilha1!$C$24+[26]Planilha1!$C$27</f>
        <v>33059.760000000002</v>
      </c>
      <c r="DC19" s="10">
        <f t="shared" si="63"/>
        <v>1215936.8900000001</v>
      </c>
      <c r="DD19" s="10">
        <f>1076141.93</f>
        <v>1076141.93</v>
      </c>
      <c r="DE19" s="10">
        <f>[26]Planilha1!$D$25</f>
        <v>62608.61</v>
      </c>
      <c r="DF19" s="10">
        <v>0</v>
      </c>
      <c r="DG19" s="10">
        <f>14757.02</f>
        <v>14757.02</v>
      </c>
      <c r="DH19" s="10">
        <v>0</v>
      </c>
      <c r="DI19" s="10">
        <v>29141.190000000002</v>
      </c>
      <c r="DJ19" s="10">
        <f t="shared" si="69"/>
        <v>1182648.75</v>
      </c>
      <c r="DK19" s="10">
        <v>1229046.69</v>
      </c>
      <c r="DL19" s="10">
        <v>71009.210000000006</v>
      </c>
      <c r="DM19" s="10"/>
      <c r="DN19" s="10">
        <v>28385.5</v>
      </c>
      <c r="DO19" s="10">
        <v>0</v>
      </c>
      <c r="DP19" s="10">
        <v>40108.15</v>
      </c>
      <c r="DQ19" s="10">
        <f t="shared" si="64"/>
        <v>1368549.5499999998</v>
      </c>
      <c r="DR19" s="10">
        <v>1214502.7</v>
      </c>
      <c r="DS19" s="10">
        <v>62048.82</v>
      </c>
      <c r="DT19" s="10">
        <v>0</v>
      </c>
      <c r="DU19" s="10">
        <v>21508.06</v>
      </c>
      <c r="DV19" s="10">
        <v>0</v>
      </c>
      <c r="DW19" s="10">
        <v>34090.119999999995</v>
      </c>
      <c r="DX19" s="10">
        <f t="shared" si="65"/>
        <v>1332149.7000000002</v>
      </c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56">
        <f t="shared" si="71"/>
        <v>12699328.43</v>
      </c>
      <c r="EN19" s="155">
        <f t="shared" si="72"/>
        <v>11834626.850000001</v>
      </c>
      <c r="EO19" s="194"/>
      <c r="EQ19" s="36"/>
      <c r="ER19" s="36"/>
      <c r="ES19" s="36"/>
      <c r="ET19" s="36"/>
    </row>
    <row r="20" spans="1:150" s="5" customFormat="1" ht="12.75" x14ac:dyDescent="0.2">
      <c r="A20" s="201"/>
      <c r="B20" s="4" t="s">
        <v>166</v>
      </c>
      <c r="C20" s="66" t="s">
        <v>28</v>
      </c>
      <c r="D20" s="67">
        <f t="shared" si="58"/>
        <v>35370</v>
      </c>
      <c r="E20" s="75" t="s">
        <v>11</v>
      </c>
      <c r="F20" s="75" t="s">
        <v>11</v>
      </c>
      <c r="G20" s="75" t="s">
        <v>11</v>
      </c>
      <c r="H20" s="75" t="s">
        <v>11</v>
      </c>
      <c r="I20" s="75" t="s">
        <v>11</v>
      </c>
      <c r="J20" s="75" t="s">
        <v>11</v>
      </c>
      <c r="K20" s="75" t="s">
        <v>11</v>
      </c>
      <c r="L20" s="75" t="s">
        <v>11</v>
      </c>
      <c r="M20" s="75" t="s">
        <v>11</v>
      </c>
      <c r="N20" s="75" t="s">
        <v>11</v>
      </c>
      <c r="O20" s="75" t="s">
        <v>11</v>
      </c>
      <c r="P20" s="75" t="s">
        <v>11</v>
      </c>
      <c r="Q20" s="75" t="s">
        <v>11</v>
      </c>
      <c r="R20" s="75" t="s">
        <v>11</v>
      </c>
      <c r="S20" s="75" t="s">
        <v>11</v>
      </c>
      <c r="T20" s="75" t="s">
        <v>11</v>
      </c>
      <c r="U20" s="75" t="s">
        <v>11</v>
      </c>
      <c r="V20" s="75" t="s">
        <v>11</v>
      </c>
      <c r="W20" s="75" t="s">
        <v>11</v>
      </c>
      <c r="X20" s="75" t="s">
        <v>11</v>
      </c>
      <c r="Y20" s="75" t="s">
        <v>11</v>
      </c>
      <c r="Z20" s="75" t="s">
        <v>11</v>
      </c>
      <c r="AA20" s="75" t="s">
        <v>11</v>
      </c>
      <c r="AB20" s="75" t="s">
        <v>11</v>
      </c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1"/>
      <c r="AO20" s="162"/>
      <c r="AP20" s="162"/>
      <c r="AQ20" s="162"/>
      <c r="AR20" s="162"/>
      <c r="AS20" s="163"/>
      <c r="AT20" s="163"/>
      <c r="AU20" s="164"/>
      <c r="AV20" s="163"/>
      <c r="AW20" s="164"/>
      <c r="AX20" s="163"/>
      <c r="AY20" s="165"/>
      <c r="AZ20" s="163"/>
      <c r="BA20" s="163"/>
      <c r="BB20" s="164"/>
      <c r="BC20" s="163"/>
      <c r="BD20" s="164"/>
      <c r="BE20" s="163"/>
      <c r="BF20" s="165"/>
      <c r="BG20" s="165"/>
      <c r="BH20" s="165"/>
      <c r="BI20" s="165"/>
      <c r="BJ20" s="165"/>
      <c r="BK20" s="165"/>
      <c r="BL20" s="165"/>
      <c r="BM20" s="166"/>
      <c r="BN20" s="165"/>
      <c r="BO20" s="165"/>
      <c r="BP20" s="165"/>
      <c r="BQ20" s="165"/>
      <c r="BR20" s="165"/>
      <c r="BS20" s="165"/>
      <c r="BT20" s="167"/>
      <c r="BU20" s="167"/>
      <c r="BV20" s="167"/>
      <c r="BW20" s="166"/>
      <c r="BX20" s="167"/>
      <c r="BY20" s="166"/>
      <c r="BZ20" s="167"/>
      <c r="CA20" s="165"/>
      <c r="CB20" s="167"/>
      <c r="CC20" s="167"/>
      <c r="CD20" s="166"/>
      <c r="CE20" s="167"/>
      <c r="CF20" s="166"/>
      <c r="CG20" s="167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0">
        <v>680432.8</v>
      </c>
      <c r="DZ20" s="10">
        <v>89752.71</v>
      </c>
      <c r="EA20" s="10">
        <v>0</v>
      </c>
      <c r="EB20" s="10">
        <v>27841.03</v>
      </c>
      <c r="EC20" s="10">
        <v>0</v>
      </c>
      <c r="ED20" s="10">
        <v>12934.63</v>
      </c>
      <c r="EE20" s="10">
        <f t="shared" si="70"/>
        <v>810961.17</v>
      </c>
      <c r="EF20" s="10">
        <v>680432.8</v>
      </c>
      <c r="EG20" s="10">
        <v>85875.77</v>
      </c>
      <c r="EH20" s="10">
        <v>0</v>
      </c>
      <c r="EI20" s="10">
        <v>23019.439999999999</v>
      </c>
      <c r="EJ20" s="10">
        <v>0</v>
      </c>
      <c r="EK20" s="10">
        <v>11354.39</v>
      </c>
      <c r="EL20" s="10">
        <f t="shared" si="66"/>
        <v>800682.4</v>
      </c>
      <c r="EM20" s="156">
        <f t="shared" ref="EM20:EM21" si="73">AC20+AE20+AG20+AI20+AK20+AM20+AO20+AQ20+AY20+BM20+CA20+CO20+DC20+DQ20+EE20</f>
        <v>810961.17</v>
      </c>
      <c r="EN20" s="155">
        <f t="shared" ref="EN20:EN21" si="74">AD20+AF20+AH20+AJ20+AL20+AN20+AP20+AR20+BF20+BT20+CH20+CV20+DJ20+DX20+EL20</f>
        <v>800682.4</v>
      </c>
      <c r="EO20" s="194"/>
      <c r="EQ20" s="36"/>
      <c r="ER20" s="36"/>
      <c r="ES20" s="36"/>
      <c r="ET20" s="36"/>
    </row>
    <row r="21" spans="1:150" s="5" customFormat="1" ht="12.75" x14ac:dyDescent="0.2">
      <c r="A21" s="201"/>
      <c r="B21" s="4" t="s">
        <v>165</v>
      </c>
      <c r="C21" s="66" t="s">
        <v>28</v>
      </c>
      <c r="D21" s="67">
        <f t="shared" si="58"/>
        <v>35370</v>
      </c>
      <c r="E21" s="75" t="s">
        <v>11</v>
      </c>
      <c r="F21" s="75" t="s">
        <v>11</v>
      </c>
      <c r="G21" s="75" t="s">
        <v>11</v>
      </c>
      <c r="H21" s="75" t="s">
        <v>11</v>
      </c>
      <c r="I21" s="75" t="s">
        <v>11</v>
      </c>
      <c r="J21" s="75" t="s">
        <v>11</v>
      </c>
      <c r="K21" s="75" t="s">
        <v>11</v>
      </c>
      <c r="L21" s="75" t="s">
        <v>11</v>
      </c>
      <c r="M21" s="75" t="s">
        <v>11</v>
      </c>
      <c r="N21" s="75" t="s">
        <v>11</v>
      </c>
      <c r="O21" s="75" t="s">
        <v>11</v>
      </c>
      <c r="P21" s="75" t="s">
        <v>11</v>
      </c>
      <c r="Q21" s="75" t="s">
        <v>11</v>
      </c>
      <c r="R21" s="75" t="s">
        <v>11</v>
      </c>
      <c r="S21" s="75" t="s">
        <v>11</v>
      </c>
      <c r="T21" s="75" t="s">
        <v>11</v>
      </c>
      <c r="U21" s="75" t="s">
        <v>11</v>
      </c>
      <c r="V21" s="75" t="s">
        <v>11</v>
      </c>
      <c r="W21" s="75" t="s">
        <v>11</v>
      </c>
      <c r="X21" s="75" t="s">
        <v>11</v>
      </c>
      <c r="Y21" s="75" t="s">
        <v>11</v>
      </c>
      <c r="Z21" s="75" t="s">
        <v>11</v>
      </c>
      <c r="AA21" s="75" t="s">
        <v>11</v>
      </c>
      <c r="AB21" s="75" t="s">
        <v>11</v>
      </c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1"/>
      <c r="AO21" s="162"/>
      <c r="AP21" s="162"/>
      <c r="AQ21" s="162"/>
      <c r="AR21" s="162"/>
      <c r="AS21" s="163"/>
      <c r="AT21" s="163"/>
      <c r="AU21" s="164"/>
      <c r="AV21" s="163"/>
      <c r="AW21" s="164"/>
      <c r="AX21" s="163"/>
      <c r="AY21" s="165"/>
      <c r="AZ21" s="163"/>
      <c r="BA21" s="163"/>
      <c r="BB21" s="164"/>
      <c r="BC21" s="163"/>
      <c r="BD21" s="164"/>
      <c r="BE21" s="163"/>
      <c r="BF21" s="165"/>
      <c r="BG21" s="165"/>
      <c r="BH21" s="165"/>
      <c r="BI21" s="165"/>
      <c r="BJ21" s="165"/>
      <c r="BK21" s="165"/>
      <c r="BL21" s="165"/>
      <c r="BM21" s="166"/>
      <c r="BN21" s="165"/>
      <c r="BO21" s="165"/>
      <c r="BP21" s="165"/>
      <c r="BQ21" s="165"/>
      <c r="BR21" s="165"/>
      <c r="BS21" s="165"/>
      <c r="BT21" s="167"/>
      <c r="BU21" s="167"/>
      <c r="BV21" s="167"/>
      <c r="BW21" s="166"/>
      <c r="BX21" s="167"/>
      <c r="BY21" s="166"/>
      <c r="BZ21" s="167"/>
      <c r="CA21" s="165"/>
      <c r="CB21" s="167"/>
      <c r="CC21" s="167"/>
      <c r="CD21" s="166"/>
      <c r="CE21" s="167"/>
      <c r="CF21" s="166"/>
      <c r="CG21" s="167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0">
        <v>635681.15</v>
      </c>
      <c r="DZ21" s="10">
        <v>13154.16</v>
      </c>
      <c r="EA21" s="10">
        <v>0</v>
      </c>
      <c r="EB21" s="10">
        <v>5713.53</v>
      </c>
      <c r="EC21" s="10">
        <v>0</v>
      </c>
      <c r="ED21" s="10">
        <v>19899.75</v>
      </c>
      <c r="EE21" s="10">
        <f t="shared" si="70"/>
        <v>674448.59000000008</v>
      </c>
      <c r="EF21" s="10">
        <v>632889.14</v>
      </c>
      <c r="EG21" s="10">
        <v>4802.47</v>
      </c>
      <c r="EH21" s="10">
        <v>0</v>
      </c>
      <c r="EI21" s="10">
        <v>5507.84</v>
      </c>
      <c r="EJ21" s="10">
        <v>0</v>
      </c>
      <c r="EK21" s="10">
        <v>14307.82</v>
      </c>
      <c r="EL21" s="10">
        <f t="shared" si="66"/>
        <v>657507.2699999999</v>
      </c>
      <c r="EM21" s="156">
        <f t="shared" si="73"/>
        <v>674448.59000000008</v>
      </c>
      <c r="EN21" s="155">
        <f t="shared" si="74"/>
        <v>657507.2699999999</v>
      </c>
      <c r="EO21" s="194"/>
      <c r="EQ21" s="36"/>
      <c r="ER21" s="36"/>
      <c r="ES21" s="36"/>
      <c r="ET21" s="36"/>
    </row>
    <row r="22" spans="1:150" s="5" customFormat="1" ht="12.75" x14ac:dyDescent="0.2">
      <c r="A22" s="201"/>
      <c r="B22" s="4" t="s">
        <v>89</v>
      </c>
      <c r="C22" s="66" t="s">
        <v>28</v>
      </c>
      <c r="D22" s="67">
        <f>D19</f>
        <v>35370</v>
      </c>
      <c r="E22" s="75" t="s">
        <v>11</v>
      </c>
      <c r="F22" s="75" t="s">
        <v>11</v>
      </c>
      <c r="G22" s="75" t="s">
        <v>11</v>
      </c>
      <c r="H22" s="75" t="s">
        <v>11</v>
      </c>
      <c r="I22" s="75" t="s">
        <v>11</v>
      </c>
      <c r="J22" s="75" t="s">
        <v>11</v>
      </c>
      <c r="K22" s="75" t="s">
        <v>11</v>
      </c>
      <c r="L22" s="75" t="s">
        <v>11</v>
      </c>
      <c r="M22" s="75" t="s">
        <v>11</v>
      </c>
      <c r="N22" s="75" t="s">
        <v>11</v>
      </c>
      <c r="O22" s="75" t="s">
        <v>11</v>
      </c>
      <c r="P22" s="75" t="s">
        <v>11</v>
      </c>
      <c r="Q22" s="75" t="s">
        <v>11</v>
      </c>
      <c r="R22" s="75" t="s">
        <v>11</v>
      </c>
      <c r="S22" s="75" t="s">
        <v>11</v>
      </c>
      <c r="T22" s="75" t="s">
        <v>11</v>
      </c>
      <c r="U22" s="75" t="s">
        <v>11</v>
      </c>
      <c r="V22" s="75" t="s">
        <v>11</v>
      </c>
      <c r="W22" s="75" t="s">
        <v>11</v>
      </c>
      <c r="X22" s="75" t="s">
        <v>11</v>
      </c>
      <c r="Y22" s="75" t="s">
        <v>11</v>
      </c>
      <c r="Z22" s="75" t="s">
        <v>11</v>
      </c>
      <c r="AA22" s="75" t="s">
        <v>11</v>
      </c>
      <c r="AB22" s="75" t="s">
        <v>11</v>
      </c>
      <c r="AC22" s="68">
        <v>397245.07</v>
      </c>
      <c r="AD22" s="68">
        <v>316643.79000000004</v>
      </c>
      <c r="AE22" s="68">
        <v>413381.46</v>
      </c>
      <c r="AF22" s="68">
        <v>426244.39</v>
      </c>
      <c r="AG22" s="68">
        <v>441433.16</v>
      </c>
      <c r="AH22" s="68">
        <v>583341.81000000006</v>
      </c>
      <c r="AI22" s="68">
        <v>408794.39</v>
      </c>
      <c r="AJ22" s="68">
        <v>540074.27</v>
      </c>
      <c r="AK22" s="68">
        <v>516134.23</v>
      </c>
      <c r="AL22" s="68">
        <v>651248.02</v>
      </c>
      <c r="AM22" s="68">
        <v>703857</v>
      </c>
      <c r="AN22" s="70">
        <v>714667.75</v>
      </c>
      <c r="AO22" s="72">
        <v>679527.59</v>
      </c>
      <c r="AP22" s="72">
        <v>833357.26</v>
      </c>
      <c r="AQ22" s="72">
        <v>685693.6</v>
      </c>
      <c r="AR22" s="72">
        <v>606928.88</v>
      </c>
      <c r="AS22" s="110">
        <v>611061.80000000005</v>
      </c>
      <c r="AT22" s="110">
        <v>31638.03</v>
      </c>
      <c r="AU22" s="77"/>
      <c r="AV22" s="110">
        <v>1051.02</v>
      </c>
      <c r="AW22" s="77"/>
      <c r="AX22" s="110">
        <v>66427.88</v>
      </c>
      <c r="AY22" s="10">
        <f t="shared" si="56"/>
        <v>710178.7300000001</v>
      </c>
      <c r="AZ22" s="110">
        <v>596331.81000000006</v>
      </c>
      <c r="BA22" s="110">
        <v>17348.64</v>
      </c>
      <c r="BB22" s="77"/>
      <c r="BC22" s="110">
        <v>595.76</v>
      </c>
      <c r="BD22" s="77"/>
      <c r="BE22" s="110">
        <v>37744.26</v>
      </c>
      <c r="BF22" s="10">
        <f t="shared" si="57"/>
        <v>652020.47000000009</v>
      </c>
      <c r="BG22" s="10">
        <v>573224</v>
      </c>
      <c r="BH22" s="10">
        <v>92336</v>
      </c>
      <c r="BI22" s="10">
        <v>0</v>
      </c>
      <c r="BJ22" s="10">
        <v>0</v>
      </c>
      <c r="BK22" s="10">
        <v>0</v>
      </c>
      <c r="BL22" s="10">
        <v>12051</v>
      </c>
      <c r="BM22" s="79">
        <f t="shared" si="59"/>
        <v>677611</v>
      </c>
      <c r="BN22" s="10">
        <v>571045</v>
      </c>
      <c r="BO22" s="10">
        <v>59065</v>
      </c>
      <c r="BP22" s="10">
        <v>0</v>
      </c>
      <c r="BQ22" s="10">
        <v>0</v>
      </c>
      <c r="BR22" s="10">
        <v>0</v>
      </c>
      <c r="BS22" s="10">
        <v>11976</v>
      </c>
      <c r="BT22" s="137">
        <f t="shared" si="60"/>
        <v>642086</v>
      </c>
      <c r="BU22" s="137">
        <v>734339.9</v>
      </c>
      <c r="BV22" s="137">
        <v>26898.97</v>
      </c>
      <c r="BW22" s="79">
        <v>0</v>
      </c>
      <c r="BX22" s="137">
        <v>5374.09</v>
      </c>
      <c r="BY22" s="79">
        <v>0</v>
      </c>
      <c r="BZ22" s="137">
        <v>65039.23</v>
      </c>
      <c r="CA22" s="10">
        <f t="shared" si="61"/>
        <v>831652.19</v>
      </c>
      <c r="CB22" s="137">
        <v>715263.31</v>
      </c>
      <c r="CC22" s="137">
        <v>18699.099999999999</v>
      </c>
      <c r="CD22" s="79">
        <v>0</v>
      </c>
      <c r="CE22" s="137">
        <v>2706.09</v>
      </c>
      <c r="CF22" s="79">
        <v>0</v>
      </c>
      <c r="CG22" s="137">
        <v>48696.23</v>
      </c>
      <c r="CH22" s="10">
        <f t="shared" si="62"/>
        <v>785364.73</v>
      </c>
      <c r="CI22" s="10">
        <f>[26]Planilha1!$E$40</f>
        <v>892009.28</v>
      </c>
      <c r="CJ22" s="10">
        <f>[26]Planilha1!$E$44</f>
        <v>45038.94</v>
      </c>
      <c r="CK22" s="10">
        <v>0</v>
      </c>
      <c r="CL22" s="10">
        <f>[26]Planilha1!$E$42+[26]Planilha1!$E$45</f>
        <v>13099.24</v>
      </c>
      <c r="CM22" s="10">
        <v>0</v>
      </c>
      <c r="CN22" s="10">
        <f>[26]Planilha1!$E$41+[26]Planilha1!$E$43+[26]Planilha1!$E$46</f>
        <v>71821.37</v>
      </c>
      <c r="CO22" s="10">
        <f t="shared" si="67"/>
        <v>1021968.83</v>
      </c>
      <c r="CP22" s="10">
        <f>[26]Planilha1!$F$40</f>
        <v>857969.86</v>
      </c>
      <c r="CQ22" s="10">
        <f>[26]Planilha1!$F$44</f>
        <v>36059.61</v>
      </c>
      <c r="CR22" s="10">
        <v>0</v>
      </c>
      <c r="CS22" s="10">
        <f>[26]Planilha1!$F$42+[26]Planilha1!$F$45</f>
        <v>6260.13</v>
      </c>
      <c r="CT22" s="10">
        <v>0</v>
      </c>
      <c r="CU22" s="10">
        <f>[26]Planilha1!$F$41+[26]Planilha1!$F$43+[26]Planilha1!$F$46</f>
        <v>58028.180000000008</v>
      </c>
      <c r="CV22" s="10">
        <f t="shared" si="68"/>
        <v>958317.78</v>
      </c>
      <c r="CW22" s="10">
        <f>843711.94</f>
        <v>843711.94</v>
      </c>
      <c r="CX22" s="10">
        <f>[26]Planilha1!$C$44</f>
        <v>58167.03</v>
      </c>
      <c r="CY22" s="10">
        <v>0</v>
      </c>
      <c r="CZ22" s="10">
        <f>[26]Planilha1!$C$42+[26]Planilha1!$C$45</f>
        <v>20061.089999999997</v>
      </c>
      <c r="DA22" s="10">
        <v>0</v>
      </c>
      <c r="DB22" s="10">
        <f>[26]Planilha1!$C$41+[26]Planilha1!$C$43+[26]Planilha1!$C$46</f>
        <v>76821.39</v>
      </c>
      <c r="DC22" s="10">
        <f t="shared" si="63"/>
        <v>998761.45</v>
      </c>
      <c r="DD22" s="10">
        <f>809734.99</f>
        <v>809734.99</v>
      </c>
      <c r="DE22" s="10">
        <v>45585.27</v>
      </c>
      <c r="DF22" s="10">
        <v>0</v>
      </c>
      <c r="DG22" s="10">
        <v>9578.31</v>
      </c>
      <c r="DH22" s="10">
        <v>0</v>
      </c>
      <c r="DI22" s="10">
        <v>50626.770000000004</v>
      </c>
      <c r="DJ22" s="10">
        <f t="shared" si="69"/>
        <v>915525.34000000008</v>
      </c>
      <c r="DK22" s="10">
        <v>1053341.1500000001</v>
      </c>
      <c r="DL22" s="10">
        <v>61430.7</v>
      </c>
      <c r="DM22" s="10"/>
      <c r="DN22" s="10">
        <f>180.28+32418.43</f>
        <v>32598.71</v>
      </c>
      <c r="DO22" s="10">
        <v>0</v>
      </c>
      <c r="DP22" s="10">
        <f>128900.9-32418.43</f>
        <v>96482.47</v>
      </c>
      <c r="DQ22" s="10">
        <f t="shared" si="64"/>
        <v>1243853.03</v>
      </c>
      <c r="DR22" s="10">
        <v>1033040.47</v>
      </c>
      <c r="DS22" s="10">
        <v>46335.5</v>
      </c>
      <c r="DT22" s="10">
        <v>0</v>
      </c>
      <c r="DU22" s="10">
        <v>13704.71</v>
      </c>
      <c r="DV22" s="10">
        <v>0</v>
      </c>
      <c r="DW22" s="10">
        <f>96705.77-13704.71</f>
        <v>83001.06</v>
      </c>
      <c r="DX22" s="10">
        <f t="shared" si="65"/>
        <v>1176081.74</v>
      </c>
      <c r="DY22" s="10">
        <v>1870772.35</v>
      </c>
      <c r="DZ22" s="10">
        <v>52071.05</v>
      </c>
      <c r="EA22" s="10">
        <v>0</v>
      </c>
      <c r="EB22" s="10">
        <v>58751.299999999996</v>
      </c>
      <c r="EC22" s="10">
        <v>0</v>
      </c>
      <c r="ED22" s="10">
        <v>117054.98000000001</v>
      </c>
      <c r="EE22" s="10">
        <f t="shared" si="70"/>
        <v>2098649.6800000002</v>
      </c>
      <c r="EF22" s="10">
        <v>1388130.41</v>
      </c>
      <c r="EG22" s="10">
        <v>47734.51</v>
      </c>
      <c r="EH22" s="10">
        <v>0</v>
      </c>
      <c r="EI22" s="10">
        <v>35489.410000000003</v>
      </c>
      <c r="EJ22" s="10">
        <v>0</v>
      </c>
      <c r="EK22" s="10">
        <v>107823.82</v>
      </c>
      <c r="EL22" s="10">
        <f t="shared" si="66"/>
        <v>1579178.15</v>
      </c>
      <c r="EM22" s="156">
        <f t="shared" si="71"/>
        <v>11828741.409999998</v>
      </c>
      <c r="EN22" s="155">
        <f t="shared" si="72"/>
        <v>11381080.380000001</v>
      </c>
      <c r="EO22" s="194"/>
      <c r="EQ22" s="36"/>
      <c r="ER22" s="36"/>
      <c r="ES22" s="36"/>
      <c r="ET22" s="36"/>
    </row>
    <row r="23" spans="1:150" s="5" customFormat="1" ht="12.75" x14ac:dyDescent="0.2">
      <c r="A23" s="201"/>
      <c r="B23" s="4" t="s">
        <v>90</v>
      </c>
      <c r="C23" s="66" t="s">
        <v>28</v>
      </c>
      <c r="D23" s="67">
        <f t="shared" si="58"/>
        <v>35370</v>
      </c>
      <c r="E23" s="75" t="s">
        <v>11</v>
      </c>
      <c r="F23" s="75" t="s">
        <v>11</v>
      </c>
      <c r="G23" s="75" t="s">
        <v>11</v>
      </c>
      <c r="H23" s="75" t="s">
        <v>11</v>
      </c>
      <c r="I23" s="75" t="s">
        <v>11</v>
      </c>
      <c r="J23" s="75" t="s">
        <v>11</v>
      </c>
      <c r="K23" s="75" t="s">
        <v>11</v>
      </c>
      <c r="L23" s="75" t="s">
        <v>11</v>
      </c>
      <c r="M23" s="75" t="s">
        <v>11</v>
      </c>
      <c r="N23" s="75" t="s">
        <v>11</v>
      </c>
      <c r="O23" s="75" t="s">
        <v>11</v>
      </c>
      <c r="P23" s="75" t="s">
        <v>11</v>
      </c>
      <c r="Q23" s="75" t="s">
        <v>11</v>
      </c>
      <c r="R23" s="75" t="s">
        <v>11</v>
      </c>
      <c r="S23" s="75" t="s">
        <v>11</v>
      </c>
      <c r="T23" s="75" t="s">
        <v>11</v>
      </c>
      <c r="U23" s="75" t="s">
        <v>11</v>
      </c>
      <c r="V23" s="75" t="s">
        <v>11</v>
      </c>
      <c r="W23" s="75" t="s">
        <v>11</v>
      </c>
      <c r="X23" s="75" t="s">
        <v>11</v>
      </c>
      <c r="Y23" s="75" t="s">
        <v>11</v>
      </c>
      <c r="Z23" s="75" t="s">
        <v>11</v>
      </c>
      <c r="AA23" s="75" t="s">
        <v>11</v>
      </c>
      <c r="AB23" s="75" t="s">
        <v>11</v>
      </c>
      <c r="AC23" s="68">
        <v>653044.52</v>
      </c>
      <c r="AD23" s="68">
        <v>485686.07999999984</v>
      </c>
      <c r="AE23" s="68">
        <v>614079.92000000004</v>
      </c>
      <c r="AF23" s="68">
        <v>505952.93999999994</v>
      </c>
      <c r="AG23" s="68">
        <v>952227.73</v>
      </c>
      <c r="AH23" s="68">
        <v>787490.34</v>
      </c>
      <c r="AI23" s="68">
        <v>840738.33</v>
      </c>
      <c r="AJ23" s="68">
        <v>946612.55999999982</v>
      </c>
      <c r="AK23" s="68">
        <v>1357260.71</v>
      </c>
      <c r="AL23" s="68">
        <v>1280887.9900000002</v>
      </c>
      <c r="AM23" s="68">
        <v>1852495</v>
      </c>
      <c r="AN23" s="69">
        <v>1946724.5099999995</v>
      </c>
      <c r="AO23" s="72">
        <v>2318301.21</v>
      </c>
      <c r="AP23" s="72">
        <v>2512339.06</v>
      </c>
      <c r="AQ23" s="72">
        <v>2413020.5499999998</v>
      </c>
      <c r="AR23" s="72">
        <v>2295548.19</v>
      </c>
      <c r="AS23" s="110">
        <v>802834.95</v>
      </c>
      <c r="AT23" s="110">
        <v>505972.17</v>
      </c>
      <c r="AU23" s="77"/>
      <c r="AV23" s="110">
        <v>743765.91999999899</v>
      </c>
      <c r="AW23" s="77"/>
      <c r="AX23" s="110">
        <v>89852.709999999905</v>
      </c>
      <c r="AY23" s="10">
        <f t="shared" si="56"/>
        <v>2142425.7499999986</v>
      </c>
      <c r="AZ23" s="110">
        <v>759861.89</v>
      </c>
      <c r="BA23" s="110">
        <v>491273.33</v>
      </c>
      <c r="BB23" s="77"/>
      <c r="BC23" s="110">
        <v>707072.63</v>
      </c>
      <c r="BD23" s="77"/>
      <c r="BE23" s="110">
        <v>59805.059999999903</v>
      </c>
      <c r="BF23" s="10">
        <f t="shared" si="57"/>
        <v>2018012.91</v>
      </c>
      <c r="BG23" s="10">
        <v>973967</v>
      </c>
      <c r="BH23" s="10">
        <v>599869</v>
      </c>
      <c r="BI23" s="10">
        <v>0</v>
      </c>
      <c r="BJ23" s="10">
        <v>632653</v>
      </c>
      <c r="BK23" s="10">
        <v>0</v>
      </c>
      <c r="BL23" s="10">
        <v>2623</v>
      </c>
      <c r="BM23" s="79">
        <f t="shared" si="59"/>
        <v>2209112</v>
      </c>
      <c r="BN23" s="10">
        <v>853946</v>
      </c>
      <c r="BO23" s="10">
        <v>573526</v>
      </c>
      <c r="BP23" s="10">
        <v>0</v>
      </c>
      <c r="BQ23" s="10">
        <v>584096</v>
      </c>
      <c r="BR23" s="10">
        <v>0</v>
      </c>
      <c r="BS23" s="10">
        <v>2623</v>
      </c>
      <c r="BT23" s="137">
        <f t="shared" si="60"/>
        <v>2014191</v>
      </c>
      <c r="BU23" s="137">
        <v>1076424.42</v>
      </c>
      <c r="BV23" s="137">
        <v>650279.93000000005</v>
      </c>
      <c r="BW23" s="79">
        <v>0</v>
      </c>
      <c r="BX23" s="137">
        <v>601006.76000000106</v>
      </c>
      <c r="BY23" s="79">
        <v>0</v>
      </c>
      <c r="BZ23" s="137">
        <v>22520.05</v>
      </c>
      <c r="CA23" s="10">
        <f t="shared" si="61"/>
        <v>2350231.1600000011</v>
      </c>
      <c r="CB23" s="137">
        <v>1076124.6599999999</v>
      </c>
      <c r="CC23" s="137">
        <v>625643.43999999994</v>
      </c>
      <c r="CD23" s="79">
        <v>0</v>
      </c>
      <c r="CE23" s="137">
        <v>540269.05999999994</v>
      </c>
      <c r="CF23" s="79">
        <v>0</v>
      </c>
      <c r="CG23" s="137">
        <v>22520.05</v>
      </c>
      <c r="CH23" s="10">
        <f t="shared" si="62"/>
        <v>2264557.2099999995</v>
      </c>
      <c r="CI23" s="10">
        <f>[26]Planilha1!$E$79</f>
        <v>1164437.1200000001</v>
      </c>
      <c r="CJ23" s="10">
        <f>[26]Planilha1!$E$83</f>
        <v>988946.83</v>
      </c>
      <c r="CK23" s="10">
        <v>0</v>
      </c>
      <c r="CL23" s="10">
        <f>[26]Planilha1!$E$81+[26]Planilha1!$E$84+[26]Planilha1!$E$85</f>
        <v>712381.09000000008</v>
      </c>
      <c r="CM23" s="10">
        <f>0</f>
        <v>0</v>
      </c>
      <c r="CN23" s="10">
        <f>[26]Planilha1!$E$80+[26]Planilha1!$E$82+[26]Planilha1!$E$86</f>
        <v>21618.98</v>
      </c>
      <c r="CO23" s="10">
        <f t="shared" si="67"/>
        <v>2887384.02</v>
      </c>
      <c r="CP23" s="10">
        <f>[26]Planilha1!$F$79</f>
        <v>1160523.95</v>
      </c>
      <c r="CQ23" s="10">
        <f>[26]Planilha1!$F$83</f>
        <v>844636.52</v>
      </c>
      <c r="CR23" s="10">
        <v>0</v>
      </c>
      <c r="CS23" s="10">
        <f>[26]Planilha1!$F$81+[26]Planilha1!$F$84+[26]Planilha1!$F$85</f>
        <v>649622.85</v>
      </c>
      <c r="CT23" s="10">
        <f>0</f>
        <v>0</v>
      </c>
      <c r="CU23" s="10">
        <f>[26]Planilha1!$F$80+[26]Planilha1!$F$82+[26]Planilha1!$F$86</f>
        <v>21618.98</v>
      </c>
      <c r="CV23" s="10">
        <f t="shared" si="68"/>
        <v>2676402.2999999998</v>
      </c>
      <c r="CW23" s="10">
        <v>1295713.08</v>
      </c>
      <c r="CX23" s="10">
        <v>1042484.64</v>
      </c>
      <c r="CY23" s="10">
        <v>0</v>
      </c>
      <c r="CZ23" s="10">
        <v>800257.78999999992</v>
      </c>
      <c r="DA23" s="10">
        <f>0</f>
        <v>0</v>
      </c>
      <c r="DB23" s="10">
        <v>23473.040000000001</v>
      </c>
      <c r="DC23" s="10">
        <f t="shared" si="63"/>
        <v>3161928.5500000003</v>
      </c>
      <c r="DD23" s="10">
        <v>1287865.1499999999</v>
      </c>
      <c r="DE23" s="10">
        <v>960605.29</v>
      </c>
      <c r="DF23" s="10">
        <v>0</v>
      </c>
      <c r="DG23" s="10">
        <v>719570.39999999991</v>
      </c>
      <c r="DH23" s="10">
        <f>0</f>
        <v>0</v>
      </c>
      <c r="DI23" s="10">
        <v>21989.190000000002</v>
      </c>
      <c r="DJ23" s="10">
        <f t="shared" si="69"/>
        <v>2990030.03</v>
      </c>
      <c r="DK23" s="10">
        <v>1110777.56</v>
      </c>
      <c r="DL23" s="10">
        <v>1018752.86</v>
      </c>
      <c r="DM23" s="10"/>
      <c r="DN23" s="10">
        <f>629460.12+102424.38</f>
        <v>731884.5</v>
      </c>
      <c r="DO23" s="10">
        <v>0</v>
      </c>
      <c r="DP23" s="10">
        <f>122926.12-102424.38</f>
        <v>20501.739999999991</v>
      </c>
      <c r="DQ23" s="10">
        <f t="shared" si="64"/>
        <v>2881916.66</v>
      </c>
      <c r="DR23" s="10">
        <v>1073871.6000000001</v>
      </c>
      <c r="DS23" s="10">
        <v>928029.5</v>
      </c>
      <c r="DT23" s="10">
        <v>0</v>
      </c>
      <c r="DU23" s="10">
        <v>638865.21</v>
      </c>
      <c r="DV23" s="10">
        <v>0</v>
      </c>
      <c r="DW23" s="10">
        <v>19233.93</v>
      </c>
      <c r="DX23" s="10">
        <f t="shared" si="65"/>
        <v>2660000.2400000002</v>
      </c>
      <c r="DY23" s="10">
        <v>914300.95</v>
      </c>
      <c r="DZ23" s="10">
        <v>634132.77</v>
      </c>
      <c r="EA23" s="10">
        <v>0</v>
      </c>
      <c r="EB23" s="10">
        <v>219467.41</v>
      </c>
      <c r="EC23" s="10">
        <v>0</v>
      </c>
      <c r="ED23" s="10">
        <v>13156.15</v>
      </c>
      <c r="EE23" s="10">
        <f t="shared" si="70"/>
        <v>1781057.2799999998</v>
      </c>
      <c r="EF23" s="10">
        <v>880915.37</v>
      </c>
      <c r="EG23" s="10">
        <v>609700.57999999996</v>
      </c>
      <c r="EH23" s="10">
        <v>0</v>
      </c>
      <c r="EI23" s="10">
        <v>115611.87</v>
      </c>
      <c r="EJ23" s="10">
        <v>0</v>
      </c>
      <c r="EK23" s="10">
        <v>9629.0399999999991</v>
      </c>
      <c r="EL23" s="10">
        <f t="shared" si="66"/>
        <v>1615856.8599999999</v>
      </c>
      <c r="EM23" s="156">
        <f t="shared" si="71"/>
        <v>28415223.390000001</v>
      </c>
      <c r="EN23" s="155">
        <f t="shared" si="72"/>
        <v>27000292.219999999</v>
      </c>
      <c r="EO23" s="194"/>
      <c r="EQ23" s="36"/>
      <c r="ER23" s="36"/>
      <c r="ES23" s="36"/>
      <c r="ET23" s="36"/>
    </row>
    <row r="24" spans="1:150" s="5" customFormat="1" ht="12.75" x14ac:dyDescent="0.2">
      <c r="A24" s="201"/>
      <c r="B24" s="4" t="s">
        <v>91</v>
      </c>
      <c r="C24" s="66" t="s">
        <v>28</v>
      </c>
      <c r="D24" s="67">
        <f t="shared" si="58"/>
        <v>35370</v>
      </c>
      <c r="E24" s="75" t="s">
        <v>11</v>
      </c>
      <c r="F24" s="75" t="s">
        <v>11</v>
      </c>
      <c r="G24" s="75" t="s">
        <v>11</v>
      </c>
      <c r="H24" s="75" t="s">
        <v>11</v>
      </c>
      <c r="I24" s="75" t="s">
        <v>11</v>
      </c>
      <c r="J24" s="75" t="s">
        <v>11</v>
      </c>
      <c r="K24" s="75" t="s">
        <v>11</v>
      </c>
      <c r="L24" s="75" t="s">
        <v>11</v>
      </c>
      <c r="M24" s="75" t="s">
        <v>11</v>
      </c>
      <c r="N24" s="75" t="s">
        <v>11</v>
      </c>
      <c r="O24" s="75" t="s">
        <v>11</v>
      </c>
      <c r="P24" s="75" t="s">
        <v>11</v>
      </c>
      <c r="Q24" s="75" t="s">
        <v>11</v>
      </c>
      <c r="R24" s="75" t="s">
        <v>11</v>
      </c>
      <c r="S24" s="75" t="s">
        <v>11</v>
      </c>
      <c r="T24" s="75" t="s">
        <v>11</v>
      </c>
      <c r="U24" s="75" t="s">
        <v>11</v>
      </c>
      <c r="V24" s="75" t="s">
        <v>11</v>
      </c>
      <c r="W24" s="75" t="s">
        <v>11</v>
      </c>
      <c r="X24" s="75" t="s">
        <v>11</v>
      </c>
      <c r="Y24" s="75" t="s">
        <v>11</v>
      </c>
      <c r="Z24" s="75" t="s">
        <v>11</v>
      </c>
      <c r="AA24" s="75" t="s">
        <v>11</v>
      </c>
      <c r="AB24" s="75" t="s">
        <v>11</v>
      </c>
      <c r="AC24" s="68">
        <v>365226.69</v>
      </c>
      <c r="AD24" s="68">
        <v>164085.70000000007</v>
      </c>
      <c r="AE24" s="68">
        <v>412091.51</v>
      </c>
      <c r="AF24" s="68">
        <v>176174.05</v>
      </c>
      <c r="AG24" s="68">
        <v>417941.5</v>
      </c>
      <c r="AH24" s="68">
        <v>380803.44</v>
      </c>
      <c r="AI24" s="68">
        <v>433683.56</v>
      </c>
      <c r="AJ24" s="68">
        <v>406219.64</v>
      </c>
      <c r="AK24" s="68">
        <v>518689.82</v>
      </c>
      <c r="AL24" s="68">
        <v>458452.8</v>
      </c>
      <c r="AM24" s="68">
        <v>583613</v>
      </c>
      <c r="AN24" s="70">
        <v>552282.93999999994</v>
      </c>
      <c r="AO24" s="72">
        <v>786916.77</v>
      </c>
      <c r="AP24" s="72">
        <v>756590.75</v>
      </c>
      <c r="AQ24" s="72">
        <v>1067618.47</v>
      </c>
      <c r="AR24" s="72">
        <v>1001759.06</v>
      </c>
      <c r="AS24" s="110">
        <v>1073256.8</v>
      </c>
      <c r="AT24" s="110">
        <v>21426.18</v>
      </c>
      <c r="AU24" s="77"/>
      <c r="AV24" s="110">
        <v>10646.17</v>
      </c>
      <c r="AW24" s="77"/>
      <c r="AX24" s="110">
        <v>38014.17</v>
      </c>
      <c r="AY24" s="10">
        <f t="shared" si="56"/>
        <v>1143343.3199999998</v>
      </c>
      <c r="AZ24" s="110">
        <v>1071742.48</v>
      </c>
      <c r="BA24" s="110">
        <v>17644.86</v>
      </c>
      <c r="BB24" s="77"/>
      <c r="BC24" s="110">
        <v>7616.93</v>
      </c>
      <c r="BD24" s="77"/>
      <c r="BE24" s="110">
        <v>21605.119999999999</v>
      </c>
      <c r="BF24" s="10">
        <f t="shared" si="57"/>
        <v>1118609.3900000001</v>
      </c>
      <c r="BG24" s="10">
        <v>757871</v>
      </c>
      <c r="BH24" s="10">
        <v>35577</v>
      </c>
      <c r="BI24" s="10">
        <v>0</v>
      </c>
      <c r="BJ24" s="10">
        <v>12921</v>
      </c>
      <c r="BK24" s="10">
        <v>0</v>
      </c>
      <c r="BL24" s="10">
        <v>18556</v>
      </c>
      <c r="BM24" s="79">
        <f t="shared" si="59"/>
        <v>824925</v>
      </c>
      <c r="BN24" s="10">
        <v>757871</v>
      </c>
      <c r="BO24" s="10">
        <v>28216</v>
      </c>
      <c r="BP24" s="10">
        <v>0</v>
      </c>
      <c r="BQ24" s="10">
        <v>10804</v>
      </c>
      <c r="BR24" s="10">
        <v>0</v>
      </c>
      <c r="BS24" s="10">
        <v>16851</v>
      </c>
      <c r="BT24" s="137">
        <f t="shared" si="60"/>
        <v>813742</v>
      </c>
      <c r="BU24" s="137">
        <v>823321.88</v>
      </c>
      <c r="BV24" s="137">
        <v>32154.99</v>
      </c>
      <c r="BW24" s="79">
        <v>0</v>
      </c>
      <c r="BX24" s="137">
        <v>5236.17</v>
      </c>
      <c r="BY24" s="79">
        <v>0</v>
      </c>
      <c r="BZ24" s="137">
        <v>14311.95</v>
      </c>
      <c r="CA24" s="10">
        <f t="shared" si="61"/>
        <v>875024.99</v>
      </c>
      <c r="CB24" s="137">
        <v>823321.88</v>
      </c>
      <c r="CC24" s="137">
        <v>30674.23</v>
      </c>
      <c r="CD24" s="79">
        <v>0</v>
      </c>
      <c r="CE24" s="137">
        <v>4816.38</v>
      </c>
      <c r="CF24" s="79">
        <v>0</v>
      </c>
      <c r="CG24" s="137">
        <v>13687.13</v>
      </c>
      <c r="CH24" s="10">
        <f t="shared" si="62"/>
        <v>872499.62</v>
      </c>
      <c r="CI24" s="10">
        <f>[26]Planilha1!$E$13</f>
        <v>976046.2</v>
      </c>
      <c r="CJ24" s="10">
        <f>[26]Planilha1!$E$17</f>
        <v>40339.1</v>
      </c>
      <c r="CK24" s="10">
        <v>0</v>
      </c>
      <c r="CL24" s="10">
        <f>[26]Planilha1!$E$15+[26]Planilha1!$E$18</f>
        <v>1744</v>
      </c>
      <c r="CM24" s="10">
        <v>0</v>
      </c>
      <c r="CN24" s="10">
        <f>[26]Planilha1!$E$14+[26]Planilha1!$E$16+[26]Planilha1!$E$19</f>
        <v>16276.07</v>
      </c>
      <c r="CO24" s="10">
        <f t="shared" si="67"/>
        <v>1034405.3699999999</v>
      </c>
      <c r="CP24" s="10">
        <f>[26]Planilha1!$F$13</f>
        <v>975768.8</v>
      </c>
      <c r="CQ24" s="10">
        <f>[26]Planilha1!$F$17</f>
        <v>39113.72</v>
      </c>
      <c r="CR24" s="10">
        <v>0</v>
      </c>
      <c r="CS24" s="10">
        <f>[26]Planilha1!$F$15+[26]Planilha1!$F$18</f>
        <v>1613.49</v>
      </c>
      <c r="CT24" s="10">
        <v>0</v>
      </c>
      <c r="CU24" s="10">
        <f>[26]Planilha1!$F$14+[26]Planilha1!$F$16+[26]Planilha1!$F$19</f>
        <v>15711.490000000002</v>
      </c>
      <c r="CV24" s="10">
        <f t="shared" si="68"/>
        <v>1032207.5</v>
      </c>
      <c r="CW24" s="10">
        <f>[26]Planilha1!C$13</f>
        <v>1057124.27</v>
      </c>
      <c r="CX24" s="10">
        <f>[26]Planilha1!C$17</f>
        <v>38491.980000000003</v>
      </c>
      <c r="CY24" s="10">
        <v>0</v>
      </c>
      <c r="CZ24" s="10">
        <f>[26]Planilha1!C$15+[26]Planilha1!C$18</f>
        <v>6290.43</v>
      </c>
      <c r="DA24" s="10">
        <v>0</v>
      </c>
      <c r="DB24" s="10">
        <v>24073.49</v>
      </c>
      <c r="DC24" s="10">
        <f t="shared" si="63"/>
        <v>1125980.17</v>
      </c>
      <c r="DD24" s="10">
        <v>1056311.8799999999</v>
      </c>
      <c r="DE24" s="10">
        <v>33704.879999999997</v>
      </c>
      <c r="DF24" s="10">
        <v>0</v>
      </c>
      <c r="DG24" s="10">
        <v>5372</v>
      </c>
      <c r="DH24" s="10">
        <v>0</v>
      </c>
      <c r="DI24" s="10">
        <v>18666.36</v>
      </c>
      <c r="DJ24" s="10">
        <f t="shared" si="69"/>
        <v>1114055.1199999999</v>
      </c>
      <c r="DK24" s="10">
        <v>1227080.6000000001</v>
      </c>
      <c r="DL24" s="10">
        <v>57996.35</v>
      </c>
      <c r="DM24" s="10"/>
      <c r="DN24" s="10">
        <f>15663.05+3931.89</f>
        <v>19594.939999999999</v>
      </c>
      <c r="DO24" s="10">
        <v>0</v>
      </c>
      <c r="DP24" s="10">
        <f>39173.1-3931.89</f>
        <v>35241.21</v>
      </c>
      <c r="DQ24" s="10">
        <f t="shared" si="64"/>
        <v>1339913.1000000001</v>
      </c>
      <c r="DR24" s="10">
        <v>1225614.48</v>
      </c>
      <c r="DS24" s="10">
        <v>53336.38</v>
      </c>
      <c r="DT24" s="10">
        <v>0</v>
      </c>
      <c r="DU24" s="10">
        <f>6690.13+2213.19</f>
        <v>8903.32</v>
      </c>
      <c r="DV24" s="10">
        <v>0</v>
      </c>
      <c r="DW24" s="10">
        <v>28575.02</v>
      </c>
      <c r="DX24" s="10">
        <f t="shared" si="65"/>
        <v>1316429.2</v>
      </c>
      <c r="DY24" s="10">
        <v>1249312.54</v>
      </c>
      <c r="DZ24" s="10">
        <v>77962.84</v>
      </c>
      <c r="EA24" s="10">
        <v>0</v>
      </c>
      <c r="EB24" s="10">
        <v>41428.050000000003</v>
      </c>
      <c r="EC24" s="10">
        <v>0</v>
      </c>
      <c r="ED24" s="10">
        <v>39593.350000000006</v>
      </c>
      <c r="EE24" s="10">
        <f t="shared" si="70"/>
        <v>1408296.7800000003</v>
      </c>
      <c r="EF24" s="10">
        <v>1249312.54</v>
      </c>
      <c r="EG24" s="10">
        <v>73932.149999999994</v>
      </c>
      <c r="EH24" s="10">
        <v>0</v>
      </c>
      <c r="EI24" s="10">
        <v>15450.02</v>
      </c>
      <c r="EJ24" s="10">
        <v>0</v>
      </c>
      <c r="EK24" s="10">
        <v>35436.160000000003</v>
      </c>
      <c r="EL24" s="10">
        <f t="shared" si="66"/>
        <v>1374130.8699999999</v>
      </c>
      <c r="EM24" s="156">
        <f t="shared" si="71"/>
        <v>12337670.050000001</v>
      </c>
      <c r="EN24" s="155">
        <f t="shared" si="72"/>
        <v>11538042.079999998</v>
      </c>
      <c r="EO24" s="194"/>
      <c r="EQ24" s="36"/>
      <c r="ER24" s="36"/>
      <c r="ES24" s="36"/>
      <c r="ET24" s="36"/>
    </row>
    <row r="25" spans="1:150" s="5" customFormat="1" ht="12.75" x14ac:dyDescent="0.2">
      <c r="A25" s="201"/>
      <c r="B25" s="4" t="s">
        <v>92</v>
      </c>
      <c r="C25" s="66" t="s">
        <v>28</v>
      </c>
      <c r="D25" s="67">
        <f t="shared" si="58"/>
        <v>35370</v>
      </c>
      <c r="E25" s="75" t="s">
        <v>11</v>
      </c>
      <c r="F25" s="75" t="s">
        <v>11</v>
      </c>
      <c r="G25" s="75" t="s">
        <v>11</v>
      </c>
      <c r="H25" s="75" t="s">
        <v>11</v>
      </c>
      <c r="I25" s="75" t="s">
        <v>11</v>
      </c>
      <c r="J25" s="75" t="s">
        <v>11</v>
      </c>
      <c r="K25" s="75" t="s">
        <v>11</v>
      </c>
      <c r="L25" s="75" t="s">
        <v>11</v>
      </c>
      <c r="M25" s="75" t="s">
        <v>11</v>
      </c>
      <c r="N25" s="75" t="s">
        <v>11</v>
      </c>
      <c r="O25" s="75" t="s">
        <v>11</v>
      </c>
      <c r="P25" s="75" t="s">
        <v>11</v>
      </c>
      <c r="Q25" s="75" t="s">
        <v>11</v>
      </c>
      <c r="R25" s="75" t="s">
        <v>11</v>
      </c>
      <c r="S25" s="75" t="s">
        <v>11</v>
      </c>
      <c r="T25" s="75" t="s">
        <v>11</v>
      </c>
      <c r="U25" s="75" t="s">
        <v>11</v>
      </c>
      <c r="V25" s="75" t="s">
        <v>11</v>
      </c>
      <c r="W25" s="75" t="s">
        <v>11</v>
      </c>
      <c r="X25" s="75" t="s">
        <v>11</v>
      </c>
      <c r="Y25" s="75" t="s">
        <v>11</v>
      </c>
      <c r="Z25" s="75" t="s">
        <v>11</v>
      </c>
      <c r="AA25" s="75" t="s">
        <v>11</v>
      </c>
      <c r="AB25" s="75" t="s">
        <v>11</v>
      </c>
      <c r="AC25" s="68">
        <v>1252044.42</v>
      </c>
      <c r="AD25" s="68">
        <v>881700.6100000001</v>
      </c>
      <c r="AE25" s="68">
        <v>1258859.99</v>
      </c>
      <c r="AF25" s="68">
        <v>903496.94</v>
      </c>
      <c r="AG25" s="68">
        <v>1383500.57</v>
      </c>
      <c r="AH25" s="68">
        <v>1100120.78</v>
      </c>
      <c r="AI25" s="68">
        <v>1436101.49</v>
      </c>
      <c r="AJ25" s="68">
        <v>1191942.43</v>
      </c>
      <c r="AK25" s="68">
        <v>1778287.8</v>
      </c>
      <c r="AL25" s="68">
        <v>1406271.52</v>
      </c>
      <c r="AM25" s="68">
        <v>2060362</v>
      </c>
      <c r="AN25" s="70">
        <v>2026994.58</v>
      </c>
      <c r="AO25" s="72">
        <v>2303069.4299999997</v>
      </c>
      <c r="AP25" s="72">
        <v>2204183.7400000002</v>
      </c>
      <c r="AQ25" s="72">
        <v>2503177.08</v>
      </c>
      <c r="AR25" s="72">
        <v>2031914.67</v>
      </c>
      <c r="AS25" s="110">
        <v>2557218.81</v>
      </c>
      <c r="AT25" s="110">
        <v>328793.06999999902</v>
      </c>
      <c r="AU25" s="77"/>
      <c r="AV25" s="110">
        <v>39232.35</v>
      </c>
      <c r="AW25" s="77"/>
      <c r="AX25" s="110">
        <v>180260.32</v>
      </c>
      <c r="AY25" s="10">
        <f t="shared" si="56"/>
        <v>3105504.5499999989</v>
      </c>
      <c r="AZ25" s="110">
        <v>2114660.1</v>
      </c>
      <c r="BA25" s="110">
        <v>277002.28999999998</v>
      </c>
      <c r="BB25" s="77"/>
      <c r="BC25" s="110">
        <v>36429.910000000003</v>
      </c>
      <c r="BD25" s="77"/>
      <c r="BE25" s="110">
        <v>154403.96</v>
      </c>
      <c r="BF25" s="10">
        <f t="shared" si="57"/>
        <v>2582496.2600000002</v>
      </c>
      <c r="BG25" s="10">
        <v>2860897</v>
      </c>
      <c r="BH25" s="10">
        <v>381566</v>
      </c>
      <c r="BI25" s="10">
        <v>0</v>
      </c>
      <c r="BJ25" s="10">
        <v>47954</v>
      </c>
      <c r="BK25" s="10">
        <v>0</v>
      </c>
      <c r="BL25" s="10">
        <v>181465</v>
      </c>
      <c r="BM25" s="79">
        <f t="shared" si="59"/>
        <v>3471882</v>
      </c>
      <c r="BN25" s="10">
        <v>2722660</v>
      </c>
      <c r="BO25" s="10">
        <v>313100</v>
      </c>
      <c r="BP25" s="10">
        <v>0</v>
      </c>
      <c r="BQ25" s="10">
        <v>43360</v>
      </c>
      <c r="BR25" s="10">
        <v>0</v>
      </c>
      <c r="BS25" s="10">
        <v>145018</v>
      </c>
      <c r="BT25" s="137">
        <f t="shared" si="60"/>
        <v>3224138</v>
      </c>
      <c r="BU25" s="137">
        <v>2981663.11</v>
      </c>
      <c r="BV25" s="137">
        <v>402815.3</v>
      </c>
      <c r="BW25" s="79">
        <v>0</v>
      </c>
      <c r="BX25" s="137">
        <v>44455.74</v>
      </c>
      <c r="BY25" s="79">
        <v>0</v>
      </c>
      <c r="BZ25" s="137">
        <v>279241.2</v>
      </c>
      <c r="CA25" s="10">
        <f t="shared" si="61"/>
        <v>3708175.35</v>
      </c>
      <c r="CB25" s="137">
        <v>2655168.75</v>
      </c>
      <c r="CC25" s="137">
        <v>290668.59000000003</v>
      </c>
      <c r="CD25" s="79">
        <v>0</v>
      </c>
      <c r="CE25" s="137">
        <v>38485.24</v>
      </c>
      <c r="CF25" s="79">
        <v>0</v>
      </c>
      <c r="CG25" s="137">
        <v>222172.72</v>
      </c>
      <c r="CH25" s="10">
        <f t="shared" si="62"/>
        <v>3206495.3000000003</v>
      </c>
      <c r="CI25" s="10">
        <f>[26]Planilha1!$E$102</f>
        <v>3300801.36</v>
      </c>
      <c r="CJ25" s="10">
        <f>[26]Planilha1!$E$104</f>
        <v>403551.7</v>
      </c>
      <c r="CK25" s="10">
        <v>0</v>
      </c>
      <c r="CL25" s="10">
        <f>[26]Planilha1!$E$105+[26]Planilha1!$E$106</f>
        <v>53230.04</v>
      </c>
      <c r="CM25" s="10">
        <v>0</v>
      </c>
      <c r="CN25" s="10">
        <f>[26]Planilha1!$E$103+[26]Planilha1!$E$107</f>
        <v>283071.05</v>
      </c>
      <c r="CO25" s="10">
        <f t="shared" si="67"/>
        <v>4040654.15</v>
      </c>
      <c r="CP25" s="10">
        <f>[26]Planilha1!$F$102</f>
        <v>3283250.57</v>
      </c>
      <c r="CQ25" s="10">
        <f>[26]Planilha1!$F$104</f>
        <v>244394.5</v>
      </c>
      <c r="CR25" s="10">
        <v>0</v>
      </c>
      <c r="CS25" s="10">
        <f>[26]Planilha1!$F$105+[26]Planilha1!$F$106</f>
        <v>45012.679999999993</v>
      </c>
      <c r="CT25" s="10">
        <v>0</v>
      </c>
      <c r="CU25" s="10">
        <f>[26]Planilha1!$F$103+[26]Planilha1!$F$107</f>
        <v>208069.96000000002</v>
      </c>
      <c r="CV25" s="10">
        <f t="shared" si="68"/>
        <v>3780727.71</v>
      </c>
      <c r="CW25" s="10">
        <f>[26]Planilha1!$C$102</f>
        <v>3643816.24</v>
      </c>
      <c r="CX25" s="10">
        <f>[26]Planilha1!$C$104</f>
        <v>379519.62</v>
      </c>
      <c r="CY25" s="10">
        <v>0</v>
      </c>
      <c r="CZ25" s="10">
        <f>[26]Planilha1!$C$105+[26]Planilha1!$C$106</f>
        <v>79325.45</v>
      </c>
      <c r="DA25" s="10">
        <v>0</v>
      </c>
      <c r="DB25" s="10">
        <v>226520.68</v>
      </c>
      <c r="DC25" s="10">
        <f t="shared" si="63"/>
        <v>4329181.99</v>
      </c>
      <c r="DD25" s="10">
        <v>3350875.48</v>
      </c>
      <c r="DE25" s="10">
        <v>324429.98</v>
      </c>
      <c r="DF25" s="10">
        <v>0</v>
      </c>
      <c r="DG25" s="10">
        <f>[26]Planilha1!$D$105+[26]Planilha1!$D$106</f>
        <v>69265.440000000002</v>
      </c>
      <c r="DH25" s="10">
        <v>0</v>
      </c>
      <c r="DI25" s="10">
        <v>136913.47999999998</v>
      </c>
      <c r="DJ25" s="10">
        <f t="shared" si="69"/>
        <v>3881484.38</v>
      </c>
      <c r="DK25" s="10">
        <v>3939387.2499999995</v>
      </c>
      <c r="DL25" s="10">
        <v>751458.85</v>
      </c>
      <c r="DM25" s="10"/>
      <c r="DN25" s="10">
        <f>92961.18+3965.52</f>
        <v>96926.7</v>
      </c>
      <c r="DO25" s="10">
        <v>0</v>
      </c>
      <c r="DP25" s="10">
        <f>384648.38-3965.52</f>
        <v>380682.86</v>
      </c>
      <c r="DQ25" s="10">
        <f t="shared" si="64"/>
        <v>5168455.66</v>
      </c>
      <c r="DR25" s="10">
        <v>3936784.52</v>
      </c>
      <c r="DS25" s="10">
        <v>677898.77</v>
      </c>
      <c r="DT25" s="10">
        <v>0</v>
      </c>
      <c r="DU25" s="10">
        <v>86873.65</v>
      </c>
      <c r="DV25" s="10">
        <v>0</v>
      </c>
      <c r="DW25" s="10">
        <v>242511.93</v>
      </c>
      <c r="DX25" s="10">
        <f t="shared" si="65"/>
        <v>4944068.87</v>
      </c>
      <c r="DY25" s="10">
        <v>4647419.6100000003</v>
      </c>
      <c r="DZ25" s="10">
        <v>1244877.1499999999</v>
      </c>
      <c r="EA25" s="10">
        <v>0</v>
      </c>
      <c r="EB25" s="10">
        <v>99442.73</v>
      </c>
      <c r="EC25" s="10">
        <v>0</v>
      </c>
      <c r="ED25" s="10">
        <v>487500.05000000005</v>
      </c>
      <c r="EE25" s="10">
        <f t="shared" si="70"/>
        <v>6479239.54</v>
      </c>
      <c r="EF25" s="10">
        <v>4522526.0999999996</v>
      </c>
      <c r="EG25" s="10">
        <v>1094531.1100000001</v>
      </c>
      <c r="EH25" s="10">
        <v>0</v>
      </c>
      <c r="EI25" s="10">
        <v>92692.479999999996</v>
      </c>
      <c r="EJ25" s="10">
        <v>0</v>
      </c>
      <c r="EK25" s="10">
        <v>292958.72000000003</v>
      </c>
      <c r="EL25" s="10">
        <f t="shared" si="66"/>
        <v>6002708.4100000001</v>
      </c>
      <c r="EM25" s="156">
        <f t="shared" si="71"/>
        <v>44278496.020000003</v>
      </c>
      <c r="EN25" s="155">
        <f t="shared" si="72"/>
        <v>39368744.200000003</v>
      </c>
      <c r="EO25" s="195"/>
      <c r="EQ25" s="36"/>
      <c r="ER25" s="36"/>
      <c r="ES25" s="36"/>
      <c r="ET25" s="36"/>
    </row>
    <row r="26" spans="1:150" s="5" customFormat="1" ht="12.75" x14ac:dyDescent="0.2">
      <c r="A26" s="201"/>
      <c r="B26" s="214" t="s">
        <v>39</v>
      </c>
      <c r="C26" s="215"/>
      <c r="D26" s="215"/>
      <c r="E26" s="58">
        <f>SUM(E12:E12)</f>
        <v>268410</v>
      </c>
      <c r="F26" s="58">
        <f t="shared" ref="F26:AB26" si="75">SUM(F12:F12)</f>
        <v>268410</v>
      </c>
      <c r="G26" s="58">
        <f t="shared" si="75"/>
        <v>2470181.7799999998</v>
      </c>
      <c r="H26" s="58">
        <f t="shared" si="75"/>
        <v>2214215.56</v>
      </c>
      <c r="I26" s="58">
        <f t="shared" si="75"/>
        <v>3519212.05</v>
      </c>
      <c r="J26" s="58">
        <f t="shared" si="75"/>
        <v>3511912.83</v>
      </c>
      <c r="K26" s="58">
        <f t="shared" si="75"/>
        <v>5066229.42</v>
      </c>
      <c r="L26" s="58">
        <f t="shared" si="75"/>
        <v>4731586.53</v>
      </c>
      <c r="M26" s="58">
        <f t="shared" si="75"/>
        <v>7752867.96</v>
      </c>
      <c r="N26" s="58">
        <f t="shared" si="75"/>
        <v>6276712.0999999996</v>
      </c>
      <c r="O26" s="58">
        <f t="shared" si="75"/>
        <v>9707824.8599999994</v>
      </c>
      <c r="P26" s="58">
        <f t="shared" si="75"/>
        <v>7952960.5700000003</v>
      </c>
      <c r="Q26" s="58">
        <f t="shared" si="75"/>
        <v>10032037.59</v>
      </c>
      <c r="R26" s="58">
        <f t="shared" si="75"/>
        <v>10649416.25</v>
      </c>
      <c r="S26" s="58">
        <f t="shared" si="75"/>
        <v>11747468.17</v>
      </c>
      <c r="T26" s="58">
        <f t="shared" si="75"/>
        <v>8290738.4400000004</v>
      </c>
      <c r="U26" s="58">
        <f t="shared" si="75"/>
        <v>19471302.629999999</v>
      </c>
      <c r="V26" s="58">
        <f t="shared" si="75"/>
        <v>19719019.050000001</v>
      </c>
      <c r="W26" s="58">
        <f t="shared" si="75"/>
        <v>21984644.32</v>
      </c>
      <c r="X26" s="58">
        <f t="shared" si="75"/>
        <v>21030986.870000001</v>
      </c>
      <c r="Y26" s="58">
        <f t="shared" si="75"/>
        <v>27370337.57</v>
      </c>
      <c r="Z26" s="58">
        <f t="shared" si="75"/>
        <v>25213821.579999998</v>
      </c>
      <c r="AA26" s="58">
        <f t="shared" si="75"/>
        <v>28795594</v>
      </c>
      <c r="AB26" s="58">
        <f t="shared" si="75"/>
        <v>27121635.609999999</v>
      </c>
      <c r="AC26" s="58">
        <f t="shared" ref="AC26:AO26" si="76">SUM(AC13:AC25)</f>
        <v>32264801.5</v>
      </c>
      <c r="AD26" s="58">
        <f t="shared" si="76"/>
        <v>30542686.889999963</v>
      </c>
      <c r="AE26" s="58">
        <f t="shared" si="76"/>
        <v>35093558.650000006</v>
      </c>
      <c r="AF26" s="58">
        <f t="shared" si="76"/>
        <v>34049473.190000005</v>
      </c>
      <c r="AG26" s="58">
        <f t="shared" si="76"/>
        <v>40869079.649999991</v>
      </c>
      <c r="AH26" s="58">
        <f t="shared" si="76"/>
        <v>40053699.5</v>
      </c>
      <c r="AI26" s="58">
        <f t="shared" si="76"/>
        <v>42016263.650000006</v>
      </c>
      <c r="AJ26" s="58">
        <f t="shared" si="76"/>
        <v>41767370.830000006</v>
      </c>
      <c r="AK26" s="58">
        <f t="shared" si="76"/>
        <v>58114558.280000001</v>
      </c>
      <c r="AL26" s="58">
        <f t="shared" si="76"/>
        <v>55612395.900000006</v>
      </c>
      <c r="AM26" s="58">
        <f t="shared" si="76"/>
        <v>69679306</v>
      </c>
      <c r="AN26" s="58">
        <f t="shared" si="76"/>
        <v>67905616.530000001</v>
      </c>
      <c r="AO26" s="58">
        <f t="shared" si="76"/>
        <v>77664539.900000006</v>
      </c>
      <c r="AP26" s="58">
        <f t="shared" ref="AP26:AY26" si="77">SUM(AP13:AP25)</f>
        <v>76818210.729999989</v>
      </c>
      <c r="AQ26" s="58">
        <f t="shared" si="77"/>
        <v>87856164.989999995</v>
      </c>
      <c r="AR26" s="58">
        <f t="shared" si="77"/>
        <v>86387664.980000004</v>
      </c>
      <c r="AS26" s="58">
        <f t="shared" si="77"/>
        <v>55535428.170000002</v>
      </c>
      <c r="AT26" s="58">
        <f t="shared" si="77"/>
        <v>43880933.180000007</v>
      </c>
      <c r="AU26" s="58">
        <f t="shared" si="77"/>
        <v>0</v>
      </c>
      <c r="AV26" s="58">
        <f t="shared" si="77"/>
        <v>964516.32999999903</v>
      </c>
      <c r="AW26" s="58">
        <f t="shared" si="77"/>
        <v>0</v>
      </c>
      <c r="AX26" s="58">
        <f t="shared" si="77"/>
        <v>1195424.7399999998</v>
      </c>
      <c r="AY26" s="58">
        <f t="shared" si="77"/>
        <v>101576302.41999999</v>
      </c>
      <c r="AZ26" s="58">
        <f t="shared" ref="AZ26:BL26" si="78">SUM(AZ13:AZ25)</f>
        <v>54533289.670000002</v>
      </c>
      <c r="BA26" s="58">
        <f t="shared" si="78"/>
        <v>43487395.439999998</v>
      </c>
      <c r="BB26" s="58">
        <f t="shared" si="78"/>
        <v>0</v>
      </c>
      <c r="BC26" s="58">
        <f t="shared" si="78"/>
        <v>910110.32000000007</v>
      </c>
      <c r="BD26" s="58">
        <f t="shared" si="78"/>
        <v>0</v>
      </c>
      <c r="BE26" s="58">
        <f t="shared" si="78"/>
        <v>973745.33999999892</v>
      </c>
      <c r="BF26" s="58">
        <f>SUM(BF13:BF25)</f>
        <v>99904540.770000011</v>
      </c>
      <c r="BG26" s="58">
        <f t="shared" si="78"/>
        <v>61379452</v>
      </c>
      <c r="BH26" s="58">
        <f t="shared" si="78"/>
        <v>28642145</v>
      </c>
      <c r="BI26" s="58">
        <f t="shared" si="78"/>
        <v>0</v>
      </c>
      <c r="BJ26" s="58">
        <f t="shared" si="78"/>
        <v>837383</v>
      </c>
      <c r="BK26" s="58">
        <f t="shared" si="78"/>
        <v>91470910</v>
      </c>
      <c r="BL26" s="58">
        <f t="shared" si="78"/>
        <v>979786</v>
      </c>
      <c r="BM26" s="136">
        <f>SUM(BM13:BM25)</f>
        <v>183309676</v>
      </c>
      <c r="BN26" s="136">
        <f t="shared" ref="BN26:BS26" si="79">SUM(BN13:BN25)</f>
        <v>60691084</v>
      </c>
      <c r="BO26" s="136">
        <f t="shared" si="79"/>
        <v>28123557</v>
      </c>
      <c r="BP26" s="136">
        <f t="shared" si="79"/>
        <v>0</v>
      </c>
      <c r="BQ26" s="136">
        <f t="shared" si="79"/>
        <v>763541</v>
      </c>
      <c r="BR26" s="136">
        <f t="shared" si="79"/>
        <v>91470910</v>
      </c>
      <c r="BS26" s="136">
        <f t="shared" si="79"/>
        <v>883036</v>
      </c>
      <c r="BT26" s="58">
        <f>SUM(BT13:BT25)</f>
        <v>181932128</v>
      </c>
      <c r="BU26" s="58">
        <f t="shared" ref="BU26:CE26" si="80">SUM(BU13:BU25)</f>
        <v>63727337.090000004</v>
      </c>
      <c r="BV26" s="58">
        <f t="shared" si="80"/>
        <v>32796407.609999992</v>
      </c>
      <c r="BW26" s="58">
        <f>SUM(BW13:BW25)</f>
        <v>0</v>
      </c>
      <c r="BX26" s="58">
        <f t="shared" si="80"/>
        <v>817426.1800000011</v>
      </c>
      <c r="BY26" s="58">
        <f t="shared" si="80"/>
        <v>67818435.049999997</v>
      </c>
      <c r="BZ26" s="58">
        <f t="shared" si="80"/>
        <v>2052498.2699999998</v>
      </c>
      <c r="CA26" s="58">
        <f t="shared" si="80"/>
        <v>167212104.19999999</v>
      </c>
      <c r="CB26" s="58">
        <f t="shared" si="80"/>
        <v>63015546.270000003</v>
      </c>
      <c r="CC26" s="58">
        <f t="shared" si="80"/>
        <v>32318974.900000002</v>
      </c>
      <c r="CD26" s="58">
        <f t="shared" si="80"/>
        <v>0</v>
      </c>
      <c r="CE26" s="58">
        <f t="shared" si="80"/>
        <v>715830.62</v>
      </c>
      <c r="CF26" s="58">
        <f>SUM(CF13:CF25)</f>
        <v>67818435.049999997</v>
      </c>
      <c r="CG26" s="58">
        <f>SUM(CG13:CG25)</f>
        <v>1811320.6299999997</v>
      </c>
      <c r="CH26" s="58">
        <f>SUM(CH13:CH25)</f>
        <v>165680107.47</v>
      </c>
      <c r="CI26" s="58">
        <f>SUM(CI13:CI25)</f>
        <v>73498346.100000009</v>
      </c>
      <c r="CJ26" s="58">
        <f t="shared" ref="CJ26:DI26" si="81">SUM(CJ13:CJ25)</f>
        <v>59073414.68</v>
      </c>
      <c r="CK26" s="58">
        <f t="shared" si="81"/>
        <v>0</v>
      </c>
      <c r="CL26" s="58">
        <f t="shared" si="81"/>
        <v>963084.28000000014</v>
      </c>
      <c r="CM26" s="58">
        <f t="shared" si="81"/>
        <v>39287031.109999999</v>
      </c>
      <c r="CN26" s="58">
        <f t="shared" si="81"/>
        <v>2413289.1799999997</v>
      </c>
      <c r="CO26" s="58">
        <f t="shared" si="81"/>
        <v>175235165.35000005</v>
      </c>
      <c r="CP26" s="58">
        <f t="shared" si="81"/>
        <v>73357390.939999998</v>
      </c>
      <c r="CQ26" s="58">
        <f t="shared" si="81"/>
        <v>58308720.199999996</v>
      </c>
      <c r="CR26" s="58">
        <f t="shared" si="81"/>
        <v>0</v>
      </c>
      <c r="CS26" s="58">
        <f t="shared" si="81"/>
        <v>873585.35999999987</v>
      </c>
      <c r="CT26" s="58">
        <f t="shared" si="81"/>
        <v>39287031.109999999</v>
      </c>
      <c r="CU26" s="58">
        <f t="shared" si="81"/>
        <v>2118167.81</v>
      </c>
      <c r="CV26" s="58">
        <f t="shared" si="81"/>
        <v>173944895.42000005</v>
      </c>
      <c r="CW26" s="58">
        <f t="shared" si="81"/>
        <v>79167271.989999995</v>
      </c>
      <c r="CX26" s="58">
        <f t="shared" si="81"/>
        <v>54772085.989999995</v>
      </c>
      <c r="CY26" s="58">
        <f t="shared" si="81"/>
        <v>0</v>
      </c>
      <c r="CZ26" s="58">
        <f t="shared" si="81"/>
        <v>1171364.2299999997</v>
      </c>
      <c r="DA26" s="58">
        <f t="shared" si="81"/>
        <v>21364472.640000001</v>
      </c>
      <c r="DB26" s="58">
        <f t="shared" si="81"/>
        <v>2573381.2500000005</v>
      </c>
      <c r="DC26" s="58">
        <f t="shared" si="81"/>
        <v>159048576.09999996</v>
      </c>
      <c r="DD26" s="58">
        <f t="shared" si="81"/>
        <v>78592331.569999993</v>
      </c>
      <c r="DE26" s="58">
        <f t="shared" si="81"/>
        <v>54139996.689999998</v>
      </c>
      <c r="DF26" s="58">
        <f t="shared" si="81"/>
        <v>0</v>
      </c>
      <c r="DG26" s="58">
        <f t="shared" si="81"/>
        <v>1044055.25</v>
      </c>
      <c r="DH26" s="58">
        <f t="shared" si="81"/>
        <v>21364472.640000001</v>
      </c>
      <c r="DI26" s="58">
        <f t="shared" si="81"/>
        <v>2111394.17</v>
      </c>
      <c r="DJ26" s="58">
        <f>SUM(DJ13:DJ25)</f>
        <v>157252250.31999999</v>
      </c>
      <c r="DK26" s="58">
        <f>SUM(DK13:DK25)</f>
        <v>87612619.060000017</v>
      </c>
      <c r="DL26" s="58">
        <f t="shared" ref="DL26:DQ26" si="82">SUM(DL13:DL25)</f>
        <v>42301363.549999997</v>
      </c>
      <c r="DM26" s="58">
        <f t="shared" si="82"/>
        <v>0</v>
      </c>
      <c r="DN26" s="58">
        <f t="shared" si="82"/>
        <v>1822390.3099999998</v>
      </c>
      <c r="DO26" s="58">
        <f t="shared" si="82"/>
        <v>74348937.180000007</v>
      </c>
      <c r="DP26" s="58">
        <f t="shared" si="82"/>
        <v>3021497.57</v>
      </c>
      <c r="DQ26" s="58">
        <f t="shared" si="82"/>
        <v>209106807.66999999</v>
      </c>
      <c r="DR26" s="58">
        <f t="shared" ref="DR26" si="83">SUM(DR13:DR25)</f>
        <v>87379928.909999996</v>
      </c>
      <c r="DS26" s="58">
        <f t="shared" ref="DS26" si="84">SUM(DS13:DS25)</f>
        <v>41756899.480000012</v>
      </c>
      <c r="DT26" s="58">
        <f t="shared" ref="DT26" si="85">SUM(DT13:DT25)</f>
        <v>0</v>
      </c>
      <c r="DU26" s="58">
        <f t="shared" ref="DU26" si="86">SUM(DU13:DU25)</f>
        <v>1620711.3399999999</v>
      </c>
      <c r="DV26" s="58">
        <f t="shared" ref="DV26" si="87">SUM(DV13:DV25)</f>
        <v>74147304.099999994</v>
      </c>
      <c r="DW26" s="58">
        <f t="shared" ref="DW26" si="88">SUM(DW13:DW25)</f>
        <v>2506271.1400000006</v>
      </c>
      <c r="DX26" s="58">
        <f t="shared" ref="DX26:EL26" si="89">SUM(DX13:DX25)</f>
        <v>207411114.97</v>
      </c>
      <c r="DY26" s="58">
        <f t="shared" si="89"/>
        <v>100266140.45</v>
      </c>
      <c r="DZ26" s="58">
        <f t="shared" si="89"/>
        <v>69508393.689999998</v>
      </c>
      <c r="EA26" s="58">
        <f t="shared" si="89"/>
        <v>0</v>
      </c>
      <c r="EB26" s="58">
        <f t="shared" si="89"/>
        <v>2041813.8900000001</v>
      </c>
      <c r="EC26" s="58">
        <f t="shared" si="89"/>
        <v>0</v>
      </c>
      <c r="ED26" s="58">
        <f t="shared" si="89"/>
        <v>3638285.76</v>
      </c>
      <c r="EE26" s="58">
        <f t="shared" si="89"/>
        <v>175454633.78999996</v>
      </c>
      <c r="EF26" s="58">
        <f t="shared" si="89"/>
        <v>91929069.13000001</v>
      </c>
      <c r="EG26" s="58">
        <f t="shared" si="89"/>
        <v>68738407.470000014</v>
      </c>
      <c r="EH26" s="58">
        <f t="shared" si="89"/>
        <v>0</v>
      </c>
      <c r="EI26" s="58">
        <f t="shared" si="89"/>
        <v>1753536.54</v>
      </c>
      <c r="EJ26" s="58">
        <f t="shared" si="89"/>
        <v>0</v>
      </c>
      <c r="EK26" s="58">
        <f t="shared" si="89"/>
        <v>3065089.65</v>
      </c>
      <c r="EL26" s="58">
        <f t="shared" si="89"/>
        <v>165486102.79000002</v>
      </c>
      <c r="EM26" s="58">
        <f>SUM(EM12:EM25)</f>
        <v>1762687648.5</v>
      </c>
      <c r="EN26" s="58">
        <f>SUM(EN12:EN25)</f>
        <v>1721729673.6800001</v>
      </c>
      <c r="EO26" s="64"/>
      <c r="ER26" s="36"/>
      <c r="ES26" s="36"/>
      <c r="ET26" s="36"/>
    </row>
    <row r="27" spans="1:150" s="5" customFormat="1" ht="12.75" x14ac:dyDescent="0.2">
      <c r="A27" s="212" t="s">
        <v>134</v>
      </c>
      <c r="B27" s="15" t="s">
        <v>47</v>
      </c>
      <c r="C27" s="1" t="s">
        <v>10</v>
      </c>
      <c r="D27" s="2">
        <v>37987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14" t="s">
        <v>11</v>
      </c>
      <c r="V27" s="14" t="s">
        <v>11</v>
      </c>
      <c r="W27" s="14" t="s">
        <v>11</v>
      </c>
      <c r="X27" s="14" t="s">
        <v>11</v>
      </c>
      <c r="Y27" s="14" t="s">
        <v>11</v>
      </c>
      <c r="Z27" s="14" t="s">
        <v>11</v>
      </c>
      <c r="AA27" s="14" t="s">
        <v>11</v>
      </c>
      <c r="AB27" s="10">
        <v>750483.78</v>
      </c>
      <c r="AC27" s="10">
        <v>1166136.56</v>
      </c>
      <c r="AD27" s="10">
        <v>383910.65</v>
      </c>
      <c r="AE27" s="10">
        <v>1218615.8</v>
      </c>
      <c r="AF27" s="10">
        <v>670052.91</v>
      </c>
      <c r="AG27" s="10">
        <v>1096712.24</v>
      </c>
      <c r="AH27" s="10">
        <v>1099873.3799999999</v>
      </c>
      <c r="AI27" s="10">
        <v>1096817.6399999999</v>
      </c>
      <c r="AJ27" s="10">
        <v>960355.69</v>
      </c>
      <c r="AK27" s="10">
        <v>1110199.53</v>
      </c>
      <c r="AL27" s="10">
        <v>1191622.93</v>
      </c>
      <c r="AM27" s="10">
        <v>1171927</v>
      </c>
      <c r="AN27" s="10">
        <v>1064359</v>
      </c>
      <c r="AO27" s="10">
        <v>981861.84</v>
      </c>
      <c r="AP27" s="10">
        <v>833580.38000000012</v>
      </c>
      <c r="AQ27" s="10">
        <v>834567.82</v>
      </c>
      <c r="AR27" s="10">
        <v>1063969.6299999999</v>
      </c>
      <c r="AS27" s="112">
        <v>731465.87</v>
      </c>
      <c r="AT27" s="10">
        <v>129168.89</v>
      </c>
      <c r="AU27" s="77"/>
      <c r="AV27" s="10">
        <v>362.13</v>
      </c>
      <c r="AW27" s="111">
        <v>0</v>
      </c>
      <c r="AX27" s="10">
        <v>10379.65</v>
      </c>
      <c r="AY27" s="10">
        <f t="shared" ref="AY27:AY36" si="90">SUM(AS27:AX27)</f>
        <v>871376.54</v>
      </c>
      <c r="AZ27" s="10">
        <v>720217.05000000203</v>
      </c>
      <c r="BA27" s="10">
        <v>139515.75000000003</v>
      </c>
      <c r="BB27" s="77"/>
      <c r="BC27" s="10">
        <v>362.13</v>
      </c>
      <c r="BD27" s="10">
        <v>0</v>
      </c>
      <c r="BE27" s="10">
        <v>5687.44</v>
      </c>
      <c r="BF27" s="10">
        <f t="shared" ref="BF27:BF36" si="91">SUM(AZ27:BE27)</f>
        <v>865782.37000000197</v>
      </c>
      <c r="BG27" s="10">
        <v>1488113</v>
      </c>
      <c r="BH27" s="10">
        <v>267960</v>
      </c>
      <c r="BI27" s="10">
        <v>163</v>
      </c>
      <c r="BJ27" s="10">
        <v>1086</v>
      </c>
      <c r="BK27" s="10">
        <v>0</v>
      </c>
      <c r="BL27" s="10">
        <v>22008</v>
      </c>
      <c r="BM27" s="10">
        <f t="shared" ref="BM27:BM36" si="92">SUM(BG27:BL27)</f>
        <v>1779330</v>
      </c>
      <c r="BN27" s="10">
        <v>790035</v>
      </c>
      <c r="BO27" s="10">
        <v>252503</v>
      </c>
      <c r="BP27" s="10">
        <v>163</v>
      </c>
      <c r="BQ27" s="10">
        <v>724</v>
      </c>
      <c r="BR27" s="10">
        <v>0</v>
      </c>
      <c r="BS27" s="10">
        <v>8223</v>
      </c>
      <c r="BT27" s="10">
        <f>SUM(BN27:BS27)</f>
        <v>1051648</v>
      </c>
      <c r="BU27" s="10">
        <v>970269.84</v>
      </c>
      <c r="BV27" s="10">
        <v>286847.01</v>
      </c>
      <c r="BW27" s="10">
        <v>162.88999999999999</v>
      </c>
      <c r="BX27" s="10">
        <v>0</v>
      </c>
      <c r="BY27" s="10">
        <v>0</v>
      </c>
      <c r="BZ27" s="10">
        <v>35887.729999999996</v>
      </c>
      <c r="CA27" s="10">
        <f t="shared" si="61"/>
        <v>1293167.47</v>
      </c>
      <c r="CB27" s="10">
        <v>690954.94</v>
      </c>
      <c r="CC27" s="10">
        <v>243903.62</v>
      </c>
      <c r="CD27" s="10">
        <v>162.88999999999999</v>
      </c>
      <c r="CE27" s="10">
        <v>0</v>
      </c>
      <c r="CF27" s="10">
        <v>0</v>
      </c>
      <c r="CG27" s="10">
        <v>5105.84</v>
      </c>
      <c r="CH27" s="10">
        <f>SUM(CB27:CG27)</f>
        <v>940127.28999999992</v>
      </c>
      <c r="CI27" s="10">
        <v>1299352.81144375</v>
      </c>
      <c r="CJ27" s="10">
        <v>344462.85967899999</v>
      </c>
      <c r="CK27" s="10">
        <v>203.61</v>
      </c>
      <c r="CL27" s="10">
        <v>905.33</v>
      </c>
      <c r="CM27" s="10">
        <v>0</v>
      </c>
      <c r="CN27" s="10">
        <v>47405.487617625811</v>
      </c>
      <c r="CO27" s="10">
        <f>SUM(CI27:CN27)</f>
        <v>1692330.0987403761</v>
      </c>
      <c r="CP27" s="10">
        <v>942690.61</v>
      </c>
      <c r="CQ27" s="10">
        <v>277338.93</v>
      </c>
      <c r="CR27" s="10">
        <v>203.61</v>
      </c>
      <c r="CS27" s="10">
        <v>905.33</v>
      </c>
      <c r="CT27" s="10">
        <v>0</v>
      </c>
      <c r="CU27" s="10">
        <v>22934.09</v>
      </c>
      <c r="CV27" s="10">
        <f>SUM(CP27:CU27)</f>
        <v>1244072.5700000003</v>
      </c>
      <c r="CW27" s="10">
        <f>'[27]2020'!F8</f>
        <v>1303705.5615458991</v>
      </c>
      <c r="CX27" s="10">
        <f>'[27]2020'!G8</f>
        <v>384349.82965761103</v>
      </c>
      <c r="CY27" s="10">
        <f>'[27]2020'!H8</f>
        <v>209.51469</v>
      </c>
      <c r="CZ27" s="10">
        <f>'[27]2020'!I8</f>
        <v>931.530014915518</v>
      </c>
      <c r="DA27" s="10">
        <f>'[27]2020'!J8</f>
        <v>0</v>
      </c>
      <c r="DB27" s="10">
        <f>'[27]2020'!K8</f>
        <v>53658.325045046789</v>
      </c>
      <c r="DC27" s="10">
        <f>SUM(CW27:DB27)</f>
        <v>1742854.7609534727</v>
      </c>
      <c r="DD27" s="10">
        <f>'[27]2020'!M8</f>
        <v>1091362.21</v>
      </c>
      <c r="DE27" s="10">
        <f>'[27]2020'!N8</f>
        <v>331443.15000000002</v>
      </c>
      <c r="DF27" s="10">
        <f>'[27]2020'!O8</f>
        <v>230.46</v>
      </c>
      <c r="DG27" s="10">
        <f>'[27]2020'!P8</f>
        <v>931.53</v>
      </c>
      <c r="DH27" s="10">
        <f>'[27]2020'!Q8</f>
        <v>0</v>
      </c>
      <c r="DI27" s="10">
        <f>'[27]2020'!R8</f>
        <v>20395.84</v>
      </c>
      <c r="DJ27" s="10">
        <f>'[27]2020'!S8</f>
        <v>1444363.19</v>
      </c>
      <c r="DK27" s="10">
        <f>'[28]2021'!F8</f>
        <v>1224310.11806656</v>
      </c>
      <c r="DL27" s="10">
        <f>'[28]2021'!G8</f>
        <v>381882.75571942597</v>
      </c>
      <c r="DM27" s="10">
        <f>'[28]2021'!H8</f>
        <v>216.11165399999999</v>
      </c>
      <c r="DN27" s="10">
        <f>'[28]2021'!I8</f>
        <v>961.77407726592003</v>
      </c>
      <c r="DO27" s="10">
        <f>'[28]2021'!J8</f>
        <v>0</v>
      </c>
      <c r="DP27" s="10">
        <f>'[28]2021'!K8</f>
        <v>57391.184907876501</v>
      </c>
      <c r="DQ27" s="10">
        <f>SUM(DK27:DP27)</f>
        <v>1664761.9444251284</v>
      </c>
      <c r="DR27" s="10">
        <f>'[28]2021'!M8</f>
        <v>900772.98</v>
      </c>
      <c r="DS27" s="10">
        <f>'[28]2021'!N8</f>
        <v>329247.7</v>
      </c>
      <c r="DT27" s="10">
        <f>'[28]2021'!O8</f>
        <v>216.11</v>
      </c>
      <c r="DU27" s="10">
        <f>'[28]2021'!P8</f>
        <v>959.65</v>
      </c>
      <c r="DV27" s="10">
        <f>'[28]2021'!Q8</f>
        <v>0</v>
      </c>
      <c r="DW27" s="10">
        <f>'[28]2021'!R8</f>
        <v>49258.240000000005</v>
      </c>
      <c r="DX27" s="10">
        <f>SUM(DR27:DW27)</f>
        <v>1280454.68</v>
      </c>
      <c r="DY27" s="10">
        <v>1301636</v>
      </c>
      <c r="DZ27" s="10">
        <v>416102</v>
      </c>
      <c r="EA27" s="10">
        <v>238</v>
      </c>
      <c r="EB27" s="10">
        <v>1060</v>
      </c>
      <c r="EC27" s="10" t="s">
        <v>168</v>
      </c>
      <c r="ED27" s="10">
        <v>63310</v>
      </c>
      <c r="EE27" s="10">
        <f t="shared" ref="EE27:EE36" si="93">SUM(DY27:ED27)</f>
        <v>1782346</v>
      </c>
      <c r="EF27" s="10">
        <v>935875</v>
      </c>
      <c r="EG27" s="10">
        <v>355358</v>
      </c>
      <c r="EH27" s="10">
        <v>238</v>
      </c>
      <c r="EI27" s="10">
        <v>1060</v>
      </c>
      <c r="EJ27" s="10" t="s">
        <v>168</v>
      </c>
      <c r="EK27" s="10">
        <v>128871</v>
      </c>
      <c r="EL27" s="10">
        <f t="shared" si="66"/>
        <v>1421402</v>
      </c>
      <c r="EM27" s="151">
        <f>AC27+AE27+AG27+AI27+AK27+AM27+AO27+AQ27+AY27+BM27+CA27+CO27+DC27+DQ27+EE27</f>
        <v>19503005.244118977</v>
      </c>
      <c r="EN27" s="151">
        <f>AB27+AD27+AF27+AH27+AJ27+AL27+AN27+AP27+AR27+BF27+BT27+CH27+CV27+DJ27+DX27+EL27</f>
        <v>16266058.450000001</v>
      </c>
      <c r="EO27" s="193" t="s">
        <v>9</v>
      </c>
      <c r="EQ27" s="36"/>
      <c r="ER27" s="36"/>
      <c r="ES27" s="36"/>
      <c r="ET27" s="36"/>
    </row>
    <row r="28" spans="1:150" s="5" customFormat="1" ht="12.75" x14ac:dyDescent="0.2">
      <c r="A28" s="212"/>
      <c r="B28" s="15" t="s">
        <v>48</v>
      </c>
      <c r="C28" s="1" t="s">
        <v>10</v>
      </c>
      <c r="D28" s="2">
        <v>37987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14" t="s">
        <v>11</v>
      </c>
      <c r="V28" s="14" t="s">
        <v>11</v>
      </c>
      <c r="W28" s="14" t="s">
        <v>11</v>
      </c>
      <c r="X28" s="14" t="s">
        <v>11</v>
      </c>
      <c r="Y28" s="14" t="s">
        <v>11</v>
      </c>
      <c r="Z28" s="14" t="s">
        <v>11</v>
      </c>
      <c r="AA28" s="14" t="s">
        <v>11</v>
      </c>
      <c r="AB28" s="10">
        <v>1026261.33</v>
      </c>
      <c r="AC28" s="10">
        <v>605987.28</v>
      </c>
      <c r="AD28" s="10">
        <v>316327.48</v>
      </c>
      <c r="AE28" s="10">
        <v>724843.87</v>
      </c>
      <c r="AF28" s="10">
        <v>478992.92</v>
      </c>
      <c r="AG28" s="10">
        <v>772345.74</v>
      </c>
      <c r="AH28" s="10">
        <v>766713.94</v>
      </c>
      <c r="AI28" s="10">
        <v>706629.66</v>
      </c>
      <c r="AJ28" s="10">
        <v>781696.46</v>
      </c>
      <c r="AK28" s="10">
        <v>748638.5</v>
      </c>
      <c r="AL28" s="10">
        <v>750585.34</v>
      </c>
      <c r="AM28" s="10">
        <v>726236</v>
      </c>
      <c r="AN28" s="10">
        <v>629694</v>
      </c>
      <c r="AO28" s="10">
        <v>736047.54</v>
      </c>
      <c r="AP28" s="10">
        <v>571602.53999999992</v>
      </c>
      <c r="AQ28" s="10">
        <v>577030.32999999996</v>
      </c>
      <c r="AR28" s="10">
        <v>951521.03</v>
      </c>
      <c r="AS28" s="112">
        <v>534806.44999999995</v>
      </c>
      <c r="AT28" s="10">
        <v>135865.44</v>
      </c>
      <c r="AU28" s="77"/>
      <c r="AV28" s="10">
        <v>688.09</v>
      </c>
      <c r="AW28" s="111">
        <v>0</v>
      </c>
      <c r="AX28" s="10">
        <v>10735.52</v>
      </c>
      <c r="AY28" s="10">
        <f t="shared" si="90"/>
        <v>682095.49999999988</v>
      </c>
      <c r="AZ28" s="10">
        <v>501530.79</v>
      </c>
      <c r="BA28" s="10">
        <v>145562.88</v>
      </c>
      <c r="BB28" s="77"/>
      <c r="BC28" s="10">
        <v>1069.2</v>
      </c>
      <c r="BD28" s="10">
        <v>0</v>
      </c>
      <c r="BE28" s="10">
        <v>10662.3</v>
      </c>
      <c r="BF28" s="10">
        <f t="shared" si="91"/>
        <v>658825.16999999993</v>
      </c>
      <c r="BG28" s="10">
        <v>1300486</v>
      </c>
      <c r="BH28" s="10">
        <v>281079</v>
      </c>
      <c r="BI28" s="10">
        <v>12179</v>
      </c>
      <c r="BJ28" s="10">
        <v>1815</v>
      </c>
      <c r="BK28" s="10">
        <v>0</v>
      </c>
      <c r="BL28" s="10">
        <v>23759</v>
      </c>
      <c r="BM28" s="10">
        <f t="shared" si="92"/>
        <v>1619318</v>
      </c>
      <c r="BN28" s="10">
        <v>1174660</v>
      </c>
      <c r="BO28" s="10">
        <v>258665</v>
      </c>
      <c r="BP28" s="10">
        <v>11076</v>
      </c>
      <c r="BQ28" s="10">
        <v>1126</v>
      </c>
      <c r="BR28" s="10">
        <v>0</v>
      </c>
      <c r="BS28" s="10">
        <v>23893</v>
      </c>
      <c r="BT28" s="10">
        <f t="shared" ref="BT28:BT36" si="94">SUM(BN28:BS28)</f>
        <v>1469420</v>
      </c>
      <c r="BU28" s="10">
        <v>666744.41</v>
      </c>
      <c r="BV28" s="10">
        <v>285969.77</v>
      </c>
      <c r="BW28" s="10">
        <v>14399.02</v>
      </c>
      <c r="BX28" s="10">
        <v>23.65</v>
      </c>
      <c r="BY28" s="10">
        <v>0</v>
      </c>
      <c r="BZ28" s="10">
        <v>29044.690000000002</v>
      </c>
      <c r="CA28" s="10">
        <f t="shared" si="61"/>
        <v>996181.54</v>
      </c>
      <c r="CB28" s="10">
        <v>654488.36</v>
      </c>
      <c r="CC28" s="10">
        <v>280856.31</v>
      </c>
      <c r="CD28" s="10">
        <v>10415.120000000001</v>
      </c>
      <c r="CE28" s="10">
        <v>23.65</v>
      </c>
      <c r="CF28" s="10">
        <v>0</v>
      </c>
      <c r="CG28" s="10">
        <v>26941.53</v>
      </c>
      <c r="CH28" s="10">
        <f t="shared" ref="CH28:CH36" si="95">SUM(CB28:CG28)</f>
        <v>972724.97</v>
      </c>
      <c r="CI28" s="10">
        <v>1109858.4384999999</v>
      </c>
      <c r="CJ28" s="10">
        <v>357042.81761020003</v>
      </c>
      <c r="CK28" s="10">
        <v>17885.167792</v>
      </c>
      <c r="CL28" s="10">
        <v>270.07135999999997</v>
      </c>
      <c r="CM28" s="10">
        <v>0</v>
      </c>
      <c r="CN28" s="10">
        <v>42834.426316666701</v>
      </c>
      <c r="CO28" s="10">
        <f t="shared" ref="CO28:CO36" si="96">SUM(CI28:CN28)</f>
        <v>1527890.9215788667</v>
      </c>
      <c r="CP28" s="10">
        <v>1032982</v>
      </c>
      <c r="CQ28" s="10">
        <v>353205.63</v>
      </c>
      <c r="CR28" s="10">
        <v>13637.57</v>
      </c>
      <c r="CS28" s="10">
        <v>270.07</v>
      </c>
      <c r="CT28" s="10">
        <v>0</v>
      </c>
      <c r="CU28" s="10">
        <v>38274.129999999997</v>
      </c>
      <c r="CV28" s="10">
        <f t="shared" ref="CV28:CV36" si="97">SUM(CP28:CU28)</f>
        <v>1438369.4</v>
      </c>
      <c r="CW28" s="10">
        <f>'[27]2020'!F9</f>
        <v>1133127.6519422401</v>
      </c>
      <c r="CX28" s="10">
        <f>'[27]2020'!G9</f>
        <v>367399.88173412578</v>
      </c>
      <c r="CY28" s="10">
        <f>'[27]2020'!H9</f>
        <v>18403.837657968001</v>
      </c>
      <c r="CZ28" s="10">
        <f>'[27]2020'!I9</f>
        <v>272.57570607250506</v>
      </c>
      <c r="DA28" s="10">
        <f>'[27]2020'!J9</f>
        <v>0</v>
      </c>
      <c r="DB28" s="10">
        <f>'[27]2020'!K9</f>
        <v>46959.929388982891</v>
      </c>
      <c r="DC28" s="10">
        <f t="shared" ref="DC28:DC36" si="98">SUM(CW28:DB28)</f>
        <v>1566163.8764293895</v>
      </c>
      <c r="DD28" s="10">
        <f>'[27]2020'!M9</f>
        <v>1049944.53</v>
      </c>
      <c r="DE28" s="10">
        <f>'[27]2020'!N9</f>
        <v>368875.77</v>
      </c>
      <c r="DF28" s="10">
        <f>'[27]2020'!O9</f>
        <v>11612.48</v>
      </c>
      <c r="DG28" s="10">
        <f>'[27]2020'!P9</f>
        <v>0</v>
      </c>
      <c r="DH28" s="10">
        <f>'[27]2020'!Q9</f>
        <v>0</v>
      </c>
      <c r="DI28" s="10">
        <f>'[27]2020'!R9</f>
        <v>49415.82</v>
      </c>
      <c r="DJ28" s="10">
        <f>'[27]2020'!S9</f>
        <v>1479848.6</v>
      </c>
      <c r="DK28" s="10">
        <f>'[28]2021'!F9</f>
        <v>1136016.7049767501</v>
      </c>
      <c r="DL28" s="10">
        <f>'[28]2021'!G9</f>
        <v>376348.15695136401</v>
      </c>
      <c r="DM28" s="10">
        <f>'[28]2021'!H9</f>
        <v>7394.7509586719998</v>
      </c>
      <c r="DN28" s="10">
        <f>'[28]2021'!I9</f>
        <v>6.87</v>
      </c>
      <c r="DO28" s="10">
        <f>'[28]2021'!J9</f>
        <v>0</v>
      </c>
      <c r="DP28" s="10">
        <f>'[28]2021'!K9</f>
        <v>56223.381270892001</v>
      </c>
      <c r="DQ28" s="10">
        <f t="shared" ref="DQ28:DQ36" si="99">SUM(DK28:DP28)</f>
        <v>1575989.8641576783</v>
      </c>
      <c r="DR28" s="10">
        <f>'[28]2021'!M9</f>
        <v>1136234.19</v>
      </c>
      <c r="DS28" s="10">
        <f>'[28]2021'!N9</f>
        <v>394227.76</v>
      </c>
      <c r="DT28" s="10">
        <f>'[28]2021'!O9</f>
        <v>1851.03</v>
      </c>
      <c r="DU28" s="10">
        <f>'[28]2021'!P9</f>
        <v>7.55</v>
      </c>
      <c r="DV28" s="10">
        <f>'[28]2021'!Q9</f>
        <v>0</v>
      </c>
      <c r="DW28" s="10">
        <f>'[28]2021'!R9</f>
        <v>56366.649999999994</v>
      </c>
      <c r="DX28" s="10">
        <f t="shared" ref="DX28:DX36" si="100">SUM(DR28:DW28)</f>
        <v>1588687.18</v>
      </c>
      <c r="DY28" s="10">
        <v>1221391</v>
      </c>
      <c r="DZ28" s="10">
        <v>417224</v>
      </c>
      <c r="EA28" s="10">
        <v>8152</v>
      </c>
      <c r="EB28" s="10">
        <v>302</v>
      </c>
      <c r="EC28" s="10" t="s">
        <v>168</v>
      </c>
      <c r="ED28" s="10">
        <v>58513</v>
      </c>
      <c r="EE28" s="10">
        <f t="shared" si="93"/>
        <v>1705582</v>
      </c>
      <c r="EF28" s="10">
        <v>1233116</v>
      </c>
      <c r="EG28" s="10">
        <v>408521</v>
      </c>
      <c r="EH28" s="10">
        <v>1648</v>
      </c>
      <c r="EI28" s="10">
        <v>387</v>
      </c>
      <c r="EJ28" s="10" t="s">
        <v>168</v>
      </c>
      <c r="EK28" s="10">
        <v>60457</v>
      </c>
      <c r="EL28" s="10">
        <f t="shared" si="66"/>
        <v>1704129</v>
      </c>
      <c r="EM28" s="151">
        <f t="shared" ref="EM28:EM36" si="101">AC28+AE28+AG28+AI28+AK28+AM28+AO28+AQ28+AY28+BM28+CA28+CO28+DC28+DQ28+EE28</f>
        <v>15270980.622165937</v>
      </c>
      <c r="EN28" s="151">
        <f t="shared" ref="EN28:EN36" si="102">AB28+AD28+AF28+AH28+AJ28+AL28+AN28+AP28+AR28+BF28+BT28+CH28+CV28+DJ28+DX28+EL28</f>
        <v>15585399.360000001</v>
      </c>
      <c r="EO28" s="194"/>
      <c r="EQ28" s="36"/>
      <c r="ER28" s="36"/>
      <c r="ES28" s="36"/>
      <c r="ET28" s="36"/>
    </row>
    <row r="29" spans="1:150" s="5" customFormat="1" ht="12.75" x14ac:dyDescent="0.2">
      <c r="A29" s="212"/>
      <c r="B29" s="15" t="s">
        <v>105</v>
      </c>
      <c r="C29" s="1" t="s">
        <v>10</v>
      </c>
      <c r="D29" s="2">
        <v>37987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14" t="s">
        <v>11</v>
      </c>
      <c r="V29" s="14" t="s">
        <v>11</v>
      </c>
      <c r="W29" s="14" t="s">
        <v>11</v>
      </c>
      <c r="X29" s="14" t="s">
        <v>11</v>
      </c>
      <c r="Y29" s="14" t="s">
        <v>11</v>
      </c>
      <c r="Z29" s="14" t="s">
        <v>11</v>
      </c>
      <c r="AA29" s="14" t="s">
        <v>11</v>
      </c>
      <c r="AB29" s="10">
        <v>1154432.71</v>
      </c>
      <c r="AC29" s="10">
        <v>647562.1</v>
      </c>
      <c r="AD29" s="10">
        <v>493775.89</v>
      </c>
      <c r="AE29" s="10">
        <v>655081.18999999994</v>
      </c>
      <c r="AF29" s="10">
        <v>554930.35</v>
      </c>
      <c r="AG29" s="10">
        <v>678240.31</v>
      </c>
      <c r="AH29" s="10">
        <v>717106.39</v>
      </c>
      <c r="AI29" s="10">
        <v>674346.76</v>
      </c>
      <c r="AJ29" s="10">
        <v>636569.49</v>
      </c>
      <c r="AK29" s="10">
        <v>659369.54</v>
      </c>
      <c r="AL29" s="10">
        <v>659829.76000000001</v>
      </c>
      <c r="AM29" s="10">
        <v>665392</v>
      </c>
      <c r="AN29" s="10">
        <v>672678</v>
      </c>
      <c r="AO29" s="10">
        <v>672995.63</v>
      </c>
      <c r="AP29" s="10">
        <v>371797.18000000005</v>
      </c>
      <c r="AQ29" s="10">
        <v>396747.97</v>
      </c>
      <c r="AR29" s="10">
        <v>547776.57999999996</v>
      </c>
      <c r="AS29" s="112">
        <v>348953.53</v>
      </c>
      <c r="AT29" s="10">
        <v>55009.760000000002</v>
      </c>
      <c r="AU29" s="77"/>
      <c r="AV29" s="10">
        <v>43.17</v>
      </c>
      <c r="AW29" s="111">
        <v>0</v>
      </c>
      <c r="AX29" s="10">
        <v>1196.8900000000001</v>
      </c>
      <c r="AY29" s="10">
        <f t="shared" si="90"/>
        <v>405203.35000000003</v>
      </c>
      <c r="AZ29" s="10">
        <v>340696.56000000099</v>
      </c>
      <c r="BA29" s="10">
        <v>80195.09</v>
      </c>
      <c r="BB29" s="77"/>
      <c r="BC29" s="10">
        <v>0</v>
      </c>
      <c r="BD29" s="10">
        <v>0</v>
      </c>
      <c r="BE29" s="10">
        <v>1271.57</v>
      </c>
      <c r="BF29" s="10">
        <f t="shared" si="91"/>
        <v>422163.22000000096</v>
      </c>
      <c r="BG29" s="10">
        <v>709660</v>
      </c>
      <c r="BH29" s="10">
        <v>66838</v>
      </c>
      <c r="BI29" s="10">
        <v>6409</v>
      </c>
      <c r="BJ29" s="10">
        <v>173</v>
      </c>
      <c r="BK29" s="10">
        <v>0</v>
      </c>
      <c r="BL29" s="10">
        <v>3602</v>
      </c>
      <c r="BM29" s="10">
        <f t="shared" si="92"/>
        <v>786682</v>
      </c>
      <c r="BN29" s="10">
        <v>662457</v>
      </c>
      <c r="BO29" s="10">
        <v>59463</v>
      </c>
      <c r="BP29" s="10">
        <v>5797</v>
      </c>
      <c r="BQ29" s="10">
        <v>0</v>
      </c>
      <c r="BR29" s="10">
        <v>0</v>
      </c>
      <c r="BS29" s="10">
        <v>2865</v>
      </c>
      <c r="BT29" s="10">
        <f t="shared" si="94"/>
        <v>730582</v>
      </c>
      <c r="BU29" s="10">
        <v>955290.25</v>
      </c>
      <c r="BV29" s="10">
        <v>60617.71</v>
      </c>
      <c r="BW29" s="10">
        <v>6408.9</v>
      </c>
      <c r="BX29" s="10">
        <v>26.88</v>
      </c>
      <c r="BY29" s="10">
        <v>0</v>
      </c>
      <c r="BZ29" s="10">
        <v>5157.67</v>
      </c>
      <c r="CA29" s="10">
        <f t="shared" si="61"/>
        <v>1027501.41</v>
      </c>
      <c r="CB29" s="10">
        <v>737877.22</v>
      </c>
      <c r="CC29" s="10">
        <v>70293.8</v>
      </c>
      <c r="CD29" s="10">
        <v>6387.63</v>
      </c>
      <c r="CE29" s="10">
        <v>26.88</v>
      </c>
      <c r="CF29" s="10">
        <v>0</v>
      </c>
      <c r="CG29" s="10">
        <v>4545.8100000000004</v>
      </c>
      <c r="CH29" s="10">
        <f t="shared" si="95"/>
        <v>819131.34000000008</v>
      </c>
      <c r="CI29" s="10">
        <v>1423506.5416000001</v>
      </c>
      <c r="CJ29" s="10">
        <v>103296.58386879999</v>
      </c>
      <c r="CK29" s="10">
        <v>12884.322560000001</v>
      </c>
      <c r="CL29" s="10">
        <v>312.77567999999997</v>
      </c>
      <c r="CM29" s="10">
        <v>0</v>
      </c>
      <c r="CN29" s="10">
        <v>13628.643727999999</v>
      </c>
      <c r="CO29" s="10">
        <f t="shared" si="96"/>
        <v>1553628.8674368002</v>
      </c>
      <c r="CP29" s="10">
        <v>1369143.79</v>
      </c>
      <c r="CQ29" s="10">
        <v>103882.38</v>
      </c>
      <c r="CR29" s="10">
        <v>12268.9</v>
      </c>
      <c r="CS29" s="10">
        <v>53.76</v>
      </c>
      <c r="CT29" s="10">
        <v>0</v>
      </c>
      <c r="CU29" s="10">
        <v>14257.82</v>
      </c>
      <c r="CV29" s="10">
        <f t="shared" si="97"/>
        <v>1499606.65</v>
      </c>
      <c r="CW29" s="10">
        <f>'[27]2020'!F10</f>
        <v>1467857.2982137001</v>
      </c>
      <c r="CX29" s="10">
        <f>'[27]2020'!G10</f>
        <v>112565.98744542967</v>
      </c>
      <c r="CY29" s="10">
        <f>'[27]2020'!H10</f>
        <v>13256.357373919998</v>
      </c>
      <c r="CZ29" s="10">
        <f>'[27]2020'!I10</f>
        <v>321.82599029070923</v>
      </c>
      <c r="DA29" s="10">
        <f>'[27]2020'!J10</f>
        <v>0</v>
      </c>
      <c r="DB29" s="10">
        <f>'[27]2020'!K10</f>
        <v>12242.865256896001</v>
      </c>
      <c r="DC29" s="10">
        <f t="shared" si="98"/>
        <v>1606244.3342802364</v>
      </c>
      <c r="DD29" s="10">
        <f>'[27]2020'!M10</f>
        <v>1548775.32</v>
      </c>
      <c r="DE29" s="10">
        <f>'[27]2020'!N10</f>
        <v>109481.7</v>
      </c>
      <c r="DF29" s="10">
        <f>'[27]2020'!O10</f>
        <v>11686.78</v>
      </c>
      <c r="DG29" s="10">
        <f>'[27]2020'!P10</f>
        <v>0</v>
      </c>
      <c r="DH29" s="10">
        <f>'[27]2020'!Q10</f>
        <v>0</v>
      </c>
      <c r="DI29" s="10">
        <f>'[27]2020'!R10</f>
        <v>12144.8</v>
      </c>
      <c r="DJ29" s="10">
        <f>'[27]2020'!S10</f>
        <v>1682088.6</v>
      </c>
      <c r="DK29" s="10">
        <f>'[28]2021'!F10</f>
        <v>1541750.5659271199</v>
      </c>
      <c r="DL29" s="10">
        <f>'[28]2021'!G10</f>
        <v>114469.04599378</v>
      </c>
      <c r="DM29" s="10">
        <f>'[28]2021'!H10</f>
        <v>13350.992576479999</v>
      </c>
      <c r="DN29" s="10">
        <f>'[28]2021'!I10</f>
        <v>332.18975999999998</v>
      </c>
      <c r="DO29" s="10">
        <f>'[28]2021'!J10</f>
        <v>0</v>
      </c>
      <c r="DP29" s="10">
        <f>'[28]2021'!K10</f>
        <v>13657.447764025301</v>
      </c>
      <c r="DQ29" s="10">
        <f t="shared" si="99"/>
        <v>1683560.2420214051</v>
      </c>
      <c r="DR29" s="10">
        <f>'[28]2021'!M10</f>
        <v>1519795.53</v>
      </c>
      <c r="DS29" s="10">
        <f>'[28]2021'!N10</f>
        <v>109663.34</v>
      </c>
      <c r="DT29" s="10">
        <f>'[28]2021'!O10</f>
        <v>12053.12</v>
      </c>
      <c r="DU29" s="10">
        <f>'[28]2021'!P10</f>
        <v>161.51</v>
      </c>
      <c r="DV29" s="10">
        <f>'[28]2021'!Q10</f>
        <v>0</v>
      </c>
      <c r="DW29" s="10">
        <f>'[28]2021'!R10</f>
        <v>14337.26</v>
      </c>
      <c r="DX29" s="10">
        <f t="shared" si="100"/>
        <v>1656010.7600000002</v>
      </c>
      <c r="DY29" s="10">
        <v>1700643</v>
      </c>
      <c r="DZ29" s="10">
        <v>126437</v>
      </c>
      <c r="EA29" s="10">
        <v>14719</v>
      </c>
      <c r="EB29" s="10">
        <v>367</v>
      </c>
      <c r="EC29" s="10" t="s">
        <v>168</v>
      </c>
      <c r="ED29" s="10">
        <v>15963</v>
      </c>
      <c r="EE29" s="10">
        <f t="shared" si="93"/>
        <v>1858129</v>
      </c>
      <c r="EF29" s="10">
        <v>1722790</v>
      </c>
      <c r="EG29" s="10">
        <v>121651</v>
      </c>
      <c r="EH29" s="10">
        <v>13288</v>
      </c>
      <c r="EI29" s="10" t="s">
        <v>170</v>
      </c>
      <c r="EJ29" s="10" t="s">
        <v>168</v>
      </c>
      <c r="EK29" s="10">
        <v>16867</v>
      </c>
      <c r="EL29" s="10">
        <f t="shared" si="66"/>
        <v>1874596</v>
      </c>
      <c r="EM29" s="151">
        <f t="shared" si="101"/>
        <v>13970684.70373844</v>
      </c>
      <c r="EN29" s="151">
        <f t="shared" si="102"/>
        <v>14493074.92</v>
      </c>
      <c r="EO29" s="194"/>
      <c r="EQ29" s="36"/>
      <c r="ER29" s="36"/>
      <c r="ES29" s="36"/>
      <c r="ET29" s="36"/>
    </row>
    <row r="30" spans="1:150" s="5" customFormat="1" ht="12.75" x14ac:dyDescent="0.2">
      <c r="A30" s="212"/>
      <c r="B30" s="15" t="s">
        <v>49</v>
      </c>
      <c r="C30" s="1" t="s">
        <v>10</v>
      </c>
      <c r="D30" s="2">
        <v>37987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14" t="s">
        <v>11</v>
      </c>
      <c r="V30" s="14" t="s">
        <v>11</v>
      </c>
      <c r="W30" s="14" t="s">
        <v>11</v>
      </c>
      <c r="X30" s="14" t="s">
        <v>11</v>
      </c>
      <c r="Y30" s="14" t="s">
        <v>11</v>
      </c>
      <c r="Z30" s="14" t="s">
        <v>11</v>
      </c>
      <c r="AA30" s="14" t="s">
        <v>11</v>
      </c>
      <c r="AB30" s="10">
        <v>691626.26</v>
      </c>
      <c r="AC30" s="10">
        <v>110291.29</v>
      </c>
      <c r="AD30" s="10">
        <v>56964.39</v>
      </c>
      <c r="AE30" s="10">
        <v>144737.04999999999</v>
      </c>
      <c r="AF30" s="10">
        <v>68867.27</v>
      </c>
      <c r="AG30" s="10">
        <v>152447.67999999999</v>
      </c>
      <c r="AH30" s="10">
        <v>153435.10999999999</v>
      </c>
      <c r="AI30" s="10">
        <v>156164.19</v>
      </c>
      <c r="AJ30" s="10">
        <v>157327.04000000001</v>
      </c>
      <c r="AK30" s="10">
        <v>203970.34</v>
      </c>
      <c r="AL30" s="10">
        <v>183384.57</v>
      </c>
      <c r="AM30" s="10">
        <v>242454</v>
      </c>
      <c r="AN30" s="10">
        <v>170912</v>
      </c>
      <c r="AO30" s="10">
        <v>292959.40000000002</v>
      </c>
      <c r="AP30" s="10">
        <v>160443.50999999998</v>
      </c>
      <c r="AQ30" s="10">
        <v>334622.21999999997</v>
      </c>
      <c r="AR30" s="10">
        <v>423300.92999999993</v>
      </c>
      <c r="AS30" s="112">
        <v>212833.63</v>
      </c>
      <c r="AT30" s="10">
        <v>72676.28</v>
      </c>
      <c r="AU30" s="77"/>
      <c r="AV30" s="10">
        <v>18630.120000000003</v>
      </c>
      <c r="AW30" s="111">
        <v>0</v>
      </c>
      <c r="AX30" s="10">
        <v>22064.83</v>
      </c>
      <c r="AY30" s="10">
        <f t="shared" si="90"/>
        <v>326204.86000000004</v>
      </c>
      <c r="AZ30" s="10">
        <v>210490.68</v>
      </c>
      <c r="BA30" s="10">
        <v>22521.31</v>
      </c>
      <c r="BB30" s="77"/>
      <c r="BC30" s="10">
        <v>36431.32</v>
      </c>
      <c r="BD30" s="10">
        <v>0</v>
      </c>
      <c r="BE30" s="10">
        <v>35601.06</v>
      </c>
      <c r="BF30" s="10">
        <f t="shared" si="91"/>
        <v>305044.37</v>
      </c>
      <c r="BG30" s="10">
        <v>444873</v>
      </c>
      <c r="BH30" s="10">
        <v>152655</v>
      </c>
      <c r="BI30" s="10">
        <v>0</v>
      </c>
      <c r="BJ30" s="10">
        <v>18745</v>
      </c>
      <c r="BK30" s="10">
        <v>0</v>
      </c>
      <c r="BL30" s="10">
        <v>176287</v>
      </c>
      <c r="BM30" s="10">
        <f t="shared" si="92"/>
        <v>792560</v>
      </c>
      <c r="BN30" s="10">
        <v>432573</v>
      </c>
      <c r="BO30" s="10">
        <v>32260</v>
      </c>
      <c r="BP30" s="10">
        <v>0</v>
      </c>
      <c r="BQ30" s="10">
        <v>605</v>
      </c>
      <c r="BR30" s="10">
        <v>0</v>
      </c>
      <c r="BS30" s="10">
        <v>19963</v>
      </c>
      <c r="BT30" s="10">
        <f t="shared" si="94"/>
        <v>485401</v>
      </c>
      <c r="BU30" s="10">
        <v>610726.72</v>
      </c>
      <c r="BV30" s="10">
        <v>198166.57</v>
      </c>
      <c r="BW30" s="10">
        <v>0</v>
      </c>
      <c r="BX30" s="10">
        <v>1424.55</v>
      </c>
      <c r="BY30" s="10">
        <v>0</v>
      </c>
      <c r="BZ30" s="10">
        <v>157926.32</v>
      </c>
      <c r="CA30" s="10">
        <f t="shared" si="61"/>
        <v>968244.16000000015</v>
      </c>
      <c r="CB30" s="10">
        <v>639110.52</v>
      </c>
      <c r="CC30" s="10">
        <v>251543.41</v>
      </c>
      <c r="CD30" s="10">
        <v>0</v>
      </c>
      <c r="CE30" s="10">
        <v>630.5</v>
      </c>
      <c r="CF30" s="10">
        <v>0</v>
      </c>
      <c r="CG30" s="10">
        <v>18565.25</v>
      </c>
      <c r="CH30" s="10">
        <f t="shared" si="95"/>
        <v>909849.68</v>
      </c>
      <c r="CI30" s="10">
        <v>780778</v>
      </c>
      <c r="CJ30" s="10">
        <v>246817.6845</v>
      </c>
      <c r="CK30" s="10">
        <v>0</v>
      </c>
      <c r="CL30" s="10">
        <v>2218.3621880000001</v>
      </c>
      <c r="CM30" s="10">
        <v>0</v>
      </c>
      <c r="CN30" s="10">
        <v>184461.874433333</v>
      </c>
      <c r="CO30" s="10">
        <f t="shared" si="96"/>
        <v>1214275.921121333</v>
      </c>
      <c r="CP30" s="10">
        <v>787304.04999999795</v>
      </c>
      <c r="CQ30" s="10">
        <v>120674.96</v>
      </c>
      <c r="CR30" s="10">
        <v>0</v>
      </c>
      <c r="CS30" s="10">
        <v>1066.32</v>
      </c>
      <c r="CT30" s="10">
        <v>0</v>
      </c>
      <c r="CU30" s="10">
        <v>513177.57</v>
      </c>
      <c r="CV30" s="10">
        <f t="shared" si="97"/>
        <v>1422222.8999999978</v>
      </c>
      <c r="CW30" s="10">
        <f>'[27]2020'!F11</f>
        <v>818969.46278417762</v>
      </c>
      <c r="CX30" s="10">
        <f>'[27]2020'!G11</f>
        <v>248937.65827950003</v>
      </c>
      <c r="CY30" s="10">
        <f>'[27]2020'!H11</f>
        <v>0</v>
      </c>
      <c r="CZ30" s="10">
        <f>'[27]2020'!I11</f>
        <v>2397.479120755218</v>
      </c>
      <c r="DA30" s="10">
        <f>'[27]2020'!J11</f>
        <v>0</v>
      </c>
      <c r="DB30" s="10">
        <f>'[27]2020'!K11</f>
        <v>274841.74866138934</v>
      </c>
      <c r="DC30" s="10">
        <f t="shared" si="98"/>
        <v>1345146.348845822</v>
      </c>
      <c r="DD30" s="10">
        <f>'[27]2020'!M11</f>
        <v>787086.99</v>
      </c>
      <c r="DE30" s="10">
        <f>'[27]2020'!N11</f>
        <v>108670.15</v>
      </c>
      <c r="DF30" s="10">
        <f>'[27]2020'!O11</f>
        <v>0</v>
      </c>
      <c r="DG30" s="10">
        <f>'[27]2020'!P11</f>
        <v>1049.3699999999999</v>
      </c>
      <c r="DH30" s="10">
        <f>'[27]2020'!Q11</f>
        <v>0</v>
      </c>
      <c r="DI30" s="10">
        <f>'[27]2020'!R11</f>
        <v>267592.12</v>
      </c>
      <c r="DJ30" s="10">
        <f>'[27]2020'!S11</f>
        <v>1164398.6299999999</v>
      </c>
      <c r="DK30" s="10">
        <f>'[28]2021'!F11</f>
        <v>776932.37202367396</v>
      </c>
      <c r="DL30" s="10">
        <f>'[28]2021'!G11</f>
        <v>267509.72201010003</v>
      </c>
      <c r="DM30" s="10">
        <f>'[28]2021'!H11</f>
        <v>0</v>
      </c>
      <c r="DN30" s="10">
        <f>'[28]2021'!I11</f>
        <v>2515.7489703399401</v>
      </c>
      <c r="DO30" s="10">
        <f>'[28]2021'!J11</f>
        <v>0</v>
      </c>
      <c r="DP30" s="10">
        <f>'[28]2021'!K11</f>
        <v>253648.46383287999</v>
      </c>
      <c r="DQ30" s="10">
        <f t="shared" si="99"/>
        <v>1300606.3068369939</v>
      </c>
      <c r="DR30" s="10">
        <f>'[28]2021'!M11</f>
        <v>814776.82000000007</v>
      </c>
      <c r="DS30" s="10">
        <f>'[28]2021'!N11</f>
        <v>218794.42</v>
      </c>
      <c r="DT30" s="10">
        <f>'[28]2021'!O11</f>
        <v>0</v>
      </c>
      <c r="DU30" s="10">
        <f>'[28]2021'!P11</f>
        <v>2432.9399999999996</v>
      </c>
      <c r="DV30" s="10">
        <f>'[28]2021'!Q11</f>
        <v>0</v>
      </c>
      <c r="DW30" s="10">
        <f>'[28]2021'!R11</f>
        <v>245811.91</v>
      </c>
      <c r="DX30" s="10">
        <f t="shared" si="100"/>
        <v>1281816.0900000001</v>
      </c>
      <c r="DY30" s="10">
        <v>857619</v>
      </c>
      <c r="DZ30" s="10">
        <v>340247</v>
      </c>
      <c r="EA30" s="10" t="s">
        <v>169</v>
      </c>
      <c r="EB30" s="10">
        <v>5559</v>
      </c>
      <c r="EC30" s="10" t="s">
        <v>168</v>
      </c>
      <c r="ED30" s="10">
        <v>281388</v>
      </c>
      <c r="EE30" s="10">
        <f t="shared" si="93"/>
        <v>1484813</v>
      </c>
      <c r="EF30" s="10">
        <v>859433</v>
      </c>
      <c r="EG30" s="10">
        <v>276699</v>
      </c>
      <c r="EH30" s="10" t="s">
        <v>169</v>
      </c>
      <c r="EI30" s="10">
        <v>5542</v>
      </c>
      <c r="EJ30" s="10" t="s">
        <v>168</v>
      </c>
      <c r="EK30" s="10">
        <v>282559</v>
      </c>
      <c r="EL30" s="10">
        <f t="shared" si="66"/>
        <v>1424233</v>
      </c>
      <c r="EM30" s="151">
        <f t="shared" si="101"/>
        <v>9069496.7668041494</v>
      </c>
      <c r="EN30" s="151">
        <f t="shared" si="102"/>
        <v>9059226.7499999981</v>
      </c>
      <c r="EO30" s="194"/>
      <c r="EQ30" s="36"/>
      <c r="ER30" s="36"/>
      <c r="ES30" s="36"/>
      <c r="ET30" s="36"/>
    </row>
    <row r="31" spans="1:150" s="5" customFormat="1" ht="12.75" x14ac:dyDescent="0.2">
      <c r="A31" s="212"/>
      <c r="B31" s="15" t="s">
        <v>50</v>
      </c>
      <c r="C31" s="1" t="s">
        <v>10</v>
      </c>
      <c r="D31" s="2">
        <v>38047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14" t="s">
        <v>11</v>
      </c>
      <c r="V31" s="14" t="s">
        <v>11</v>
      </c>
      <c r="W31" s="14" t="s">
        <v>11</v>
      </c>
      <c r="X31" s="14" t="s">
        <v>11</v>
      </c>
      <c r="Y31" s="14" t="s">
        <v>11</v>
      </c>
      <c r="Z31" s="14" t="s">
        <v>11</v>
      </c>
      <c r="AA31" s="14" t="s">
        <v>11</v>
      </c>
      <c r="AB31" s="10">
        <v>1680656.52</v>
      </c>
      <c r="AC31" s="10">
        <v>2403020.2400000002</v>
      </c>
      <c r="AD31" s="10">
        <v>739553.37</v>
      </c>
      <c r="AE31" s="10">
        <v>3067315.09</v>
      </c>
      <c r="AF31" s="10">
        <v>875256.63</v>
      </c>
      <c r="AG31" s="10">
        <v>4048381.15</v>
      </c>
      <c r="AH31" s="10">
        <v>3973795.63</v>
      </c>
      <c r="AI31" s="10">
        <v>4221693.1399999997</v>
      </c>
      <c r="AJ31" s="10">
        <v>4267103.7</v>
      </c>
      <c r="AK31" s="10">
        <v>3912867.46</v>
      </c>
      <c r="AL31" s="10">
        <v>3954626.59</v>
      </c>
      <c r="AM31" s="10">
        <v>3981866</v>
      </c>
      <c r="AN31" s="10">
        <v>3046505</v>
      </c>
      <c r="AO31" s="10">
        <v>3788497.28</v>
      </c>
      <c r="AP31" s="10">
        <v>2255651.04</v>
      </c>
      <c r="AQ31" s="10">
        <v>3572115.84</v>
      </c>
      <c r="AR31" s="10">
        <v>6270545.1000000006</v>
      </c>
      <c r="AS31" s="112">
        <v>2654179.06</v>
      </c>
      <c r="AT31" s="10">
        <v>571283.17000000004</v>
      </c>
      <c r="AU31" s="77"/>
      <c r="AV31" s="10">
        <v>0</v>
      </c>
      <c r="AW31" s="111">
        <v>0</v>
      </c>
      <c r="AX31" s="10">
        <v>302190.12</v>
      </c>
      <c r="AY31" s="10">
        <f t="shared" si="90"/>
        <v>3527652.35</v>
      </c>
      <c r="AZ31" s="10">
        <v>2651008.38</v>
      </c>
      <c r="BA31" s="10">
        <v>600935.25999999896</v>
      </c>
      <c r="BB31" s="77"/>
      <c r="BC31" s="10">
        <v>0</v>
      </c>
      <c r="BD31" s="10">
        <v>0</v>
      </c>
      <c r="BE31" s="10">
        <v>306757.299999999</v>
      </c>
      <c r="BF31" s="10">
        <f t="shared" si="91"/>
        <v>3558700.9399999976</v>
      </c>
      <c r="BG31" s="10">
        <v>5881416</v>
      </c>
      <c r="BH31" s="10">
        <v>1189010</v>
      </c>
      <c r="BI31" s="10">
        <v>375</v>
      </c>
      <c r="BJ31" s="10">
        <v>0</v>
      </c>
      <c r="BK31" s="10">
        <v>0</v>
      </c>
      <c r="BL31" s="10">
        <v>681008</v>
      </c>
      <c r="BM31" s="10">
        <f t="shared" si="92"/>
        <v>7751809</v>
      </c>
      <c r="BN31" s="10">
        <v>5587848</v>
      </c>
      <c r="BO31" s="10">
        <v>1154970</v>
      </c>
      <c r="BP31" s="10">
        <v>302</v>
      </c>
      <c r="BQ31" s="10">
        <v>0</v>
      </c>
      <c r="BR31" s="10">
        <v>0</v>
      </c>
      <c r="BS31" s="10">
        <v>571969</v>
      </c>
      <c r="BT31" s="10">
        <f t="shared" si="94"/>
        <v>7315089</v>
      </c>
      <c r="BU31" s="10">
        <v>6120117.1600000001</v>
      </c>
      <c r="BV31" s="10">
        <v>1207062.6200000001</v>
      </c>
      <c r="BW31" s="10">
        <v>1370.57</v>
      </c>
      <c r="BX31" s="10">
        <v>0</v>
      </c>
      <c r="BY31" s="10">
        <v>0</v>
      </c>
      <c r="BZ31" s="10">
        <v>726286.16999999993</v>
      </c>
      <c r="CA31" s="10">
        <f t="shared" si="61"/>
        <v>8054836.5200000005</v>
      </c>
      <c r="CB31" s="10">
        <v>6091358.8899999997</v>
      </c>
      <c r="CC31" s="10">
        <v>1096638.53</v>
      </c>
      <c r="CD31" s="10">
        <v>1127.6600000000001</v>
      </c>
      <c r="CE31" s="10">
        <v>0</v>
      </c>
      <c r="CF31" s="10">
        <v>0</v>
      </c>
      <c r="CG31" s="10">
        <v>647477.66</v>
      </c>
      <c r="CH31" s="10">
        <f t="shared" si="95"/>
        <v>7836602.7400000002</v>
      </c>
      <c r="CI31" s="10">
        <v>6048637.9208000004</v>
      </c>
      <c r="CJ31" s="10">
        <v>1165097.3339400601</v>
      </c>
      <c r="CK31" s="10">
        <v>1597.69792512</v>
      </c>
      <c r="CL31" s="10">
        <v>41.900320000000001</v>
      </c>
      <c r="CM31" s="10">
        <v>0</v>
      </c>
      <c r="CN31" s="10">
        <v>693372.7580879617</v>
      </c>
      <c r="CO31" s="10">
        <f t="shared" si="96"/>
        <v>7908747.6110731419</v>
      </c>
      <c r="CP31" s="10">
        <v>6095620.3799999999</v>
      </c>
      <c r="CQ31" s="10">
        <v>1147744.24</v>
      </c>
      <c r="CR31" s="10">
        <v>2001.01</v>
      </c>
      <c r="CS31" s="10">
        <v>0</v>
      </c>
      <c r="CT31" s="10">
        <v>0</v>
      </c>
      <c r="CU31" s="10">
        <v>719602.93000002916</v>
      </c>
      <c r="CV31" s="10">
        <f t="shared" si="97"/>
        <v>7964968.5600000294</v>
      </c>
      <c r="CW31" s="10">
        <f>'[27]2020'!F12</f>
        <v>7742527.0941270478</v>
      </c>
      <c r="CX31" s="10">
        <f>'[27]2020'!G12</f>
        <v>1182180.4594170647</v>
      </c>
      <c r="CY31" s="10">
        <f>'[27]2020'!H12</f>
        <v>1643.947075584</v>
      </c>
      <c r="CZ31" s="10">
        <f>'[27]2020'!I12</f>
        <v>73.908384000000012</v>
      </c>
      <c r="DA31" s="10">
        <f>'[27]2020'!J12</f>
        <v>0</v>
      </c>
      <c r="DB31" s="10">
        <f>'[27]2020'!K12</f>
        <v>730375.28297687869</v>
      </c>
      <c r="DC31" s="10">
        <f t="shared" si="98"/>
        <v>9656800.6919805761</v>
      </c>
      <c r="DD31" s="10">
        <f>'[27]2020'!M12</f>
        <v>7609406.6600000001</v>
      </c>
      <c r="DE31" s="10">
        <f>'[27]2020'!N12</f>
        <v>1232881.5900000001</v>
      </c>
      <c r="DF31" s="10">
        <f>'[27]2020'!O12</f>
        <v>1598.03</v>
      </c>
      <c r="DG31" s="10">
        <f>'[27]2020'!P12</f>
        <v>0</v>
      </c>
      <c r="DH31" s="10">
        <f>'[27]2020'!Q12</f>
        <v>0</v>
      </c>
      <c r="DI31" s="10">
        <f>'[27]2020'!R12</f>
        <v>742923.01</v>
      </c>
      <c r="DJ31" s="10">
        <f>'[27]2020'!S12</f>
        <v>9586809.2899999991</v>
      </c>
      <c r="DK31" s="10">
        <f>'[28]2021'!F12</f>
        <v>8684589.8147660401</v>
      </c>
      <c r="DL31" s="10">
        <f>'[28]2021'!G12</f>
        <v>1254602.7859722399</v>
      </c>
      <c r="DM31" s="10">
        <f>'[28]2021'!H12</f>
        <v>1695.5457674239999</v>
      </c>
      <c r="DN31" s="10">
        <f>'[28]2021'!I12</f>
        <v>0</v>
      </c>
      <c r="DO31" s="10">
        <f>'[28]2021'!J12</f>
        <v>0</v>
      </c>
      <c r="DP31" s="10">
        <f>'[28]2021'!K12</f>
        <v>647080.39605978003</v>
      </c>
      <c r="DQ31" s="10">
        <f t="shared" si="99"/>
        <v>10587968.542565484</v>
      </c>
      <c r="DR31" s="10">
        <f>'[28]2021'!M12</f>
        <v>8067926.5300000003</v>
      </c>
      <c r="DS31" s="10">
        <f>'[28]2021'!N12</f>
        <v>1284573.71</v>
      </c>
      <c r="DT31" s="10">
        <f>'[28]2021'!O12</f>
        <v>1614.68</v>
      </c>
      <c r="DU31" s="10">
        <f>'[28]2021'!P12</f>
        <v>0</v>
      </c>
      <c r="DV31" s="10">
        <f>'[28]2021'!Q12</f>
        <v>0</v>
      </c>
      <c r="DW31" s="10">
        <f>'[28]2021'!R12</f>
        <v>718473.22</v>
      </c>
      <c r="DX31" s="10">
        <f t="shared" si="100"/>
        <v>10072588.140000001</v>
      </c>
      <c r="DY31" s="10">
        <v>10758348</v>
      </c>
      <c r="DZ31" s="10">
        <v>1230199</v>
      </c>
      <c r="EA31" s="10">
        <v>1869</v>
      </c>
      <c r="EB31" s="10" t="s">
        <v>170</v>
      </c>
      <c r="EC31" s="10" t="s">
        <v>168</v>
      </c>
      <c r="ED31" s="10">
        <v>790442</v>
      </c>
      <c r="EE31" s="10">
        <f t="shared" si="93"/>
        <v>12780858</v>
      </c>
      <c r="EF31" s="10">
        <v>10891254</v>
      </c>
      <c r="EG31" s="10">
        <v>1274271</v>
      </c>
      <c r="EH31" s="10">
        <v>1780</v>
      </c>
      <c r="EI31" s="10" t="s">
        <v>170</v>
      </c>
      <c r="EJ31" s="10" t="s">
        <v>168</v>
      </c>
      <c r="EK31" s="10">
        <v>808730</v>
      </c>
      <c r="EL31" s="10">
        <f t="shared" si="66"/>
        <v>12976035</v>
      </c>
      <c r="EM31" s="151">
        <f t="shared" si="101"/>
        <v>89264428.915619209</v>
      </c>
      <c r="EN31" s="151">
        <f t="shared" si="102"/>
        <v>86374487.25000003</v>
      </c>
      <c r="EO31" s="194"/>
      <c r="EQ31" s="36"/>
      <c r="ER31" s="36"/>
      <c r="ES31" s="36"/>
      <c r="ET31" s="36"/>
    </row>
    <row r="32" spans="1:150" s="5" customFormat="1" ht="12.75" x14ac:dyDescent="0.2">
      <c r="A32" s="212"/>
      <c r="B32" s="15" t="s">
        <v>51</v>
      </c>
      <c r="C32" s="1" t="s">
        <v>10</v>
      </c>
      <c r="D32" s="2">
        <v>38047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14" t="s">
        <v>11</v>
      </c>
      <c r="V32" s="14" t="s">
        <v>11</v>
      </c>
      <c r="W32" s="14" t="s">
        <v>11</v>
      </c>
      <c r="X32" s="14" t="s">
        <v>11</v>
      </c>
      <c r="Y32" s="14" t="s">
        <v>11</v>
      </c>
      <c r="Z32" s="14" t="s">
        <v>11</v>
      </c>
      <c r="AA32" s="14" t="s">
        <v>11</v>
      </c>
      <c r="AB32" s="10">
        <v>443732.14</v>
      </c>
      <c r="AC32" s="10">
        <v>169778.32</v>
      </c>
      <c r="AD32" s="10">
        <v>157605.54</v>
      </c>
      <c r="AE32" s="10">
        <v>174193.18</v>
      </c>
      <c r="AF32" s="10">
        <v>174057.23</v>
      </c>
      <c r="AG32" s="10">
        <v>177401.67</v>
      </c>
      <c r="AH32" s="10">
        <v>186221.83</v>
      </c>
      <c r="AI32" s="10">
        <v>280839.08</v>
      </c>
      <c r="AJ32" s="10">
        <v>277926.28000000003</v>
      </c>
      <c r="AK32" s="10">
        <v>258733.38</v>
      </c>
      <c r="AL32" s="10">
        <v>270401.84999999998</v>
      </c>
      <c r="AM32" s="10">
        <v>280101</v>
      </c>
      <c r="AN32" s="10">
        <v>239428</v>
      </c>
      <c r="AO32" s="10">
        <v>271337.94</v>
      </c>
      <c r="AP32" s="10">
        <v>203684.94999999995</v>
      </c>
      <c r="AQ32" s="10">
        <v>286186.74</v>
      </c>
      <c r="AR32" s="10">
        <v>440518.80000000005</v>
      </c>
      <c r="AS32" s="112">
        <v>218093.25</v>
      </c>
      <c r="AT32" s="10">
        <v>0</v>
      </c>
      <c r="AU32" s="77"/>
      <c r="AV32" s="10">
        <v>0</v>
      </c>
      <c r="AW32" s="111">
        <v>0</v>
      </c>
      <c r="AX32" s="10">
        <v>86393.62</v>
      </c>
      <c r="AY32" s="10">
        <f t="shared" si="90"/>
        <v>304486.87</v>
      </c>
      <c r="AZ32" s="10">
        <v>204530.09</v>
      </c>
      <c r="BA32" s="10">
        <v>0</v>
      </c>
      <c r="BB32" s="77"/>
      <c r="BC32" s="10">
        <v>0</v>
      </c>
      <c r="BD32" s="10">
        <v>0</v>
      </c>
      <c r="BE32" s="10">
        <v>98561.110000000102</v>
      </c>
      <c r="BF32" s="10">
        <f t="shared" si="91"/>
        <v>303091.20000000007</v>
      </c>
      <c r="BG32" s="10">
        <v>413032</v>
      </c>
      <c r="BH32" s="10">
        <v>0</v>
      </c>
      <c r="BI32" s="10">
        <v>0</v>
      </c>
      <c r="BJ32" s="10">
        <v>0</v>
      </c>
      <c r="BK32" s="10">
        <v>0</v>
      </c>
      <c r="BL32" s="10">
        <v>185943</v>
      </c>
      <c r="BM32" s="10">
        <f t="shared" si="92"/>
        <v>598975</v>
      </c>
      <c r="BN32" s="10">
        <v>415364</v>
      </c>
      <c r="BO32" s="10">
        <v>0</v>
      </c>
      <c r="BP32" s="10">
        <v>0</v>
      </c>
      <c r="BQ32" s="10">
        <v>0</v>
      </c>
      <c r="BR32" s="10">
        <v>0</v>
      </c>
      <c r="BS32" s="10">
        <v>178543</v>
      </c>
      <c r="BT32" s="10">
        <f t="shared" si="94"/>
        <v>593907</v>
      </c>
      <c r="BU32" s="10">
        <v>459527.61</v>
      </c>
      <c r="BV32" s="10">
        <v>0</v>
      </c>
      <c r="BW32" s="10">
        <v>0</v>
      </c>
      <c r="BX32" s="10">
        <v>0</v>
      </c>
      <c r="BY32" s="10">
        <v>0</v>
      </c>
      <c r="BZ32" s="10">
        <v>198402.95</v>
      </c>
      <c r="CA32" s="10">
        <f t="shared" si="61"/>
        <v>657930.56000000006</v>
      </c>
      <c r="CB32" s="10">
        <v>464847.9</v>
      </c>
      <c r="CC32" s="10">
        <v>0</v>
      </c>
      <c r="CD32" s="10">
        <v>0</v>
      </c>
      <c r="CE32" s="10">
        <v>0</v>
      </c>
      <c r="CF32" s="10">
        <v>0</v>
      </c>
      <c r="CG32" s="10">
        <v>182427.8</v>
      </c>
      <c r="CH32" s="10">
        <f t="shared" si="95"/>
        <v>647275.69999999995</v>
      </c>
      <c r="CI32" s="10">
        <v>584346.57195999997</v>
      </c>
      <c r="CJ32" s="10">
        <v>0</v>
      </c>
      <c r="CK32" s="10">
        <v>0</v>
      </c>
      <c r="CL32" s="10">
        <v>0</v>
      </c>
      <c r="CM32" s="10">
        <v>0</v>
      </c>
      <c r="CN32" s="10">
        <v>247059.92300000001</v>
      </c>
      <c r="CO32" s="10">
        <f t="shared" si="96"/>
        <v>831406.49496000004</v>
      </c>
      <c r="CP32" s="10">
        <v>580709.18000000005</v>
      </c>
      <c r="CQ32" s="10">
        <v>0</v>
      </c>
      <c r="CR32" s="10">
        <v>0</v>
      </c>
      <c r="CS32" s="10">
        <v>0</v>
      </c>
      <c r="CT32" s="10">
        <v>0</v>
      </c>
      <c r="CU32" s="10">
        <v>232534.78</v>
      </c>
      <c r="CV32" s="10">
        <f t="shared" si="97"/>
        <v>813243.96000000008</v>
      </c>
      <c r="CW32" s="10">
        <f>'[27]2020'!F13</f>
        <v>665035.92000419996</v>
      </c>
      <c r="CX32" s="10">
        <f>'[27]2020'!G13</f>
        <v>0</v>
      </c>
      <c r="CY32" s="10">
        <f>'[27]2020'!H13</f>
        <v>4445.28</v>
      </c>
      <c r="CZ32" s="10">
        <f>'[27]2020'!I13</f>
        <v>0</v>
      </c>
      <c r="DA32" s="10">
        <f>'[27]2020'!J13</f>
        <v>0</v>
      </c>
      <c r="DB32" s="10">
        <f>'[27]2020'!K13</f>
        <v>262496.79904731998</v>
      </c>
      <c r="DC32" s="10">
        <f t="shared" si="98"/>
        <v>931977.9990515199</v>
      </c>
      <c r="DD32" s="10">
        <f>'[27]2020'!M13</f>
        <v>659123.54</v>
      </c>
      <c r="DE32" s="10">
        <f>'[27]2020'!N13</f>
        <v>0</v>
      </c>
      <c r="DF32" s="10">
        <f>'[27]2020'!O13</f>
        <v>0</v>
      </c>
      <c r="DG32" s="10">
        <f>'[27]2020'!P13</f>
        <v>0</v>
      </c>
      <c r="DH32" s="10">
        <f>'[27]2020'!Q13</f>
        <v>0</v>
      </c>
      <c r="DI32" s="10">
        <f>'[27]2020'!R13</f>
        <v>260786.29</v>
      </c>
      <c r="DJ32" s="10">
        <f>'[27]2020'!S13</f>
        <v>919909.83000000007</v>
      </c>
      <c r="DK32" s="10">
        <f>'[28]2021'!F13</f>
        <v>642222.32237208297</v>
      </c>
      <c r="DL32" s="10">
        <f>'[28]2021'!G13</f>
        <v>0</v>
      </c>
      <c r="DM32" s="10">
        <f>'[28]2021'!H13</f>
        <v>4585.2479999999996</v>
      </c>
      <c r="DN32" s="10">
        <f>'[28]2021'!I13</f>
        <v>0</v>
      </c>
      <c r="DO32" s="10">
        <f>'[28]2021'!J13</f>
        <v>0</v>
      </c>
      <c r="DP32" s="10">
        <f>'[28]2021'!K13</f>
        <v>270763.72279351199</v>
      </c>
      <c r="DQ32" s="10">
        <f t="shared" si="99"/>
        <v>917571.29316559504</v>
      </c>
      <c r="DR32" s="10">
        <f>'[28]2021'!M13</f>
        <v>643442.28</v>
      </c>
      <c r="DS32" s="10">
        <f>'[28]2021'!N13</f>
        <v>0</v>
      </c>
      <c r="DT32" s="10">
        <f>'[28]2021'!O13</f>
        <v>0</v>
      </c>
      <c r="DU32" s="10">
        <f>'[28]2021'!P13</f>
        <v>0</v>
      </c>
      <c r="DV32" s="10">
        <f>'[28]2021'!Q13</f>
        <v>0</v>
      </c>
      <c r="DW32" s="10">
        <f>'[28]2021'!R13</f>
        <v>260037.26</v>
      </c>
      <c r="DX32" s="10">
        <f t="shared" si="100"/>
        <v>903479.54</v>
      </c>
      <c r="DY32" s="10">
        <v>685670</v>
      </c>
      <c r="DZ32" s="10" t="s">
        <v>171</v>
      </c>
      <c r="EA32" s="10">
        <v>5055</v>
      </c>
      <c r="EB32" s="10" t="s">
        <v>170</v>
      </c>
      <c r="EC32" s="10" t="s">
        <v>168</v>
      </c>
      <c r="ED32" s="10">
        <v>298480</v>
      </c>
      <c r="EE32" s="10">
        <f t="shared" si="93"/>
        <v>989205</v>
      </c>
      <c r="EF32" s="10">
        <v>665916</v>
      </c>
      <c r="EG32" s="10" t="s">
        <v>171</v>
      </c>
      <c r="EH32" s="10" t="s">
        <v>169</v>
      </c>
      <c r="EI32" s="10" t="s">
        <v>170</v>
      </c>
      <c r="EJ32" s="10" t="s">
        <v>168</v>
      </c>
      <c r="EK32" s="10">
        <v>279927</v>
      </c>
      <c r="EL32" s="10">
        <f t="shared" si="66"/>
        <v>945843</v>
      </c>
      <c r="EM32" s="151">
        <f t="shared" si="101"/>
        <v>7130124.527177115</v>
      </c>
      <c r="EN32" s="151">
        <f t="shared" si="102"/>
        <v>7520326.8500000006</v>
      </c>
      <c r="EO32" s="194"/>
      <c r="EQ32" s="36"/>
      <c r="ER32" s="36"/>
      <c r="ES32" s="36"/>
      <c r="ET32" s="36"/>
    </row>
    <row r="33" spans="1:150" s="5" customFormat="1" ht="12.75" x14ac:dyDescent="0.2">
      <c r="A33" s="212"/>
      <c r="B33" s="15" t="s">
        <v>27</v>
      </c>
      <c r="C33" s="1" t="s">
        <v>10</v>
      </c>
      <c r="D33" s="2">
        <v>38047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14" t="s">
        <v>11</v>
      </c>
      <c r="V33" s="14" t="s">
        <v>11</v>
      </c>
      <c r="W33" s="14" t="s">
        <v>11</v>
      </c>
      <c r="X33" s="14" t="s">
        <v>11</v>
      </c>
      <c r="Y33" s="14" t="s">
        <v>11</v>
      </c>
      <c r="Z33" s="14" t="s">
        <v>11</v>
      </c>
      <c r="AA33" s="14" t="s">
        <v>11</v>
      </c>
      <c r="AB33" s="10">
        <v>2336334.0299999998</v>
      </c>
      <c r="AC33" s="10">
        <v>20850886.579999998</v>
      </c>
      <c r="AD33" s="10">
        <v>1189871.05</v>
      </c>
      <c r="AE33" s="10">
        <v>25363876.940000001</v>
      </c>
      <c r="AF33" s="10">
        <v>3204078.39</v>
      </c>
      <c r="AG33" s="10">
        <v>24011159.370000001</v>
      </c>
      <c r="AH33" s="10">
        <v>23881773.719999999</v>
      </c>
      <c r="AI33" s="10">
        <v>23903079.149999999</v>
      </c>
      <c r="AJ33" s="10">
        <v>23892988.649999999</v>
      </c>
      <c r="AK33" s="10">
        <v>21860556.73</v>
      </c>
      <c r="AL33" s="10">
        <v>22017496</v>
      </c>
      <c r="AM33" s="10">
        <v>22445041</v>
      </c>
      <c r="AN33" s="10">
        <v>15907201</v>
      </c>
      <c r="AO33" s="10">
        <v>22037382.800000001</v>
      </c>
      <c r="AP33" s="10">
        <v>9278631.1699999999</v>
      </c>
      <c r="AQ33" s="10">
        <v>15510646.800000001</v>
      </c>
      <c r="AR33" s="10">
        <v>36540949.369999997</v>
      </c>
      <c r="AS33" s="112">
        <v>14090763.210000001</v>
      </c>
      <c r="AT33" s="10">
        <v>1361384.8</v>
      </c>
      <c r="AU33" s="77"/>
      <c r="AV33" s="10">
        <v>94.17</v>
      </c>
      <c r="AW33" s="111">
        <v>554110.01</v>
      </c>
      <c r="AX33" s="10">
        <v>96896.93</v>
      </c>
      <c r="AY33" s="10">
        <f t="shared" si="90"/>
        <v>16103249.120000001</v>
      </c>
      <c r="AZ33" s="10">
        <v>14203703.83</v>
      </c>
      <c r="BA33" s="10">
        <v>1262524.4700000002</v>
      </c>
      <c r="BB33" s="77"/>
      <c r="BC33" s="10">
        <v>0</v>
      </c>
      <c r="BD33" s="10">
        <v>564373.21</v>
      </c>
      <c r="BE33" s="10">
        <v>102174.96</v>
      </c>
      <c r="BF33" s="10">
        <f t="shared" si="91"/>
        <v>16132776.470000003</v>
      </c>
      <c r="BG33" s="10">
        <v>33012014</v>
      </c>
      <c r="BH33" s="10">
        <v>3400097</v>
      </c>
      <c r="BI33" s="10">
        <v>9276</v>
      </c>
      <c r="BJ33" s="10">
        <v>94</v>
      </c>
      <c r="BK33" s="10">
        <v>1113522</v>
      </c>
      <c r="BL33" s="10">
        <v>254525</v>
      </c>
      <c r="BM33" s="10">
        <f t="shared" si="92"/>
        <v>37789528</v>
      </c>
      <c r="BN33" s="10">
        <v>31437372</v>
      </c>
      <c r="BO33" s="10">
        <v>3316522</v>
      </c>
      <c r="BP33" s="10">
        <v>8687</v>
      </c>
      <c r="BQ33" s="10">
        <v>0</v>
      </c>
      <c r="BR33" s="10">
        <v>1165335</v>
      </c>
      <c r="BS33" s="10">
        <v>238270</v>
      </c>
      <c r="BT33" s="10">
        <f t="shared" si="94"/>
        <v>36166186</v>
      </c>
      <c r="BU33" s="10">
        <v>34026288.240000002</v>
      </c>
      <c r="BV33" s="10">
        <v>3403710.64</v>
      </c>
      <c r="BW33" s="10">
        <v>9377.98</v>
      </c>
      <c r="BX33" s="10">
        <v>3937.27</v>
      </c>
      <c r="BY33" s="10">
        <v>1309451.71</v>
      </c>
      <c r="BZ33" s="10">
        <v>282688.05999999994</v>
      </c>
      <c r="CA33" s="10">
        <f t="shared" si="61"/>
        <v>39035453.900000006</v>
      </c>
      <c r="CB33" s="10">
        <v>33937921</v>
      </c>
      <c r="CC33" s="10">
        <v>3439539.81</v>
      </c>
      <c r="CD33" s="10">
        <v>6859.43</v>
      </c>
      <c r="CE33" s="10">
        <v>0</v>
      </c>
      <c r="CF33" s="10">
        <v>1417533.9</v>
      </c>
      <c r="CG33" s="10">
        <v>271191.43</v>
      </c>
      <c r="CH33" s="10">
        <f t="shared" si="95"/>
        <v>39073045.57</v>
      </c>
      <c r="CI33" s="10">
        <v>33669854.656893916</v>
      </c>
      <c r="CJ33" s="10">
        <v>3515117.6068327799</v>
      </c>
      <c r="CK33" s="10">
        <v>10149.99727016</v>
      </c>
      <c r="CL33" s="10">
        <v>4114.45</v>
      </c>
      <c r="CM33" s="10">
        <v>1524764.2785759999</v>
      </c>
      <c r="CN33" s="10">
        <v>273429.31</v>
      </c>
      <c r="CO33" s="10">
        <f t="shared" si="96"/>
        <v>38997430.299572863</v>
      </c>
      <c r="CP33" s="10">
        <v>33699236.479999997</v>
      </c>
      <c r="CQ33" s="10">
        <v>3502908.81</v>
      </c>
      <c r="CR33" s="10">
        <v>11942.08</v>
      </c>
      <c r="CS33" s="10">
        <v>0</v>
      </c>
      <c r="CT33" s="10">
        <v>1489924.4</v>
      </c>
      <c r="CU33" s="10">
        <v>265956.11</v>
      </c>
      <c r="CV33" s="10">
        <f t="shared" si="97"/>
        <v>38969967.879999995</v>
      </c>
      <c r="CW33" s="10">
        <f>'[27]2020'!F14</f>
        <v>35855734.419999994</v>
      </c>
      <c r="CX33" s="10">
        <f>'[27]2020'!G14</f>
        <v>3881349.8966332851</v>
      </c>
      <c r="CY33" s="10">
        <f>'[27]2020'!H14</f>
        <v>10522.608924612001</v>
      </c>
      <c r="CZ33" s="10">
        <f>'[27]2020'!I14</f>
        <v>4233.5534384000002</v>
      </c>
      <c r="DA33" s="10">
        <f>'[27]2020'!J14</f>
        <v>1568939.092023029</v>
      </c>
      <c r="DB33" s="10">
        <f>'[27]2020'!K14</f>
        <v>302346.55314301973</v>
      </c>
      <c r="DC33" s="10">
        <f t="shared" si="98"/>
        <v>41623126.124162339</v>
      </c>
      <c r="DD33" s="10">
        <f>'[27]2020'!M14</f>
        <v>35673550.189999998</v>
      </c>
      <c r="DE33" s="10">
        <f>'[27]2020'!N14</f>
        <v>3747224.42</v>
      </c>
      <c r="DF33" s="10">
        <f>'[27]2020'!O14</f>
        <v>9363.2899999999991</v>
      </c>
      <c r="DG33" s="10">
        <f>'[27]2020'!P14</f>
        <v>0</v>
      </c>
      <c r="DH33" s="10">
        <f>'[27]2020'!Q14</f>
        <v>1626498.69</v>
      </c>
      <c r="DI33" s="10">
        <f>'[27]2020'!R14</f>
        <v>277210.3</v>
      </c>
      <c r="DJ33" s="10">
        <f>'[27]2020'!S14</f>
        <v>41333846.889999993</v>
      </c>
      <c r="DK33" s="10">
        <f>'[28]2021'!F14</f>
        <v>37121000.129623003</v>
      </c>
      <c r="DL33" s="10">
        <f>'[28]2021'!G14</f>
        <v>3344814.3333057798</v>
      </c>
      <c r="DM33" s="10">
        <f>'[28]2021'!H14</f>
        <v>9721.2613900319993</v>
      </c>
      <c r="DN33" s="10">
        <f>'[28]2021'!I14</f>
        <v>790.14031999999997</v>
      </c>
      <c r="DO33" s="10">
        <f>'[28]2021'!J14</f>
        <v>1618185.0295778101</v>
      </c>
      <c r="DP33" s="10">
        <f>'[28]2021'!K14</f>
        <v>315786.12703232397</v>
      </c>
      <c r="DQ33" s="10">
        <f t="shared" si="99"/>
        <v>42410297.021248952</v>
      </c>
      <c r="DR33" s="10">
        <f>'[28]2021'!M14</f>
        <v>34032472.480000004</v>
      </c>
      <c r="DS33" s="10">
        <f>'[28]2021'!N14</f>
        <v>3490151.03</v>
      </c>
      <c r="DT33" s="10">
        <f>'[28]2021'!O14</f>
        <v>9728.06</v>
      </c>
      <c r="DU33" s="10">
        <f>'[28]2021'!P14</f>
        <v>0</v>
      </c>
      <c r="DV33" s="10">
        <f>'[28]2021'!Q14</f>
        <v>1618087.96</v>
      </c>
      <c r="DW33" s="10">
        <f>'[28]2021'!R14</f>
        <v>339798.31</v>
      </c>
      <c r="DX33" s="10">
        <f t="shared" si="100"/>
        <v>39490237.840000011</v>
      </c>
      <c r="DY33" s="10">
        <v>42756350</v>
      </c>
      <c r="DZ33" s="10">
        <v>3934241</v>
      </c>
      <c r="EA33" s="10">
        <v>10989</v>
      </c>
      <c r="EB33" s="10">
        <v>871</v>
      </c>
      <c r="EC33" s="10">
        <v>1784011</v>
      </c>
      <c r="ED33" s="10">
        <v>369429</v>
      </c>
      <c r="EE33" s="10">
        <f t="shared" si="93"/>
        <v>48855891</v>
      </c>
      <c r="EF33" s="10">
        <v>43914565</v>
      </c>
      <c r="EG33" s="10">
        <v>3888740</v>
      </c>
      <c r="EH33" s="10">
        <v>10695</v>
      </c>
      <c r="EI33" s="10" t="s">
        <v>170</v>
      </c>
      <c r="EJ33" s="10">
        <v>1749837</v>
      </c>
      <c r="EK33" s="10">
        <v>362350</v>
      </c>
      <c r="EL33" s="10">
        <f t="shared" si="66"/>
        <v>49926187</v>
      </c>
      <c r="EM33" s="151">
        <f t="shared" si="101"/>
        <v>440797604.83498412</v>
      </c>
      <c r="EN33" s="151">
        <f t="shared" si="102"/>
        <v>399341571.02999997</v>
      </c>
      <c r="EO33" s="194"/>
      <c r="EQ33" s="36"/>
      <c r="ER33" s="36"/>
      <c r="ES33" s="36"/>
      <c r="ET33" s="36"/>
    </row>
    <row r="34" spans="1:150" s="5" customFormat="1" ht="12.75" x14ac:dyDescent="0.2">
      <c r="A34" s="212"/>
      <c r="B34" s="15" t="s">
        <v>52</v>
      </c>
      <c r="C34" s="1" t="s">
        <v>10</v>
      </c>
      <c r="D34" s="2">
        <v>38047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14" t="s">
        <v>11</v>
      </c>
      <c r="V34" s="14" t="s">
        <v>11</v>
      </c>
      <c r="W34" s="14" t="s">
        <v>11</v>
      </c>
      <c r="X34" s="14" t="s">
        <v>11</v>
      </c>
      <c r="Y34" s="14" t="s">
        <v>11</v>
      </c>
      <c r="Z34" s="14" t="s">
        <v>11</v>
      </c>
      <c r="AA34" s="14" t="s">
        <v>11</v>
      </c>
      <c r="AB34" s="14" t="s">
        <v>11</v>
      </c>
      <c r="AC34" s="10">
        <v>26618.720000000001</v>
      </c>
      <c r="AD34" s="10">
        <v>2867.37</v>
      </c>
      <c r="AE34" s="10">
        <v>67149.48</v>
      </c>
      <c r="AF34" s="10">
        <v>8544.69</v>
      </c>
      <c r="AG34" s="10">
        <v>67727.42</v>
      </c>
      <c r="AH34" s="10">
        <v>67697.850000000006</v>
      </c>
      <c r="AI34" s="10">
        <v>69124.08</v>
      </c>
      <c r="AJ34" s="10">
        <v>69033.13</v>
      </c>
      <c r="AK34" s="10">
        <v>47824.82</v>
      </c>
      <c r="AL34" s="10">
        <v>49599.69</v>
      </c>
      <c r="AM34" s="10">
        <v>71356</v>
      </c>
      <c r="AN34" s="10">
        <v>44069</v>
      </c>
      <c r="AO34" s="10">
        <v>64527.62</v>
      </c>
      <c r="AP34" s="10">
        <v>19176.39</v>
      </c>
      <c r="AQ34" s="10">
        <v>52912.2</v>
      </c>
      <c r="AR34" s="10">
        <v>139473.11999999997</v>
      </c>
      <c r="AS34" s="112">
        <v>54664.6</v>
      </c>
      <c r="AT34" s="10">
        <v>0</v>
      </c>
      <c r="AU34" s="77"/>
      <c r="AV34" s="10">
        <v>0</v>
      </c>
      <c r="AW34" s="111">
        <v>0</v>
      </c>
      <c r="AX34" s="10">
        <v>0</v>
      </c>
      <c r="AY34" s="10">
        <f t="shared" si="90"/>
        <v>54664.6</v>
      </c>
      <c r="AZ34" s="10">
        <v>54857.440000000002</v>
      </c>
      <c r="BA34" s="10">
        <v>0</v>
      </c>
      <c r="BB34" s="77"/>
      <c r="BC34" s="10">
        <v>0</v>
      </c>
      <c r="BD34" s="10">
        <v>0</v>
      </c>
      <c r="BE34" s="10">
        <v>0</v>
      </c>
      <c r="BF34" s="10">
        <f t="shared" si="91"/>
        <v>54857.440000000002</v>
      </c>
      <c r="BG34" s="10">
        <v>109550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f t="shared" si="92"/>
        <v>109550</v>
      </c>
      <c r="BN34" s="10">
        <v>104923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f t="shared" si="94"/>
        <v>104923</v>
      </c>
      <c r="BU34" s="10">
        <v>123794.24000000001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f t="shared" si="61"/>
        <v>123794.24000000001</v>
      </c>
      <c r="CB34" s="10">
        <v>127126.78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f t="shared" si="95"/>
        <v>127126.78</v>
      </c>
      <c r="CI34" s="10">
        <v>101118.11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f t="shared" si="96"/>
        <v>101118.11</v>
      </c>
      <c r="CP34" s="10">
        <v>101969.48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f t="shared" si="97"/>
        <v>101969.48</v>
      </c>
      <c r="CW34" s="10">
        <f>'[27]2020'!F15</f>
        <v>127390.08580489599</v>
      </c>
      <c r="CX34" s="10">
        <f>'[27]2020'!G15</f>
        <v>0</v>
      </c>
      <c r="CY34" s="10">
        <f>'[27]2020'!H15</f>
        <v>0</v>
      </c>
      <c r="CZ34" s="10">
        <f>'[27]2020'!I15</f>
        <v>0</v>
      </c>
      <c r="DA34" s="10">
        <f>'[27]2020'!J15</f>
        <v>0</v>
      </c>
      <c r="DB34" s="10">
        <f>'[27]2020'!K15</f>
        <v>0</v>
      </c>
      <c r="DC34" s="10">
        <f t="shared" si="98"/>
        <v>127390.08580489599</v>
      </c>
      <c r="DD34" s="10">
        <f>'[27]2020'!M15</f>
        <v>125169.59</v>
      </c>
      <c r="DE34" s="10">
        <f>'[27]2020'!N15</f>
        <v>0</v>
      </c>
      <c r="DF34" s="10">
        <f>'[27]2020'!O15</f>
        <v>0</v>
      </c>
      <c r="DG34" s="10">
        <f>'[27]2020'!P15</f>
        <v>0</v>
      </c>
      <c r="DH34" s="10">
        <f>'[27]2020'!Q15</f>
        <v>0</v>
      </c>
      <c r="DI34" s="10">
        <f>'[27]2020'!R15</f>
        <v>0</v>
      </c>
      <c r="DJ34" s="10">
        <f>'[27]2020'!S15</f>
        <v>125169.59</v>
      </c>
      <c r="DK34" s="10">
        <f>'[28]2021'!F15</f>
        <v>106718.528327586</v>
      </c>
      <c r="DL34" s="10">
        <f>'[28]2021'!G15</f>
        <v>0</v>
      </c>
      <c r="DM34" s="10">
        <f>'[28]2021'!H15</f>
        <v>0</v>
      </c>
      <c r="DN34" s="10">
        <f>'[28]2021'!I15</f>
        <v>0</v>
      </c>
      <c r="DO34" s="10">
        <f>'[28]2021'!J15</f>
        <v>0</v>
      </c>
      <c r="DP34" s="10">
        <f>'[28]2021'!K15</f>
        <v>0</v>
      </c>
      <c r="DQ34" s="10">
        <f t="shared" si="99"/>
        <v>106718.528327586</v>
      </c>
      <c r="DR34" s="10">
        <f>'[28]2021'!M15</f>
        <v>100954.14</v>
      </c>
      <c r="DS34" s="10">
        <f>'[28]2021'!N15</f>
        <v>0</v>
      </c>
      <c r="DT34" s="10">
        <f>'[28]2021'!O15</f>
        <v>0</v>
      </c>
      <c r="DU34" s="10">
        <f>'[28]2021'!P15</f>
        <v>0</v>
      </c>
      <c r="DV34" s="10">
        <f>'[28]2021'!Q15</f>
        <v>0</v>
      </c>
      <c r="DW34" s="10">
        <f>'[28]2021'!R15</f>
        <v>0</v>
      </c>
      <c r="DX34" s="10">
        <f t="shared" si="100"/>
        <v>100954.14</v>
      </c>
      <c r="DY34" s="10">
        <v>121613</v>
      </c>
      <c r="DZ34" s="10" t="s">
        <v>171</v>
      </c>
      <c r="EA34" s="10" t="s">
        <v>169</v>
      </c>
      <c r="EB34" s="10" t="s">
        <v>170</v>
      </c>
      <c r="EC34" s="10" t="s">
        <v>168</v>
      </c>
      <c r="ED34" s="10" t="s">
        <v>172</v>
      </c>
      <c r="EE34" s="10">
        <f t="shared" si="93"/>
        <v>121613</v>
      </c>
      <c r="EF34" s="10">
        <v>127897</v>
      </c>
      <c r="EG34" s="10" t="s">
        <v>171</v>
      </c>
      <c r="EH34" s="10" t="s">
        <v>169</v>
      </c>
      <c r="EI34" s="10" t="s">
        <v>170</v>
      </c>
      <c r="EJ34" s="10" t="s">
        <v>168</v>
      </c>
      <c r="EK34" s="10" t="s">
        <v>172</v>
      </c>
      <c r="EL34" s="10">
        <f t="shared" si="66"/>
        <v>127897</v>
      </c>
      <c r="EM34" s="151">
        <f t="shared" si="101"/>
        <v>1212088.9041324819</v>
      </c>
      <c r="EN34" s="151">
        <f>AD34+AF34+AH34+AJ34+AL34+AN34+AP34+AR34+BF34+BT34+CH34+CV34+DJ34+DX34+EL34</f>
        <v>1143358.67</v>
      </c>
      <c r="EO34" s="194"/>
      <c r="EQ34" s="36"/>
      <c r="ER34" s="36"/>
      <c r="ES34" s="36"/>
      <c r="ET34" s="36"/>
    </row>
    <row r="35" spans="1:150" s="5" customFormat="1" ht="12.75" x14ac:dyDescent="0.2">
      <c r="A35" s="212"/>
      <c r="B35" s="15" t="s">
        <v>53</v>
      </c>
      <c r="C35" s="1" t="s">
        <v>10</v>
      </c>
      <c r="D35" s="2">
        <v>38047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4" t="s">
        <v>11</v>
      </c>
      <c r="V35" s="14" t="s">
        <v>11</v>
      </c>
      <c r="W35" s="14" t="s">
        <v>11</v>
      </c>
      <c r="X35" s="14" t="s">
        <v>11</v>
      </c>
      <c r="Y35" s="14" t="s">
        <v>11</v>
      </c>
      <c r="Z35" s="14" t="s">
        <v>11</v>
      </c>
      <c r="AA35" s="14" t="s">
        <v>11</v>
      </c>
      <c r="AB35" s="10">
        <v>555336.28</v>
      </c>
      <c r="AC35" s="10">
        <v>799977.44</v>
      </c>
      <c r="AD35" s="10">
        <v>785644.09</v>
      </c>
      <c r="AE35" s="10">
        <v>1375868.01</v>
      </c>
      <c r="AF35" s="10">
        <v>1371619.33</v>
      </c>
      <c r="AG35" s="10">
        <v>1417966.65</v>
      </c>
      <c r="AH35" s="10">
        <v>1410668.03</v>
      </c>
      <c r="AI35" s="10">
        <v>1468763.09</v>
      </c>
      <c r="AJ35" s="10">
        <v>1470601.61</v>
      </c>
      <c r="AK35" s="10">
        <v>1611754.63</v>
      </c>
      <c r="AL35" s="10">
        <v>1653396.21</v>
      </c>
      <c r="AM35" s="10">
        <v>1657979</v>
      </c>
      <c r="AN35" s="10">
        <v>1605582</v>
      </c>
      <c r="AO35" s="10">
        <v>667399.61</v>
      </c>
      <c r="AP35" s="10">
        <v>736826.32</v>
      </c>
      <c r="AQ35" s="10">
        <v>1270217.71</v>
      </c>
      <c r="AR35" s="10">
        <v>1651417.5699999998</v>
      </c>
      <c r="AS35" s="112">
        <v>1279277.44</v>
      </c>
      <c r="AT35" s="10">
        <v>11709.7</v>
      </c>
      <c r="AU35" s="77"/>
      <c r="AV35" s="10">
        <v>2023.02</v>
      </c>
      <c r="AW35" s="111">
        <v>0</v>
      </c>
      <c r="AX35" s="10">
        <v>1147.1300000000001</v>
      </c>
      <c r="AY35" s="10">
        <f t="shared" si="90"/>
        <v>1294157.2899999998</v>
      </c>
      <c r="AZ35" s="10">
        <v>1212974.1000000001</v>
      </c>
      <c r="BA35" s="10">
        <v>11391.460000000001</v>
      </c>
      <c r="BB35" s="77"/>
      <c r="BC35" s="10">
        <v>1887.13</v>
      </c>
      <c r="BD35" s="10">
        <v>0</v>
      </c>
      <c r="BE35" s="10">
        <v>670.67</v>
      </c>
      <c r="BF35" s="10">
        <f t="shared" si="91"/>
        <v>1226923.3599999999</v>
      </c>
      <c r="BG35" s="10">
        <v>1200788</v>
      </c>
      <c r="BH35" s="10">
        <v>11058.578</v>
      </c>
      <c r="BI35" s="10">
        <v>1260</v>
      </c>
      <c r="BJ35" s="10">
        <v>2977</v>
      </c>
      <c r="BK35" s="10">
        <v>0</v>
      </c>
      <c r="BL35" s="10">
        <v>1669</v>
      </c>
      <c r="BM35" s="10">
        <f t="shared" si="92"/>
        <v>1217752.578</v>
      </c>
      <c r="BN35" s="10">
        <v>1194973</v>
      </c>
      <c r="BO35" s="10">
        <v>11282</v>
      </c>
      <c r="BP35" s="10">
        <v>1260</v>
      </c>
      <c r="BQ35" s="10">
        <v>1511</v>
      </c>
      <c r="BR35" s="10">
        <v>0</v>
      </c>
      <c r="BS35" s="10">
        <v>1089</v>
      </c>
      <c r="BT35" s="10">
        <f t="shared" si="94"/>
        <v>1210115</v>
      </c>
      <c r="BU35" s="10">
        <v>2346480.12</v>
      </c>
      <c r="BV35" s="10">
        <v>22367.17</v>
      </c>
      <c r="BW35" s="10">
        <v>2520.2199999999998</v>
      </c>
      <c r="BX35" s="10">
        <v>1345.95</v>
      </c>
      <c r="BY35" s="10">
        <v>0</v>
      </c>
      <c r="BZ35" s="10">
        <v>6000.03</v>
      </c>
      <c r="CA35" s="10">
        <f t="shared" si="61"/>
        <v>2378713.4900000002</v>
      </c>
      <c r="CB35" s="10">
        <v>2309827.91</v>
      </c>
      <c r="CC35" s="10">
        <v>22077.41</v>
      </c>
      <c r="CD35" s="10">
        <v>2772.24</v>
      </c>
      <c r="CE35" s="10">
        <v>2293.7199999999998</v>
      </c>
      <c r="CF35" s="10">
        <v>0</v>
      </c>
      <c r="CG35" s="10">
        <v>4060.53</v>
      </c>
      <c r="CH35" s="10">
        <f t="shared" si="95"/>
        <v>2341031.8100000005</v>
      </c>
      <c r="CI35" s="10">
        <v>2469289.0970979999</v>
      </c>
      <c r="CJ35" s="10">
        <v>24064.707643166701</v>
      </c>
      <c r="CK35" s="10">
        <v>2633.6340799999998</v>
      </c>
      <c r="CL35" s="10">
        <v>3307.6654799999997</v>
      </c>
      <c r="CM35" s="10">
        <v>0</v>
      </c>
      <c r="CN35" s="10">
        <v>18555.726365399998</v>
      </c>
      <c r="CO35" s="10">
        <f t="shared" si="96"/>
        <v>2517850.8306665667</v>
      </c>
      <c r="CP35" s="10">
        <v>2464602.98</v>
      </c>
      <c r="CQ35" s="10">
        <v>22951.4</v>
      </c>
      <c r="CR35" s="10">
        <v>2633.63</v>
      </c>
      <c r="CS35" s="10">
        <v>3803.89</v>
      </c>
      <c r="CT35" s="10">
        <v>0</v>
      </c>
      <c r="CU35" s="10">
        <v>9035.29000000001</v>
      </c>
      <c r="CV35" s="10">
        <f t="shared" si="97"/>
        <v>2503027.19</v>
      </c>
      <c r="CW35" s="10">
        <f>'[27]2020'!F16</f>
        <v>2489696.0306009003</v>
      </c>
      <c r="CX35" s="10">
        <f>'[27]2020'!G16</f>
        <v>16838.662522550003</v>
      </c>
      <c r="CY35" s="10">
        <f>'[27]2020'!H16</f>
        <v>2709.870856</v>
      </c>
      <c r="CZ35" s="10">
        <f>'[27]2020'!I16</f>
        <v>3403.5610088579242</v>
      </c>
      <c r="DA35" s="10">
        <f>'[27]2020'!J16</f>
        <v>0</v>
      </c>
      <c r="DB35" s="10">
        <f>'[27]2020'!K16</f>
        <v>37534.430661347171</v>
      </c>
      <c r="DC35" s="10">
        <f t="shared" si="98"/>
        <v>2550182.5556496559</v>
      </c>
      <c r="DD35" s="10">
        <f>'[27]2020'!M16</f>
        <v>2482684.6</v>
      </c>
      <c r="DE35" s="10">
        <f>'[27]2020'!N16</f>
        <v>13851.9</v>
      </c>
      <c r="DF35" s="10">
        <f>'[27]2020'!O16</f>
        <v>2709.87</v>
      </c>
      <c r="DG35" s="10">
        <f>'[27]2020'!P16</f>
        <v>2479.58</v>
      </c>
      <c r="DH35" s="10">
        <f>'[27]2020'!Q16</f>
        <v>0</v>
      </c>
      <c r="DI35" s="10">
        <f>'[27]2020'!R16</f>
        <v>25993.66</v>
      </c>
      <c r="DJ35" s="10">
        <f>'[27]2020'!S16</f>
        <v>2527719.6100000003</v>
      </c>
      <c r="DK35" s="10">
        <f>'[28]2021'!F16</f>
        <v>2552080.0998629699</v>
      </c>
      <c r="DL35" s="10">
        <f>'[28]2021'!G16</f>
        <v>17367.195291799999</v>
      </c>
      <c r="DM35" s="10">
        <f>'[28]2021'!H16</f>
        <v>2794.9284160000002</v>
      </c>
      <c r="DN35" s="10">
        <f>'[28]2021'!I16</f>
        <v>3402.9710878400001</v>
      </c>
      <c r="DO35" s="10">
        <f>'[28]2021'!J16</f>
        <v>0</v>
      </c>
      <c r="DP35" s="10">
        <f>'[28]2021'!K16</f>
        <v>28895.054165593599</v>
      </c>
      <c r="DQ35" s="10">
        <f t="shared" si="99"/>
        <v>2604540.2488242039</v>
      </c>
      <c r="DR35" s="10">
        <f>'[28]2021'!M16</f>
        <v>2399361.91</v>
      </c>
      <c r="DS35" s="10">
        <f>'[28]2021'!N16</f>
        <v>16989.23</v>
      </c>
      <c r="DT35" s="10">
        <f>'[28]2021'!O16</f>
        <v>2794.93</v>
      </c>
      <c r="DU35" s="10">
        <f>'[28]2021'!P16</f>
        <v>2739.88</v>
      </c>
      <c r="DV35" s="10">
        <f>'[28]2021'!Q16</f>
        <v>0</v>
      </c>
      <c r="DW35" s="10">
        <f>'[28]2021'!R16</f>
        <v>34435.51</v>
      </c>
      <c r="DX35" s="10">
        <f t="shared" si="100"/>
        <v>2456321.46</v>
      </c>
      <c r="DY35" s="10">
        <v>2836503</v>
      </c>
      <c r="DZ35" s="10">
        <v>19147</v>
      </c>
      <c r="EA35" s="10">
        <v>3081</v>
      </c>
      <c r="EB35" s="10">
        <v>3744</v>
      </c>
      <c r="EC35" s="10" t="s">
        <v>168</v>
      </c>
      <c r="ED35" s="10">
        <v>30934</v>
      </c>
      <c r="EE35" s="10">
        <f t="shared" si="93"/>
        <v>2893409</v>
      </c>
      <c r="EF35" s="10">
        <v>2960179</v>
      </c>
      <c r="EG35" s="10">
        <v>17412</v>
      </c>
      <c r="EH35" s="10">
        <v>3081</v>
      </c>
      <c r="EI35" s="10">
        <v>3057</v>
      </c>
      <c r="EJ35" s="10" t="s">
        <v>168</v>
      </c>
      <c r="EK35" s="10">
        <v>25581</v>
      </c>
      <c r="EL35" s="10">
        <f t="shared" si="66"/>
        <v>3009310</v>
      </c>
      <c r="EM35" s="151">
        <f t="shared" si="101"/>
        <v>25726532.13314043</v>
      </c>
      <c r="EN35" s="151">
        <f t="shared" si="102"/>
        <v>26515539.870000001</v>
      </c>
      <c r="EO35" s="194"/>
      <c r="EQ35" s="36"/>
      <c r="ER35" s="36"/>
      <c r="ES35" s="36"/>
      <c r="ET35" s="36"/>
    </row>
    <row r="36" spans="1:150" s="5" customFormat="1" ht="12.75" x14ac:dyDescent="0.2">
      <c r="A36" s="212"/>
      <c r="B36" s="15" t="s">
        <v>54</v>
      </c>
      <c r="C36" s="1" t="s">
        <v>10</v>
      </c>
      <c r="D36" s="2">
        <v>38047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14" t="s">
        <v>11</v>
      </c>
      <c r="V36" s="14" t="s">
        <v>11</v>
      </c>
      <c r="W36" s="14" t="s">
        <v>11</v>
      </c>
      <c r="X36" s="14" t="s">
        <v>11</v>
      </c>
      <c r="Y36" s="14" t="s">
        <v>11</v>
      </c>
      <c r="Z36" s="14" t="s">
        <v>11</v>
      </c>
      <c r="AA36" s="14" t="s">
        <v>11</v>
      </c>
      <c r="AB36" s="10">
        <v>2361751.7000000002</v>
      </c>
      <c r="AC36" s="10">
        <v>1062905.07</v>
      </c>
      <c r="AD36" s="10">
        <v>518352.59</v>
      </c>
      <c r="AE36" s="10">
        <v>1001934.65</v>
      </c>
      <c r="AF36" s="10">
        <v>571587.91</v>
      </c>
      <c r="AG36" s="10">
        <v>1014572.88</v>
      </c>
      <c r="AH36" s="10">
        <v>1111388.42</v>
      </c>
      <c r="AI36" s="10">
        <v>1112550.53</v>
      </c>
      <c r="AJ36" s="10">
        <v>1118166.0900000001</v>
      </c>
      <c r="AK36" s="10">
        <v>1065010.3400000001</v>
      </c>
      <c r="AL36" s="10">
        <v>1073149.8400000001</v>
      </c>
      <c r="AM36" s="10">
        <v>1112087</v>
      </c>
      <c r="AN36" s="10">
        <v>916112</v>
      </c>
      <c r="AO36" s="10">
        <v>1083849.31</v>
      </c>
      <c r="AP36" s="10">
        <v>698349.40000000014</v>
      </c>
      <c r="AQ36" s="10">
        <v>1187446.3600000001</v>
      </c>
      <c r="AR36" s="10">
        <v>1832787.9500000002</v>
      </c>
      <c r="AS36" s="112">
        <v>400546.25</v>
      </c>
      <c r="AT36" s="10">
        <v>203718.53</v>
      </c>
      <c r="AU36" s="77"/>
      <c r="AV36" s="10">
        <v>68.31</v>
      </c>
      <c r="AW36" s="111">
        <v>430641.52</v>
      </c>
      <c r="AX36" s="10">
        <v>9224.92</v>
      </c>
      <c r="AY36" s="10">
        <f t="shared" si="90"/>
        <v>1044199.5300000001</v>
      </c>
      <c r="AZ36" s="10">
        <v>407149.32999999996</v>
      </c>
      <c r="BA36" s="10">
        <v>244251.84</v>
      </c>
      <c r="BB36" s="77"/>
      <c r="BC36" s="10">
        <v>68.31</v>
      </c>
      <c r="BD36" s="10">
        <v>382271.13</v>
      </c>
      <c r="BE36" s="10">
        <v>5791.03</v>
      </c>
      <c r="BF36" s="10">
        <f t="shared" si="91"/>
        <v>1039531.64</v>
      </c>
      <c r="BG36" s="10">
        <v>863380</v>
      </c>
      <c r="BH36" s="10">
        <v>404194</v>
      </c>
      <c r="BI36" s="10">
        <v>0</v>
      </c>
      <c r="BJ36" s="10">
        <v>68</v>
      </c>
      <c r="BK36" s="10">
        <v>627890</v>
      </c>
      <c r="BL36" s="10">
        <v>69606</v>
      </c>
      <c r="BM36" s="10">
        <f t="shared" si="92"/>
        <v>1965138</v>
      </c>
      <c r="BN36" s="10">
        <v>822859</v>
      </c>
      <c r="BO36" s="10">
        <v>329555</v>
      </c>
      <c r="BP36" s="10">
        <v>0</v>
      </c>
      <c r="BQ36" s="10">
        <v>68</v>
      </c>
      <c r="BR36" s="10">
        <v>637558</v>
      </c>
      <c r="BS36" s="10">
        <v>70259</v>
      </c>
      <c r="BT36" s="10">
        <f t="shared" si="94"/>
        <v>1860299</v>
      </c>
      <c r="BU36" s="10">
        <v>902380.39</v>
      </c>
      <c r="BV36" s="10">
        <v>346500.14</v>
      </c>
      <c r="BW36" s="10">
        <v>0</v>
      </c>
      <c r="BX36" s="10">
        <v>136.63</v>
      </c>
      <c r="BY36" s="10">
        <v>627889.61</v>
      </c>
      <c r="BZ36" s="10">
        <v>77023.59</v>
      </c>
      <c r="CA36" s="10">
        <f t="shared" si="61"/>
        <v>1953930.36</v>
      </c>
      <c r="CB36" s="10">
        <v>891522.07</v>
      </c>
      <c r="CC36" s="10">
        <v>349382.18</v>
      </c>
      <c r="CD36" s="10">
        <v>0</v>
      </c>
      <c r="CE36" s="10">
        <v>136.63</v>
      </c>
      <c r="CF36" s="10">
        <v>632217.64</v>
      </c>
      <c r="CG36" s="10">
        <v>68314.14</v>
      </c>
      <c r="CH36" s="10">
        <f t="shared" si="95"/>
        <v>1941572.66</v>
      </c>
      <c r="CI36" s="10">
        <v>1106188.3</v>
      </c>
      <c r="CJ36" s="10">
        <v>407258.09989999997</v>
      </c>
      <c r="CK36" s="10">
        <v>0</v>
      </c>
      <c r="CL36" s="10">
        <v>775.46</v>
      </c>
      <c r="CM36" s="10">
        <v>784862.01</v>
      </c>
      <c r="CN36" s="10">
        <v>107536.394032258</v>
      </c>
      <c r="CO36" s="10">
        <f t="shared" si="96"/>
        <v>2406620.2639322584</v>
      </c>
      <c r="CP36" s="10">
        <v>1086287.73</v>
      </c>
      <c r="CQ36" s="10">
        <v>406180.98</v>
      </c>
      <c r="CR36" s="10">
        <v>0</v>
      </c>
      <c r="CS36" s="10">
        <v>775.46</v>
      </c>
      <c r="CT36" s="10">
        <v>750644.19</v>
      </c>
      <c r="CU36" s="10">
        <v>95100.209999999905</v>
      </c>
      <c r="CV36" s="10">
        <f t="shared" si="97"/>
        <v>2338988.5699999998</v>
      </c>
      <c r="CW36" s="10">
        <f>'[27]2020'!F17</f>
        <v>1151644.7840887499</v>
      </c>
      <c r="CX36" s="10">
        <f>'[27]2020'!G17</f>
        <v>446566.89754110004</v>
      </c>
      <c r="CY36" s="10">
        <f>'[27]2020'!H17</f>
        <v>0</v>
      </c>
      <c r="CZ36" s="10">
        <f>'[27]2020'!I17</f>
        <v>797.89829705056809</v>
      </c>
      <c r="DA36" s="10">
        <f>'[27]2020'!J17</f>
        <v>807623.00952480023</v>
      </c>
      <c r="DB36" s="10">
        <f>'[27]2020'!K17</f>
        <v>102579.40611657659</v>
      </c>
      <c r="DC36" s="10">
        <f t="shared" si="98"/>
        <v>2509211.9955682773</v>
      </c>
      <c r="DD36" s="10">
        <f>'[27]2020'!M17</f>
        <v>1143851.6200000001</v>
      </c>
      <c r="DE36" s="10">
        <f>'[27]2020'!N17</f>
        <v>449804.97</v>
      </c>
      <c r="DF36" s="10">
        <f>'[27]2020'!O17</f>
        <v>0</v>
      </c>
      <c r="DG36" s="10">
        <f>'[27]2020'!P17</f>
        <v>797.9</v>
      </c>
      <c r="DH36" s="10">
        <f>'[27]2020'!Q17</f>
        <v>820711.18</v>
      </c>
      <c r="DI36" s="10">
        <f>'[27]2020'!R17</f>
        <v>89262.7</v>
      </c>
      <c r="DJ36" s="10">
        <f>'[27]2020'!S17</f>
        <v>2504428.37</v>
      </c>
      <c r="DK36" s="10">
        <f>'[28]2021'!F17</f>
        <v>1152543.9949916799</v>
      </c>
      <c r="DL36" s="10">
        <f>'[28]2021'!G17</f>
        <v>458408.060067193</v>
      </c>
      <c r="DM36" s="10">
        <f>'[28]2021'!H17</f>
        <v>0</v>
      </c>
      <c r="DN36" s="10">
        <f>'[28]2021'!I17</f>
        <v>823.07324400000005</v>
      </c>
      <c r="DO36" s="10">
        <f>'[28]2021'!J17</f>
        <v>833052.53868768003</v>
      </c>
      <c r="DP36" s="10">
        <f>'[28]2021'!K17</f>
        <v>82059.126329194507</v>
      </c>
      <c r="DQ36" s="10">
        <f t="shared" si="99"/>
        <v>2526886.7933197473</v>
      </c>
      <c r="DR36" s="10">
        <f>'[28]2021'!M17</f>
        <v>1118190.3</v>
      </c>
      <c r="DS36" s="10">
        <f>'[28]2021'!N17</f>
        <v>458045.33</v>
      </c>
      <c r="DT36" s="10">
        <f>'[28]2021'!O17</f>
        <v>0</v>
      </c>
      <c r="DU36" s="10">
        <f>'[28]2021'!P17</f>
        <v>0</v>
      </c>
      <c r="DV36" s="10">
        <f>'[28]2021'!Q17</f>
        <v>936487.98</v>
      </c>
      <c r="DW36" s="10">
        <f>'[28]2021'!R17</f>
        <v>73851.86</v>
      </c>
      <c r="DX36" s="10">
        <f t="shared" si="100"/>
        <v>2586575.4700000002</v>
      </c>
      <c r="DY36" s="10">
        <v>1157617</v>
      </c>
      <c r="DZ36" s="10">
        <v>505202</v>
      </c>
      <c r="EA36" s="10" t="s">
        <v>169</v>
      </c>
      <c r="EB36" s="10">
        <v>907</v>
      </c>
      <c r="EC36" s="10">
        <v>918333</v>
      </c>
      <c r="ED36" s="10">
        <v>92912</v>
      </c>
      <c r="EE36" s="10">
        <f t="shared" si="93"/>
        <v>2674971</v>
      </c>
      <c r="EF36" s="10">
        <v>1106296</v>
      </c>
      <c r="EG36" s="10">
        <v>542990</v>
      </c>
      <c r="EH36" s="10" t="s">
        <v>169</v>
      </c>
      <c r="EI36" s="10">
        <v>907</v>
      </c>
      <c r="EJ36" s="10">
        <v>860591</v>
      </c>
      <c r="EK36" s="10">
        <v>88347</v>
      </c>
      <c r="EL36" s="10">
        <f t="shared" si="66"/>
        <v>2599131</v>
      </c>
      <c r="EM36" s="151">
        <f t="shared" si="101"/>
        <v>23721314.082820281</v>
      </c>
      <c r="EN36" s="151">
        <f t="shared" si="102"/>
        <v>25072172.609999999</v>
      </c>
      <c r="EO36" s="195"/>
      <c r="EQ36" s="36"/>
      <c r="ER36" s="36"/>
      <c r="ES36" s="36"/>
      <c r="ET36" s="36"/>
    </row>
    <row r="37" spans="1:150" s="5" customFormat="1" ht="12.75" x14ac:dyDescent="0.2">
      <c r="A37" s="213"/>
      <c r="B37" s="206" t="s">
        <v>40</v>
      </c>
      <c r="C37" s="207"/>
      <c r="D37" s="207"/>
      <c r="E37" s="13">
        <f>SUM(E27:E36)</f>
        <v>0</v>
      </c>
      <c r="F37" s="13">
        <f t="shared" ref="F37:AM37" si="103">SUM(F27:F36)</f>
        <v>0</v>
      </c>
      <c r="G37" s="13">
        <f t="shared" si="103"/>
        <v>0</v>
      </c>
      <c r="H37" s="13">
        <f t="shared" si="103"/>
        <v>0</v>
      </c>
      <c r="I37" s="13">
        <f t="shared" si="103"/>
        <v>0</v>
      </c>
      <c r="J37" s="13">
        <f t="shared" si="103"/>
        <v>0</v>
      </c>
      <c r="K37" s="13">
        <f t="shared" si="103"/>
        <v>0</v>
      </c>
      <c r="L37" s="13">
        <f t="shared" si="103"/>
        <v>0</v>
      </c>
      <c r="M37" s="13">
        <f t="shared" si="103"/>
        <v>0</v>
      </c>
      <c r="N37" s="13">
        <f t="shared" si="103"/>
        <v>0</v>
      </c>
      <c r="O37" s="13">
        <f t="shared" si="103"/>
        <v>0</v>
      </c>
      <c r="P37" s="13">
        <f t="shared" si="103"/>
        <v>0</v>
      </c>
      <c r="Q37" s="13">
        <f t="shared" si="103"/>
        <v>0</v>
      </c>
      <c r="R37" s="13">
        <f t="shared" si="103"/>
        <v>0</v>
      </c>
      <c r="S37" s="13">
        <f t="shared" si="103"/>
        <v>0</v>
      </c>
      <c r="T37" s="13">
        <f t="shared" si="103"/>
        <v>0</v>
      </c>
      <c r="U37" s="13">
        <f t="shared" si="103"/>
        <v>0</v>
      </c>
      <c r="V37" s="13">
        <f t="shared" si="103"/>
        <v>0</v>
      </c>
      <c r="W37" s="13">
        <f t="shared" si="103"/>
        <v>0</v>
      </c>
      <c r="X37" s="13">
        <f t="shared" si="103"/>
        <v>0</v>
      </c>
      <c r="Y37" s="13">
        <f t="shared" si="103"/>
        <v>0</v>
      </c>
      <c r="Z37" s="13">
        <f t="shared" si="103"/>
        <v>0</v>
      </c>
      <c r="AA37" s="13">
        <f t="shared" si="103"/>
        <v>0</v>
      </c>
      <c r="AB37" s="13">
        <f t="shared" si="103"/>
        <v>11000614.75</v>
      </c>
      <c r="AC37" s="13">
        <f t="shared" si="103"/>
        <v>27843163.599999998</v>
      </c>
      <c r="AD37" s="13">
        <f t="shared" si="103"/>
        <v>4644872.42</v>
      </c>
      <c r="AE37" s="13">
        <f t="shared" si="103"/>
        <v>33793615.260000005</v>
      </c>
      <c r="AF37" s="13">
        <f t="shared" si="103"/>
        <v>7977987.6300000008</v>
      </c>
      <c r="AG37" s="13">
        <f t="shared" si="103"/>
        <v>33436955.109999999</v>
      </c>
      <c r="AH37" s="13">
        <f t="shared" si="103"/>
        <v>33368674.300000004</v>
      </c>
      <c r="AI37" s="13">
        <f t="shared" si="103"/>
        <v>33690007.319999993</v>
      </c>
      <c r="AJ37" s="13">
        <f t="shared" si="103"/>
        <v>33631768.140000001</v>
      </c>
      <c r="AK37" s="13">
        <f t="shared" si="103"/>
        <v>31478925.27</v>
      </c>
      <c r="AL37" s="13">
        <f t="shared" si="103"/>
        <v>31804092.780000001</v>
      </c>
      <c r="AM37" s="13">
        <f t="shared" si="103"/>
        <v>32354439</v>
      </c>
      <c r="AN37" s="13">
        <f>SUM(AN27:AN36)</f>
        <v>24296540</v>
      </c>
      <c r="AO37" s="13">
        <f t="shared" ref="AO37:AP37" si="104">SUM(AO27:AO36)</f>
        <v>30596858.969999999</v>
      </c>
      <c r="AP37" s="13">
        <f t="shared" si="104"/>
        <v>15129742.880000001</v>
      </c>
      <c r="AQ37" s="13">
        <f>SUM(AQ27:AQ36)</f>
        <v>24022493.989999998</v>
      </c>
      <c r="AR37" s="13">
        <f>SUM(AR27:AR36)</f>
        <v>49862260.079999998</v>
      </c>
      <c r="AS37" s="13">
        <f>SUM(AS27:AS36)</f>
        <v>20525583.290000003</v>
      </c>
      <c r="AT37" s="13">
        <f t="shared" ref="AT37:BE37" si="105">SUM(AT27:AT36)</f>
        <v>2540816.5699999998</v>
      </c>
      <c r="AU37" s="13">
        <f t="shared" si="105"/>
        <v>0</v>
      </c>
      <c r="AV37" s="13">
        <f t="shared" si="105"/>
        <v>21909.010000000002</v>
      </c>
      <c r="AW37" s="13">
        <f t="shared" si="105"/>
        <v>984751.53</v>
      </c>
      <c r="AX37" s="13">
        <f t="shared" si="105"/>
        <v>540229.6100000001</v>
      </c>
      <c r="AY37" s="13">
        <f>SUM(AY27:AY36)</f>
        <v>24613290.010000002</v>
      </c>
      <c r="AZ37" s="13">
        <f t="shared" si="105"/>
        <v>20507158.250000004</v>
      </c>
      <c r="BA37" s="13">
        <f t="shared" si="105"/>
        <v>2506898.0599999987</v>
      </c>
      <c r="BB37" s="13">
        <f t="shared" si="105"/>
        <v>0</v>
      </c>
      <c r="BC37" s="13">
        <f>SUM(BC27:BC36)</f>
        <v>39818.089999999997</v>
      </c>
      <c r="BD37" s="13">
        <f>SUM(BD27:BD36)</f>
        <v>946644.34</v>
      </c>
      <c r="BE37" s="13">
        <f t="shared" si="105"/>
        <v>567177.43999999913</v>
      </c>
      <c r="BF37" s="13">
        <f>SUM(BF27:BF36)</f>
        <v>24567696.180000003</v>
      </c>
      <c r="BG37" s="13">
        <f t="shared" ref="BG37:BK37" si="106">SUM(BG27:BG36)</f>
        <v>45423312</v>
      </c>
      <c r="BH37" s="13">
        <f t="shared" si="106"/>
        <v>5772891.5779999997</v>
      </c>
      <c r="BI37" s="13">
        <f t="shared" si="106"/>
        <v>29662</v>
      </c>
      <c r="BJ37" s="13">
        <f t="shared" si="106"/>
        <v>24958</v>
      </c>
      <c r="BK37" s="13">
        <f t="shared" si="106"/>
        <v>1741412</v>
      </c>
      <c r="BL37" s="13">
        <f>SUM(BL27:BL36)</f>
        <v>1418407</v>
      </c>
      <c r="BM37" s="13">
        <f>SUM(BM27:BM36)</f>
        <v>54410642.578000002</v>
      </c>
      <c r="BN37" s="13">
        <f t="shared" ref="BN37:BS37" si="107">SUM(BN27:BN36)</f>
        <v>42623064</v>
      </c>
      <c r="BO37" s="13">
        <f t="shared" si="107"/>
        <v>5415220</v>
      </c>
      <c r="BP37" s="13">
        <f t="shared" si="107"/>
        <v>27285</v>
      </c>
      <c r="BQ37" s="13">
        <f t="shared" si="107"/>
        <v>4034</v>
      </c>
      <c r="BR37" s="13">
        <f t="shared" si="107"/>
        <v>1802893</v>
      </c>
      <c r="BS37" s="13">
        <f t="shared" si="107"/>
        <v>1115074</v>
      </c>
      <c r="BT37" s="13">
        <f>SUM(BT27:BT36)</f>
        <v>50987570</v>
      </c>
      <c r="BU37" s="13">
        <f t="shared" ref="BU37:CU37" si="108">SUM(BU27:BU36)</f>
        <v>47181618.980000004</v>
      </c>
      <c r="BV37" s="13">
        <f>SUM(BV27:BV36)</f>
        <v>5811241.6299999999</v>
      </c>
      <c r="BW37" s="13">
        <f t="shared" si="108"/>
        <v>34239.579999999994</v>
      </c>
      <c r="BX37" s="13">
        <f t="shared" si="108"/>
        <v>6894.93</v>
      </c>
      <c r="BY37" s="13">
        <f t="shared" si="108"/>
        <v>1937341.3199999998</v>
      </c>
      <c r="BZ37" s="13">
        <f t="shared" si="108"/>
        <v>1518417.21</v>
      </c>
      <c r="CA37" s="13">
        <f t="shared" si="108"/>
        <v>56489753.650000013</v>
      </c>
      <c r="CB37" s="13">
        <f t="shared" si="108"/>
        <v>46545035.589999996</v>
      </c>
      <c r="CC37" s="13">
        <f t="shared" si="108"/>
        <v>5754235.0700000003</v>
      </c>
      <c r="CD37" s="13">
        <f t="shared" si="108"/>
        <v>27724.97</v>
      </c>
      <c r="CE37" s="13">
        <f t="shared" si="108"/>
        <v>3111.38</v>
      </c>
      <c r="CF37" s="13">
        <f t="shared" si="108"/>
        <v>2049751.54</v>
      </c>
      <c r="CG37" s="13">
        <f t="shared" si="108"/>
        <v>1228629.99</v>
      </c>
      <c r="CH37" s="13">
        <f t="shared" si="108"/>
        <v>55608488.539999999</v>
      </c>
      <c r="CI37" s="13">
        <f t="shared" si="108"/>
        <v>48592930.44829566</v>
      </c>
      <c r="CJ37" s="13">
        <f t="shared" si="108"/>
        <v>6163157.6939740069</v>
      </c>
      <c r="CK37" s="13">
        <f t="shared" si="108"/>
        <v>45354.429627279998</v>
      </c>
      <c r="CL37" s="13">
        <f t="shared" si="108"/>
        <v>11946.015027999998</v>
      </c>
      <c r="CM37" s="13">
        <f t="shared" si="108"/>
        <v>2309626.2885759999</v>
      </c>
      <c r="CN37" s="13">
        <f t="shared" si="108"/>
        <v>1628284.5435812452</v>
      </c>
      <c r="CO37" s="13">
        <f t="shared" si="108"/>
        <v>58751299.419082202</v>
      </c>
      <c r="CP37" s="13">
        <f t="shared" si="108"/>
        <v>48160546.679999985</v>
      </c>
      <c r="CQ37" s="13">
        <f t="shared" si="108"/>
        <v>5934887.3300000001</v>
      </c>
      <c r="CR37" s="13">
        <f t="shared" si="108"/>
        <v>42686.799999999996</v>
      </c>
      <c r="CS37" s="13">
        <f t="shared" si="108"/>
        <v>6874.83</v>
      </c>
      <c r="CT37" s="13">
        <f t="shared" si="108"/>
        <v>2240568.59</v>
      </c>
      <c r="CU37" s="13">
        <f t="shared" si="108"/>
        <v>1910872.930000029</v>
      </c>
      <c r="CV37" s="13">
        <f>SUM(CV27:CV36)</f>
        <v>58296437.160000019</v>
      </c>
      <c r="CW37" s="13">
        <f t="shared" ref="CW37:DD37" si="109">SUM(CW27:CW36)</f>
        <v>52755688.309111804</v>
      </c>
      <c r="CX37" s="13">
        <f t="shared" si="109"/>
        <v>6640189.2732306663</v>
      </c>
      <c r="CY37" s="13">
        <f t="shared" si="109"/>
        <v>51191.416578084005</v>
      </c>
      <c r="CZ37" s="13">
        <f t="shared" si="109"/>
        <v>12432.331960342442</v>
      </c>
      <c r="DA37" s="13">
        <f t="shared" si="109"/>
        <v>2376562.1015478293</v>
      </c>
      <c r="DB37" s="13">
        <f t="shared" si="109"/>
        <v>1823035.3402974573</v>
      </c>
      <c r="DC37" s="13">
        <f t="shared" si="109"/>
        <v>63659098.772726178</v>
      </c>
      <c r="DD37" s="13">
        <f t="shared" si="109"/>
        <v>52170955.25</v>
      </c>
      <c r="DE37" s="13">
        <f t="shared" ref="DE37" si="110">SUM(DE27:DE36)</f>
        <v>6362233.6500000004</v>
      </c>
      <c r="DF37" s="13">
        <f t="shared" ref="DF37" si="111">SUM(DF27:DF36)</f>
        <v>37200.910000000003</v>
      </c>
      <c r="DG37" s="13">
        <f t="shared" ref="DG37" si="112">SUM(DG27:DG36)</f>
        <v>5258.3799999999992</v>
      </c>
      <c r="DH37" s="13">
        <f t="shared" ref="DH37" si="113">SUM(DH27:DH36)</f>
        <v>2447209.87</v>
      </c>
      <c r="DI37" s="13">
        <f t="shared" ref="DI37" si="114">SUM(DI27:DI36)</f>
        <v>1745724.54</v>
      </c>
      <c r="DJ37" s="13">
        <f t="shared" ref="DJ37:EL37" si="115">SUM(DJ27:DJ36)</f>
        <v>62768582.599999994</v>
      </c>
      <c r="DK37" s="13">
        <f t="shared" si="115"/>
        <v>54938164.650937468</v>
      </c>
      <c r="DL37" s="13">
        <f t="shared" si="115"/>
        <v>6215402.0553116826</v>
      </c>
      <c r="DM37" s="13">
        <f t="shared" si="115"/>
        <v>39758.838762608</v>
      </c>
      <c r="DN37" s="13">
        <f t="shared" si="115"/>
        <v>8832.7674594458604</v>
      </c>
      <c r="DO37" s="13">
        <f t="shared" si="115"/>
        <v>2451237.5682654902</v>
      </c>
      <c r="DP37" s="13">
        <f t="shared" si="115"/>
        <v>1725504.9041560779</v>
      </c>
      <c r="DQ37" s="13">
        <f t="shared" si="115"/>
        <v>65378900.784892768</v>
      </c>
      <c r="DR37" s="13">
        <f t="shared" si="115"/>
        <v>50733927.159999996</v>
      </c>
      <c r="DS37" s="13">
        <f t="shared" si="115"/>
        <v>6301692.5199999996</v>
      </c>
      <c r="DT37" s="13">
        <f t="shared" si="115"/>
        <v>28257.93</v>
      </c>
      <c r="DU37" s="13">
        <f t="shared" si="115"/>
        <v>6301.53</v>
      </c>
      <c r="DV37" s="13">
        <f>SUM(DV27:DV36)</f>
        <v>2554575.94</v>
      </c>
      <c r="DW37" s="13">
        <f t="shared" si="115"/>
        <v>1792370.2200000002</v>
      </c>
      <c r="DX37" s="13">
        <f t="shared" si="115"/>
        <v>61417125.300000012</v>
      </c>
      <c r="DY37" s="13">
        <f t="shared" si="115"/>
        <v>63397390</v>
      </c>
      <c r="DZ37" s="13">
        <f t="shared" si="115"/>
        <v>6988799</v>
      </c>
      <c r="EA37" s="13">
        <f t="shared" si="115"/>
        <v>44103</v>
      </c>
      <c r="EB37" s="13">
        <f t="shared" si="115"/>
        <v>12810</v>
      </c>
      <c r="EC37" s="13">
        <f t="shared" si="115"/>
        <v>2702344</v>
      </c>
      <c r="ED37" s="13">
        <f t="shared" si="115"/>
        <v>2001371</v>
      </c>
      <c r="EE37" s="13">
        <f t="shared" si="115"/>
        <v>75146817</v>
      </c>
      <c r="EF37" s="13">
        <f t="shared" si="115"/>
        <v>64417321</v>
      </c>
      <c r="EG37" s="13">
        <f t="shared" si="115"/>
        <v>6885642</v>
      </c>
      <c r="EH37" s="13">
        <f t="shared" si="115"/>
        <v>30730</v>
      </c>
      <c r="EI37" s="13">
        <f t="shared" si="115"/>
        <v>10953</v>
      </c>
      <c r="EJ37" s="13">
        <f t="shared" si="115"/>
        <v>2610428</v>
      </c>
      <c r="EK37" s="13">
        <f t="shared" si="115"/>
        <v>2053689</v>
      </c>
      <c r="EL37" s="13">
        <f t="shared" si="115"/>
        <v>76008763</v>
      </c>
      <c r="EM37" s="13">
        <f>SUM(EM27:EM36)</f>
        <v>645666260.73470116</v>
      </c>
      <c r="EN37" s="13">
        <f>SUM(EN27:EN36)</f>
        <v>601371215.75999999</v>
      </c>
      <c r="EO37" s="8"/>
      <c r="EQ37" s="36"/>
      <c r="ER37" s="36"/>
      <c r="ES37" s="36"/>
      <c r="ET37" s="36"/>
    </row>
    <row r="38" spans="1:150" s="5" customFormat="1" ht="12.75" x14ac:dyDescent="0.2">
      <c r="A38" s="216" t="s">
        <v>37</v>
      </c>
      <c r="B38" s="15" t="s">
        <v>12</v>
      </c>
      <c r="C38" s="1" t="s">
        <v>13</v>
      </c>
      <c r="D38" s="2">
        <v>39083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80"/>
      <c r="U38" s="80"/>
      <c r="V38" s="80"/>
      <c r="W38" s="80"/>
      <c r="X38" s="80"/>
      <c r="Y38" s="80"/>
      <c r="Z38" s="80"/>
      <c r="AA38" s="79">
        <f>[29]cobranças!AA5</f>
        <v>2247200.77</v>
      </c>
      <c r="AB38" s="79">
        <f>[29]cobranças!AB5</f>
        <v>1854576.1</v>
      </c>
      <c r="AC38" s="79">
        <f>[29]cobranças!AC5</f>
        <v>2503364.21</v>
      </c>
      <c r="AD38" s="79">
        <f>[29]cobranças!AD5</f>
        <v>2495487.16</v>
      </c>
      <c r="AE38" s="79">
        <f>[29]cobranças!AE5</f>
        <v>2646316.85</v>
      </c>
      <c r="AF38" s="79">
        <f>[29]cobranças!AF5</f>
        <v>2627563.09</v>
      </c>
      <c r="AG38" s="79">
        <f>[29]cobranças!AG5</f>
        <v>3202611.33</v>
      </c>
      <c r="AH38" s="79">
        <f>[29]cobranças!AH5</f>
        <v>3442140.84</v>
      </c>
      <c r="AI38" s="79">
        <f>[29]cobranças!AI5</f>
        <v>3426186.47</v>
      </c>
      <c r="AJ38" s="79">
        <f>[29]cobranças!AJ5</f>
        <v>3058224.9</v>
      </c>
      <c r="AK38" s="79">
        <f>[29]cobranças!AK5</f>
        <v>3178328.97</v>
      </c>
      <c r="AL38" s="79">
        <f>[29]cobranças!AL5</f>
        <v>3451911.03</v>
      </c>
      <c r="AM38" s="79">
        <f>[29]cobranças!AM5</f>
        <v>3591675.36</v>
      </c>
      <c r="AN38" s="79">
        <f>[29]cobranças!AN5</f>
        <v>3466159.48</v>
      </c>
      <c r="AO38" s="79">
        <f>[29]cobranças!AO5</f>
        <v>3311111.18</v>
      </c>
      <c r="AP38" s="79">
        <f>[29]cobranças!AP5</f>
        <v>3469823.93</v>
      </c>
      <c r="AQ38" s="79">
        <f>[29]cobranças!AQ5</f>
        <v>3009234.7</v>
      </c>
      <c r="AR38" s="79">
        <f>[29]cobranças!AR5</f>
        <v>2737085.01</v>
      </c>
      <c r="AS38" s="79">
        <v>2156827.44</v>
      </c>
      <c r="AT38" s="79">
        <v>985084.02</v>
      </c>
      <c r="AU38" s="50"/>
      <c r="AV38" s="79">
        <v>0</v>
      </c>
      <c r="AW38" s="50"/>
      <c r="AX38" s="79">
        <v>0</v>
      </c>
      <c r="AY38" s="10">
        <f>SUM(AS38:AX38)</f>
        <v>3141911.46</v>
      </c>
      <c r="AZ38" s="79">
        <v>2186041.9348998643</v>
      </c>
      <c r="BA38" s="79">
        <v>998427.10510013578</v>
      </c>
      <c r="BB38" s="50"/>
      <c r="BC38" s="79">
        <v>0</v>
      </c>
      <c r="BD38" s="50"/>
      <c r="BE38" s="79">
        <v>0</v>
      </c>
      <c r="BF38" s="10">
        <f>[29]cobranças!BF5</f>
        <v>3184469.04</v>
      </c>
      <c r="BG38" s="10">
        <v>2435743.98</v>
      </c>
      <c r="BH38" s="10">
        <v>896291.81</v>
      </c>
      <c r="BI38" s="10">
        <v>0</v>
      </c>
      <c r="BJ38" s="10">
        <v>0</v>
      </c>
      <c r="BK38" s="10">
        <v>0</v>
      </c>
      <c r="BL38" s="10">
        <v>0</v>
      </c>
      <c r="BM38" s="10">
        <f t="shared" ref="BM38:BM50" si="116">SUM(BG38:BL38)</f>
        <v>3332035.79</v>
      </c>
      <c r="BN38" s="10">
        <v>2315862.64</v>
      </c>
      <c r="BO38" s="10">
        <v>852178.53</v>
      </c>
      <c r="BP38" s="10">
        <v>0</v>
      </c>
      <c r="BQ38" s="10">
        <v>0</v>
      </c>
      <c r="BR38" s="10">
        <v>0</v>
      </c>
      <c r="BS38" s="10">
        <v>0</v>
      </c>
      <c r="BT38" s="10">
        <f>[29]cobranças!BT5</f>
        <v>3168041.17</v>
      </c>
      <c r="BU38" s="10">
        <v>12131682.989999998</v>
      </c>
      <c r="BV38" s="10">
        <v>745023.35999999917</v>
      </c>
      <c r="BW38" s="10">
        <v>257191.6</v>
      </c>
      <c r="BX38" s="10">
        <v>0</v>
      </c>
      <c r="BY38" s="10">
        <v>0</v>
      </c>
      <c r="BZ38" s="10">
        <v>397831.91999999987</v>
      </c>
      <c r="CA38" s="10">
        <f t="shared" si="61"/>
        <v>13531729.869999997</v>
      </c>
      <c r="CB38" s="14" t="s">
        <v>11</v>
      </c>
      <c r="CC38" s="14" t="s">
        <v>11</v>
      </c>
      <c r="CD38" s="14">
        <v>0</v>
      </c>
      <c r="CE38" s="14">
        <v>0</v>
      </c>
      <c r="CF38" s="14">
        <v>0</v>
      </c>
      <c r="CG38" s="14" t="s">
        <v>11</v>
      </c>
      <c r="CH38" s="10">
        <f>[29]cobranças!CH5</f>
        <v>8429515.2799999993</v>
      </c>
      <c r="CI38" s="10">
        <v>10964002.33</v>
      </c>
      <c r="CJ38" s="10">
        <v>777355.13</v>
      </c>
      <c r="CK38" s="10">
        <v>262615.27</v>
      </c>
      <c r="CL38" s="10">
        <v>0</v>
      </c>
      <c r="CM38" s="10">
        <v>0</v>
      </c>
      <c r="CN38" s="10">
        <v>367172.85</v>
      </c>
      <c r="CO38" s="10">
        <f>SUM(CI38:CN38)</f>
        <v>12371145.58</v>
      </c>
      <c r="CP38" s="14" t="s">
        <v>11</v>
      </c>
      <c r="CQ38" s="14" t="s">
        <v>11</v>
      </c>
      <c r="CR38" s="14" t="s">
        <v>11</v>
      </c>
      <c r="CS38" s="14">
        <v>0</v>
      </c>
      <c r="CT38" s="14">
        <v>0</v>
      </c>
      <c r="CU38" s="14" t="s">
        <v>11</v>
      </c>
      <c r="CV38" s="10">
        <f>[29]cobranças!CI5</f>
        <v>17300163.68</v>
      </c>
      <c r="CW38" s="10"/>
      <c r="CX38" s="10"/>
      <c r="CY38" s="10"/>
      <c r="CZ38" s="10"/>
      <c r="DA38" s="10"/>
      <c r="DB38" s="10"/>
      <c r="DC38" s="10">
        <f>[30]Indicadores!$G$16</f>
        <v>13427161</v>
      </c>
      <c r="DD38" s="10"/>
      <c r="DE38" s="10"/>
      <c r="DF38" s="10"/>
      <c r="DG38" s="10"/>
      <c r="DH38" s="10"/>
      <c r="DI38" s="10"/>
      <c r="DJ38" s="10">
        <f>[31]Planilha1!$N$14</f>
        <v>13028901.060000001</v>
      </c>
      <c r="DK38" s="10"/>
      <c r="DL38" s="10"/>
      <c r="DM38" s="10"/>
      <c r="DN38" s="10"/>
      <c r="DO38" s="10"/>
      <c r="DP38" s="10"/>
      <c r="DQ38" s="10">
        <f>[32]SP!DK5</f>
        <v>14672611.119999999</v>
      </c>
      <c r="DR38" s="10"/>
      <c r="DS38" s="10"/>
      <c r="DT38" s="10"/>
      <c r="DU38" s="10"/>
      <c r="DV38" s="10"/>
      <c r="DW38" s="10"/>
      <c r="DX38" s="10">
        <f>[32]SP!DR5</f>
        <v>14473619.760000002</v>
      </c>
      <c r="DY38" s="10"/>
      <c r="DZ38" s="10"/>
      <c r="EA38" s="10"/>
      <c r="EB38" s="10"/>
      <c r="EC38" s="10"/>
      <c r="ED38" s="10"/>
      <c r="EE38" s="168">
        <f>EL38*ES38</f>
        <v>17399072.66976694</v>
      </c>
      <c r="EF38" s="10"/>
      <c r="EG38" s="10"/>
      <c r="EH38" s="10"/>
      <c r="EI38" s="10"/>
      <c r="EJ38" s="10"/>
      <c r="EK38" s="10"/>
      <c r="EL38" s="10">
        <f>17.12*1000000</f>
        <v>17120000</v>
      </c>
      <c r="EM38" s="151">
        <f>E38+G38+I38+K38+M38+O38+Q38+S38+U38+W38+Y38+AA38+AC38+AE38+AG38+AI38+AK38+AM38+AO38+AQ38+AY38+BM38+CA38+CO38+DC38+DQ38+EE38</f>
        <v>104991697.32976693</v>
      </c>
      <c r="EN38" s="151">
        <f>F38+H38+J38+L38+N38+P38+R38+T38+V38+X38+Z38+AB38+AD38+AF38+AH38+AJ38+AL38+AN38+AP38+AR38+BF38+BT38+CH38+CV38+DJ38+DX38+EL38</f>
        <v>103307681.53</v>
      </c>
      <c r="EO38" s="193" t="s">
        <v>123</v>
      </c>
      <c r="EQ38" s="36">
        <f>AA38+AC38+AE38+AG38+AI38+AK38+AM38+AO38+AQ38+AY38+BM38+CA38+CO38+DC38+DQ38</f>
        <v>87592624.659999996</v>
      </c>
      <c r="ER38" s="158">
        <f t="shared" ref="ER38:ER57" si="117">EN38-EL38</f>
        <v>86187681.530000001</v>
      </c>
      <c r="ES38" s="169">
        <f>EQ38/ER38</f>
        <v>1.01630097370134</v>
      </c>
      <c r="ET38" s="36"/>
    </row>
    <row r="39" spans="1:150" s="5" customFormat="1" ht="12.75" x14ac:dyDescent="0.2">
      <c r="A39" s="217"/>
      <c r="B39" s="15" t="s">
        <v>16</v>
      </c>
      <c r="C39" s="1" t="s">
        <v>13</v>
      </c>
      <c r="D39" s="2">
        <v>39083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79">
        <f>[29]cobranças!AA6</f>
        <v>11000000</v>
      </c>
      <c r="AB39" s="79">
        <f>[29]cobranças!AB6</f>
        <v>8761303.9800000004</v>
      </c>
      <c r="AC39" s="79">
        <f>[29]cobranças!AC6</f>
        <v>13000000</v>
      </c>
      <c r="AD39" s="79">
        <f>[29]cobranças!AD6</f>
        <v>12595098.789999999</v>
      </c>
      <c r="AE39" s="79">
        <f>[29]cobranças!AE6</f>
        <v>16500000</v>
      </c>
      <c r="AF39" s="79">
        <f>[29]cobranças!AF6</f>
        <v>15584099.460000001</v>
      </c>
      <c r="AG39" s="79">
        <f>[29]cobranças!AG6</f>
        <v>18572246.210000001</v>
      </c>
      <c r="AH39" s="79">
        <f>[29]cobranças!AH6</f>
        <v>18338431.789999999</v>
      </c>
      <c r="AI39" s="79">
        <f>[29]cobranças!AI6</f>
        <v>17143778.739999998</v>
      </c>
      <c r="AJ39" s="79">
        <f>[29]cobranças!AJ6</f>
        <v>16838970.57</v>
      </c>
      <c r="AK39" s="79">
        <f>[29]cobranças!AK6</f>
        <v>17143778.739999998</v>
      </c>
      <c r="AL39" s="79">
        <f>[29]cobranças!AL6</f>
        <v>17677619.98</v>
      </c>
      <c r="AM39" s="79">
        <f>[29]cobranças!AM6</f>
        <v>17088376</v>
      </c>
      <c r="AN39" s="79">
        <f>[29]cobranças!AN6</f>
        <v>16839304.739999998</v>
      </c>
      <c r="AO39" s="79">
        <f>[29]cobranças!AO6</f>
        <v>15531233.609999999</v>
      </c>
      <c r="AP39" s="79">
        <f>[29]cobranças!AP6</f>
        <v>14041788.310000001</v>
      </c>
      <c r="AQ39" s="79">
        <f>[29]cobranças!AQ6</f>
        <v>14368460.16</v>
      </c>
      <c r="AR39" s="79">
        <f>[29]cobranças!AR6</f>
        <v>14392773.800000001</v>
      </c>
      <c r="AS39" s="79">
        <v>15927964.4</v>
      </c>
      <c r="AT39" s="79">
        <v>3565700.23</v>
      </c>
      <c r="AU39" s="50"/>
      <c r="AV39" s="10">
        <v>0</v>
      </c>
      <c r="AW39" s="50"/>
      <c r="AX39" s="79">
        <v>1280457.5</v>
      </c>
      <c r="AY39" s="10">
        <f>SUM(AS39:AX39)</f>
        <v>20774122.129999999</v>
      </c>
      <c r="AZ39" s="79">
        <v>11113808.3800002</v>
      </c>
      <c r="BA39" s="79">
        <v>3372657.3499999992</v>
      </c>
      <c r="BB39" s="50"/>
      <c r="BC39" s="10">
        <v>0</v>
      </c>
      <c r="BD39" s="50"/>
      <c r="BE39" s="79">
        <v>1220075.9600000072</v>
      </c>
      <c r="BF39" s="10">
        <f>[29]cobranças!BF6</f>
        <v>15706541.689999999</v>
      </c>
      <c r="BG39" s="10">
        <v>13953860.6</v>
      </c>
      <c r="BH39" s="10">
        <v>3567868.08</v>
      </c>
      <c r="BI39" s="10">
        <v>0</v>
      </c>
      <c r="BJ39" s="10">
        <v>0</v>
      </c>
      <c r="BK39" s="10">
        <v>0</v>
      </c>
      <c r="BL39" s="10">
        <v>1430898.08</v>
      </c>
      <c r="BM39" s="10">
        <f t="shared" si="116"/>
        <v>18952626.759999998</v>
      </c>
      <c r="BN39" s="14" t="s">
        <v>11</v>
      </c>
      <c r="BO39" s="14" t="s">
        <v>11</v>
      </c>
      <c r="BP39" s="14">
        <v>0</v>
      </c>
      <c r="BQ39" s="14">
        <v>0</v>
      </c>
      <c r="BR39" s="14">
        <v>0</v>
      </c>
      <c r="BS39" s="14" t="s">
        <v>11</v>
      </c>
      <c r="BT39" s="10">
        <f>[29]cobranças!BT6</f>
        <v>19722247.309999999</v>
      </c>
      <c r="BU39" s="10">
        <v>14799306.420000013</v>
      </c>
      <c r="BV39" s="10">
        <v>3726649.3500000099</v>
      </c>
      <c r="BW39" s="10">
        <v>0</v>
      </c>
      <c r="BX39" s="10">
        <v>0</v>
      </c>
      <c r="BY39" s="10">
        <v>0</v>
      </c>
      <c r="BZ39" s="10">
        <v>1428465.6899999985</v>
      </c>
      <c r="CA39" s="10">
        <f t="shared" si="61"/>
        <v>19954421.46000002</v>
      </c>
      <c r="CB39" s="14" t="s">
        <v>11</v>
      </c>
      <c r="CC39" s="14" t="s">
        <v>11</v>
      </c>
      <c r="CD39" s="14">
        <v>0</v>
      </c>
      <c r="CE39" s="14">
        <v>0</v>
      </c>
      <c r="CF39" s="14">
        <v>0</v>
      </c>
      <c r="CG39" s="14" t="s">
        <v>11</v>
      </c>
      <c r="CH39" s="10">
        <f>[29]cobranças!CH6</f>
        <v>22312690.640000001</v>
      </c>
      <c r="CI39" s="10">
        <v>14284951.860000011</v>
      </c>
      <c r="CJ39" s="10">
        <v>4352355.5700000124</v>
      </c>
      <c r="CK39" s="10">
        <v>0</v>
      </c>
      <c r="CL39" s="10">
        <v>0</v>
      </c>
      <c r="CM39" s="10">
        <v>0</v>
      </c>
      <c r="CN39" s="10">
        <v>1846075.3600000045</v>
      </c>
      <c r="CO39" s="10">
        <f t="shared" ref="CO39:CO56" si="118">SUM(CI39:CN39)</f>
        <v>20483382.790000025</v>
      </c>
      <c r="CP39" s="14" t="s">
        <v>11</v>
      </c>
      <c r="CQ39" s="14" t="s">
        <v>11</v>
      </c>
      <c r="CR39" s="14" t="s">
        <v>11</v>
      </c>
      <c r="CS39" s="14">
        <v>0</v>
      </c>
      <c r="CT39" s="14">
        <v>0</v>
      </c>
      <c r="CU39" s="14" t="s">
        <v>11</v>
      </c>
      <c r="CV39" s="10">
        <f>[29]cobranças!CI6</f>
        <v>22371377.379999999</v>
      </c>
      <c r="CW39" s="10">
        <v>15435682.869999999</v>
      </c>
      <c r="CX39" s="10">
        <v>4240396.42</v>
      </c>
      <c r="CY39" s="10"/>
      <c r="CZ39" s="10"/>
      <c r="DA39" s="10"/>
      <c r="DB39" s="10">
        <v>2154039.0700000003</v>
      </c>
      <c r="DC39" s="10">
        <f>[30]Indicadores!$G$25</f>
        <v>21830118.359999999</v>
      </c>
      <c r="DD39" s="10"/>
      <c r="DE39" s="10"/>
      <c r="DF39" s="10"/>
      <c r="DG39" s="10"/>
      <c r="DH39" s="10"/>
      <c r="DI39" s="10"/>
      <c r="DJ39" s="10">
        <f>[31]Planilha1!$N$12</f>
        <v>19444928.32</v>
      </c>
      <c r="DK39" s="10">
        <v>16901874.27</v>
      </c>
      <c r="DL39" s="10">
        <v>4334335.3099999996</v>
      </c>
      <c r="DM39" s="10"/>
      <c r="DN39" s="10"/>
      <c r="DO39" s="10"/>
      <c r="DP39" s="10">
        <v>2850235.29</v>
      </c>
      <c r="DQ39" s="10">
        <f>[32]SP!DK6</f>
        <v>24086444.870000001</v>
      </c>
      <c r="DR39" s="10"/>
      <c r="DS39" s="10"/>
      <c r="DT39" s="10"/>
      <c r="DU39" s="10"/>
      <c r="DV39" s="10"/>
      <c r="DW39" s="10"/>
      <c r="DX39" s="10">
        <f>[32]SP!DR6</f>
        <v>21826706.180000022</v>
      </c>
      <c r="DY39" s="10">
        <v>16630198.530000001</v>
      </c>
      <c r="DZ39" s="10">
        <v>3904902.05</v>
      </c>
      <c r="EA39" s="10"/>
      <c r="EB39" s="10"/>
      <c r="EC39" s="10"/>
      <c r="ED39" s="10">
        <v>2491604.6399999997</v>
      </c>
      <c r="EE39" s="10">
        <f>SUM(DY39:ED39)</f>
        <v>23026705.220000003</v>
      </c>
      <c r="EF39" s="10">
        <v>16519299.540000001</v>
      </c>
      <c r="EG39" s="10">
        <v>3466781.9</v>
      </c>
      <c r="EH39" s="10"/>
      <c r="EI39" s="10"/>
      <c r="EJ39" s="10"/>
      <c r="EK39" s="10">
        <v>1864287.46</v>
      </c>
      <c r="EL39" s="10">
        <f>SUM(EF39:EK39)</f>
        <v>21850368.900000002</v>
      </c>
      <c r="EM39" s="151">
        <f t="shared" ref="EM39:EM57" si="119">E39+G39+I39+K39+M39+O39+Q39+S39+U39+W39+Y39+AA39+AC39+AE39+AG39+AI39+AK39+AM39+AO39+AQ39+AY39+BM39+CA39+CO39+DC39+DQ39+EE39</f>
        <v>289455695.05000007</v>
      </c>
      <c r="EN39" s="151">
        <f t="shared" ref="EN39:EN57" si="120">F39+H39+J39+L39+N39+P39+R39+T39+V39+X39+Z39+AB39+AD39+AF39+AH39+AJ39+AL39+AN39+AP39+AR39+BF39+BT39+CH39+CV39+DJ39+DX39+EL39</f>
        <v>278304251.83999997</v>
      </c>
      <c r="EO39" s="194"/>
      <c r="EQ39" s="36">
        <f t="shared" ref="EQ39:EQ57" si="121">AA39+AC39+AE39+AG39+AI39+AK39+AM39+AO39+AQ39+AY39+BM39+CA39+CO39+DC39+DQ39</f>
        <v>266428989.83000004</v>
      </c>
      <c r="ER39" s="158">
        <f t="shared" si="117"/>
        <v>256453882.93999997</v>
      </c>
      <c r="ES39" s="169">
        <f t="shared" ref="ES39:ES57" si="122">EQ39/ER39</f>
        <v>1.0388962989198876</v>
      </c>
      <c r="ET39" s="36"/>
    </row>
    <row r="40" spans="1:150" s="5" customFormat="1" ht="12.75" x14ac:dyDescent="0.2">
      <c r="A40" s="217"/>
      <c r="B40" s="15" t="s">
        <v>30</v>
      </c>
      <c r="C40" s="1" t="s">
        <v>13</v>
      </c>
      <c r="D40" s="2">
        <v>40391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79">
        <f>[29]cobranças!AG7</f>
        <v>2735576.09</v>
      </c>
      <c r="AH40" s="79">
        <f>[29]cobranças!AH7</f>
        <v>2390433.04</v>
      </c>
      <c r="AI40" s="79">
        <f>[29]cobranças!AI7</f>
        <v>7165907.4699999997</v>
      </c>
      <c r="AJ40" s="79">
        <f>[29]cobranças!AJ7</f>
        <v>6423654.8700000001</v>
      </c>
      <c r="AK40" s="79">
        <f>[29]cobranças!AK7</f>
        <v>7899067.4500000002</v>
      </c>
      <c r="AL40" s="79">
        <f>[29]cobranças!AL7</f>
        <v>7564925.5199999996</v>
      </c>
      <c r="AM40" s="79">
        <f>[29]cobranças!AM7</f>
        <v>8675732.3900000006</v>
      </c>
      <c r="AN40" s="79">
        <f>[29]cobranças!AN7</f>
        <v>8343467.96</v>
      </c>
      <c r="AO40" s="79">
        <f>[29]cobranças!AO7</f>
        <v>7274943.2599999998</v>
      </c>
      <c r="AP40" s="79">
        <f>[29]cobranças!AP7</f>
        <v>4589200</v>
      </c>
      <c r="AQ40" s="79">
        <f>[29]cobranças!AQ7</f>
        <v>7656889.21</v>
      </c>
      <c r="AR40" s="79">
        <f>[29]cobranças!AR7</f>
        <v>7706675</v>
      </c>
      <c r="AS40" s="75" t="s">
        <v>11</v>
      </c>
      <c r="AT40" s="75" t="s">
        <v>11</v>
      </c>
      <c r="AU40" s="50"/>
      <c r="AV40" s="75">
        <v>0</v>
      </c>
      <c r="AW40" s="50"/>
      <c r="AX40" s="75" t="s">
        <v>11</v>
      </c>
      <c r="AY40" s="79">
        <v>7719407</v>
      </c>
      <c r="AZ40" s="75" t="s">
        <v>11</v>
      </c>
      <c r="BA40" s="75" t="s">
        <v>11</v>
      </c>
      <c r="BB40" s="50"/>
      <c r="BC40" s="75">
        <v>0</v>
      </c>
      <c r="BD40" s="50"/>
      <c r="BE40" s="75" t="s">
        <v>11</v>
      </c>
      <c r="BF40" s="10">
        <f>[29]cobranças!BF7</f>
        <v>6258281.2000000002</v>
      </c>
      <c r="BG40" s="10">
        <v>5036702.79</v>
      </c>
      <c r="BH40" s="10">
        <v>3314076.01</v>
      </c>
      <c r="BI40" s="10">
        <v>0</v>
      </c>
      <c r="BJ40" s="10">
        <v>0</v>
      </c>
      <c r="BK40" s="10">
        <v>0</v>
      </c>
      <c r="BL40" s="10">
        <v>61890.1</v>
      </c>
      <c r="BM40" s="10">
        <f t="shared" si="116"/>
        <v>8412668.9000000004</v>
      </c>
      <c r="BN40" s="10">
        <v>4802038.34</v>
      </c>
      <c r="BO40" s="10">
        <v>2687451.99</v>
      </c>
      <c r="BP40" s="10">
        <v>0</v>
      </c>
      <c r="BQ40" s="10">
        <v>0</v>
      </c>
      <c r="BR40" s="10">
        <v>0</v>
      </c>
      <c r="BS40" s="10">
        <v>39894.17</v>
      </c>
      <c r="BT40" s="10">
        <f>[29]cobranças!BT7</f>
        <v>7529384.5</v>
      </c>
      <c r="BU40" s="10">
        <v>4948575.8600000003</v>
      </c>
      <c r="BV40" s="10">
        <v>3268708.13</v>
      </c>
      <c r="BW40" s="10">
        <v>0</v>
      </c>
      <c r="BX40" s="10">
        <v>0</v>
      </c>
      <c r="BY40" s="10">
        <v>0</v>
      </c>
      <c r="BZ40" s="10">
        <v>57926</v>
      </c>
      <c r="CA40" s="10">
        <f t="shared" si="61"/>
        <v>8275209.9900000002</v>
      </c>
      <c r="CB40" s="14" t="s">
        <v>11</v>
      </c>
      <c r="CC40" s="14" t="s">
        <v>11</v>
      </c>
      <c r="CD40" s="14">
        <v>0</v>
      </c>
      <c r="CE40" s="14">
        <v>0</v>
      </c>
      <c r="CF40" s="14">
        <v>0</v>
      </c>
      <c r="CG40" s="14" t="s">
        <v>11</v>
      </c>
      <c r="CH40" s="10">
        <f>[29]cobranças!CH7</f>
        <v>8024694.6799999997</v>
      </c>
      <c r="CI40" s="10">
        <v>5430353</v>
      </c>
      <c r="CJ40" s="10">
        <v>3586938</v>
      </c>
      <c r="CK40" s="10">
        <v>0</v>
      </c>
      <c r="CL40" s="10">
        <v>0</v>
      </c>
      <c r="CM40" s="10">
        <v>0</v>
      </c>
      <c r="CN40" s="10">
        <v>63566</v>
      </c>
      <c r="CO40" s="10">
        <f t="shared" si="118"/>
        <v>9080857</v>
      </c>
      <c r="CP40" s="14" t="s">
        <v>11</v>
      </c>
      <c r="CQ40" s="14" t="s">
        <v>11</v>
      </c>
      <c r="CR40" s="14" t="s">
        <v>11</v>
      </c>
      <c r="CS40" s="14">
        <v>0</v>
      </c>
      <c r="CT40" s="14">
        <v>0</v>
      </c>
      <c r="CU40" s="14" t="s">
        <v>11</v>
      </c>
      <c r="CV40" s="10">
        <f>[29]cobranças!CI7</f>
        <v>8575594.6499999985</v>
      </c>
      <c r="CW40" s="10">
        <v>5923216.7999999998</v>
      </c>
      <c r="CX40" s="10">
        <v>2575763.29</v>
      </c>
      <c r="CY40" s="10"/>
      <c r="CZ40" s="10"/>
      <c r="DA40" s="10"/>
      <c r="DB40" s="10">
        <v>817983.76</v>
      </c>
      <c r="DC40" s="10">
        <f>[30]Indicadores!$G$26</f>
        <v>9317151.8200000003</v>
      </c>
      <c r="DD40" s="10"/>
      <c r="DE40" s="10"/>
      <c r="DF40" s="10"/>
      <c r="DG40" s="10"/>
      <c r="DH40" s="10"/>
      <c r="DI40" s="10"/>
      <c r="DJ40" s="10">
        <f>[31]Planilha1!$N$19</f>
        <v>8141397.4799999986</v>
      </c>
      <c r="DK40" s="10">
        <v>7173832.79</v>
      </c>
      <c r="DL40" s="10">
        <v>2622432.63</v>
      </c>
      <c r="DM40" s="10"/>
      <c r="DN40" s="10"/>
      <c r="DO40" s="10"/>
      <c r="DP40" s="10">
        <v>925360.31</v>
      </c>
      <c r="DQ40" s="10">
        <f>[32]SP!DK7</f>
        <v>10721625.73</v>
      </c>
      <c r="DR40" s="10"/>
      <c r="DS40" s="10"/>
      <c r="DT40" s="10"/>
      <c r="DU40" s="10"/>
      <c r="DV40" s="10"/>
      <c r="DW40" s="10"/>
      <c r="DX40" s="10">
        <f>[32]SP!DR7</f>
        <v>10649551.100000007</v>
      </c>
      <c r="DY40" s="10">
        <v>7584549.2400000002</v>
      </c>
      <c r="DZ40" s="10">
        <v>2048216.41</v>
      </c>
      <c r="EA40" s="10"/>
      <c r="EB40" s="10"/>
      <c r="EC40" s="10"/>
      <c r="ED40" s="10">
        <v>1022989.16</v>
      </c>
      <c r="EE40" s="10">
        <f>SUM(DY40:ED40)</f>
        <v>10655754.810000001</v>
      </c>
      <c r="EF40" s="10"/>
      <c r="EG40" s="10"/>
      <c r="EH40" s="10"/>
      <c r="EI40" s="10"/>
      <c r="EJ40" s="10"/>
      <c r="EK40" s="10"/>
      <c r="EL40" s="10">
        <f>11.16*1000000</f>
        <v>11160000</v>
      </c>
      <c r="EM40" s="151">
        <f t="shared" si="119"/>
        <v>105590791.11999999</v>
      </c>
      <c r="EN40" s="151">
        <f t="shared" si="120"/>
        <v>97357260.000000015</v>
      </c>
      <c r="EO40" s="194"/>
      <c r="EQ40" s="36">
        <f t="shared" si="121"/>
        <v>94935036.309999987</v>
      </c>
      <c r="ER40" s="158">
        <f t="shared" si="117"/>
        <v>86197260.000000015</v>
      </c>
      <c r="ES40" s="169">
        <f t="shared" si="122"/>
        <v>1.1013695366882887</v>
      </c>
      <c r="ET40" s="36"/>
    </row>
    <row r="41" spans="1:150" s="5" customFormat="1" ht="12.75" x14ac:dyDescent="0.2">
      <c r="A41" s="217"/>
      <c r="B41" s="4" t="s">
        <v>32</v>
      </c>
      <c r="C41" s="1" t="s">
        <v>13</v>
      </c>
      <c r="D41" s="2">
        <v>40909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79">
        <f>[29]cobranças!AK8</f>
        <v>8907503.9100000001</v>
      </c>
      <c r="AL41" s="79">
        <f>[29]cobranças!AL8</f>
        <v>8609595.5299999993</v>
      </c>
      <c r="AM41" s="79">
        <f>[29]cobranças!AM8</f>
        <v>10062456.890000001</v>
      </c>
      <c r="AN41" s="79">
        <f>[29]cobranças!AN8</f>
        <v>10807616.880000001</v>
      </c>
      <c r="AO41" s="79">
        <f>[29]cobranças!AO8</f>
        <v>10187697</v>
      </c>
      <c r="AP41" s="79">
        <f>[29]cobranças!AP8</f>
        <v>9460862.1500000004</v>
      </c>
      <c r="AQ41" s="79">
        <f>[29]cobranças!AQ8</f>
        <v>11154008.73</v>
      </c>
      <c r="AR41" s="79">
        <f>[29]cobranças!AR8</f>
        <v>11118176</v>
      </c>
      <c r="AS41" s="79">
        <v>4332414.6100000003</v>
      </c>
      <c r="AT41" s="79">
        <v>1687353.33</v>
      </c>
      <c r="AU41" s="50"/>
      <c r="AV41" s="10">
        <v>0</v>
      </c>
      <c r="AW41" s="50"/>
      <c r="AX41" s="79">
        <v>65132.75</v>
      </c>
      <c r="AY41" s="10">
        <f t="shared" ref="AY41:AY46" si="123">SUM(AS41:AX41)</f>
        <v>6084900.6900000004</v>
      </c>
      <c r="AZ41" s="75" t="s">
        <v>11</v>
      </c>
      <c r="BA41" s="75" t="s">
        <v>11</v>
      </c>
      <c r="BB41" s="50"/>
      <c r="BC41" s="10">
        <v>0</v>
      </c>
      <c r="BD41" s="50"/>
      <c r="BE41" s="75" t="s">
        <v>11</v>
      </c>
      <c r="BF41" s="10">
        <f>[29]cobranças!BF8</f>
        <v>6517831.7999999998</v>
      </c>
      <c r="BG41" s="10">
        <v>5951161.2400000002</v>
      </c>
      <c r="BH41" s="10">
        <v>2089319.84</v>
      </c>
      <c r="BI41" s="10">
        <v>0</v>
      </c>
      <c r="BJ41" s="10">
        <v>0</v>
      </c>
      <c r="BK41" s="10">
        <v>0</v>
      </c>
      <c r="BL41" s="10">
        <v>190044.71</v>
      </c>
      <c r="BM41" s="10">
        <f t="shared" si="116"/>
        <v>8230525.79</v>
      </c>
      <c r="BN41" s="14" t="s">
        <v>11</v>
      </c>
      <c r="BO41" s="14" t="s">
        <v>11</v>
      </c>
      <c r="BP41" s="14">
        <v>0</v>
      </c>
      <c r="BQ41" s="14">
        <v>0</v>
      </c>
      <c r="BR41" s="14">
        <v>0</v>
      </c>
      <c r="BS41" s="14" t="s">
        <v>11</v>
      </c>
      <c r="BT41" s="10">
        <f>[29]cobranças!BT8</f>
        <v>7991124.7199999997</v>
      </c>
      <c r="BU41" s="10">
        <v>6581456.0800000001</v>
      </c>
      <c r="BV41" s="10">
        <v>2336298.35</v>
      </c>
      <c r="BW41" s="10">
        <v>0</v>
      </c>
      <c r="BX41" s="10">
        <v>0</v>
      </c>
      <c r="BY41" s="10">
        <v>0</v>
      </c>
      <c r="BZ41" s="10">
        <v>189686.84</v>
      </c>
      <c r="CA41" s="10">
        <f t="shared" si="61"/>
        <v>9107441.2699999996</v>
      </c>
      <c r="CB41" s="14" t="s">
        <v>11</v>
      </c>
      <c r="CC41" s="14" t="s">
        <v>11</v>
      </c>
      <c r="CD41" s="14">
        <v>0</v>
      </c>
      <c r="CE41" s="14">
        <v>0</v>
      </c>
      <c r="CF41" s="14">
        <v>0</v>
      </c>
      <c r="CG41" s="14" t="s">
        <v>11</v>
      </c>
      <c r="CH41" s="10">
        <f>[29]cobranças!CH8</f>
        <v>9122675.1199999992</v>
      </c>
      <c r="CI41" s="10">
        <v>6072955.3300000001</v>
      </c>
      <c r="CJ41" s="10">
        <v>1803952.92</v>
      </c>
      <c r="CK41" s="10">
        <v>0</v>
      </c>
      <c r="CL41" s="10">
        <v>0</v>
      </c>
      <c r="CM41" s="10">
        <v>0</v>
      </c>
      <c r="CN41" s="10">
        <v>219627.77</v>
      </c>
      <c r="CO41" s="10">
        <f t="shared" si="118"/>
        <v>8096536.0199999996</v>
      </c>
      <c r="CP41" s="14" t="s">
        <v>11</v>
      </c>
      <c r="CQ41" s="14" t="s">
        <v>11</v>
      </c>
      <c r="CR41" s="14" t="s">
        <v>11</v>
      </c>
      <c r="CS41" s="14">
        <v>0</v>
      </c>
      <c r="CT41" s="14">
        <v>0</v>
      </c>
      <c r="CU41" s="14" t="s">
        <v>11</v>
      </c>
      <c r="CV41" s="10">
        <f>[29]cobranças!CI8</f>
        <v>9072410.879999999</v>
      </c>
      <c r="CW41" s="10"/>
      <c r="CX41" s="10"/>
      <c r="CY41" s="10"/>
      <c r="CZ41" s="10"/>
      <c r="DA41" s="10"/>
      <c r="DB41" s="10"/>
      <c r="DC41" s="10">
        <f>[30]Indicadores!$G$9</f>
        <v>6610737.7800000003</v>
      </c>
      <c r="DD41" s="10"/>
      <c r="DE41" s="10"/>
      <c r="DF41" s="10"/>
      <c r="DG41" s="10"/>
      <c r="DH41" s="10"/>
      <c r="DI41" s="10"/>
      <c r="DJ41" s="10">
        <f>[31]Planilha1!$N$6</f>
        <v>6628331.7800000003</v>
      </c>
      <c r="DK41" s="10"/>
      <c r="DL41" s="10"/>
      <c r="DM41" s="10"/>
      <c r="DN41" s="10"/>
      <c r="DO41" s="10"/>
      <c r="DP41" s="10"/>
      <c r="DQ41" s="10">
        <f>[32]SP!DK8</f>
        <v>7158010.4800000004</v>
      </c>
      <c r="DR41" s="10"/>
      <c r="DS41" s="10"/>
      <c r="DT41" s="10"/>
      <c r="DU41" s="10"/>
      <c r="DV41" s="10"/>
      <c r="DW41" s="10"/>
      <c r="DX41" s="10">
        <f>[32]SP!DR8</f>
        <v>7173106.0000000112</v>
      </c>
      <c r="DY41" s="10"/>
      <c r="DZ41" s="10"/>
      <c r="EA41" s="10"/>
      <c r="EB41" s="10"/>
      <c r="EC41" s="10"/>
      <c r="ED41" s="10"/>
      <c r="EE41" s="168">
        <f t="shared" ref="EE41:EE51" si="124">EL41*ES41</f>
        <v>11389990.718453931</v>
      </c>
      <c r="EF41" s="10"/>
      <c r="EG41" s="10"/>
      <c r="EH41" s="10"/>
      <c r="EI41" s="10"/>
      <c r="EJ41" s="10"/>
      <c r="EK41" s="10"/>
      <c r="EL41" s="10">
        <f>11.51*1000000</f>
        <v>11510000</v>
      </c>
      <c r="EM41" s="151">
        <f t="shared" si="119"/>
        <v>96989809.278453931</v>
      </c>
      <c r="EN41" s="151">
        <f>F41+H41+J41+L41+N41+P41+R41+T41+V41+X41+Z41+AB41+AD41+AF41+AH41+AJ41+AL41+AN41+AP41+AR41+BF41+BT41+CH41+CV41+DJ41+DX41+EL41</f>
        <v>98011730.860000014</v>
      </c>
      <c r="EO41" s="194"/>
      <c r="EQ41" s="36">
        <f t="shared" si="121"/>
        <v>85599818.560000002</v>
      </c>
      <c r="ER41" s="158">
        <f t="shared" si="117"/>
        <v>86501730.860000014</v>
      </c>
      <c r="ES41" s="169">
        <f t="shared" si="122"/>
        <v>0.98957347684221808</v>
      </c>
      <c r="ET41" s="36"/>
    </row>
    <row r="42" spans="1:150" s="5" customFormat="1" ht="12.75" x14ac:dyDescent="0.2">
      <c r="A42" s="217"/>
      <c r="B42" s="15" t="s">
        <v>31</v>
      </c>
      <c r="C42" s="1" t="s">
        <v>13</v>
      </c>
      <c r="D42" s="2">
        <v>41426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79">
        <f>[29]cobranças!AM9</f>
        <v>3599134.41</v>
      </c>
      <c r="AN42" s="79">
        <f>[29]cobranças!AN9</f>
        <v>2527641.9500000002</v>
      </c>
      <c r="AO42" s="79">
        <f>[29]cobranças!AO9</f>
        <v>5316196</v>
      </c>
      <c r="AP42" s="79">
        <f>[29]cobranças!AP9</f>
        <v>3091383.12</v>
      </c>
      <c r="AQ42" s="79">
        <f>[29]cobranças!AQ9</f>
        <v>6167820.5099999998</v>
      </c>
      <c r="AR42" s="79">
        <f>[29]cobranças!AR9</f>
        <v>3702745</v>
      </c>
      <c r="AS42" s="79">
        <v>3119226.73</v>
      </c>
      <c r="AT42" s="79">
        <v>4108588.11</v>
      </c>
      <c r="AU42" s="50"/>
      <c r="AV42" s="10">
        <v>0</v>
      </c>
      <c r="AW42" s="50"/>
      <c r="AX42" s="79">
        <v>74431.320000000007</v>
      </c>
      <c r="AY42" s="10">
        <f t="shared" si="123"/>
        <v>7302246.1600000001</v>
      </c>
      <c r="AZ42" s="79">
        <v>3064872.07</v>
      </c>
      <c r="BA42" s="79">
        <v>2386449.13</v>
      </c>
      <c r="BB42" s="50"/>
      <c r="BC42" s="10">
        <v>0</v>
      </c>
      <c r="BD42" s="50"/>
      <c r="BE42" s="79">
        <v>54655.46</v>
      </c>
      <c r="BF42" s="10">
        <f>[29]cobranças!BF9</f>
        <v>5505976.6600000001</v>
      </c>
      <c r="BG42" s="10">
        <v>3026479.73</v>
      </c>
      <c r="BH42" s="10">
        <v>3196726.27</v>
      </c>
      <c r="BI42" s="10">
        <v>0</v>
      </c>
      <c r="BJ42" s="10">
        <v>0</v>
      </c>
      <c r="BK42" s="10">
        <v>0</v>
      </c>
      <c r="BL42" s="10">
        <v>94999.57</v>
      </c>
      <c r="BM42" s="10">
        <f t="shared" si="116"/>
        <v>6318205.5700000003</v>
      </c>
      <c r="BN42" s="14" t="s">
        <v>11</v>
      </c>
      <c r="BO42" s="14" t="s">
        <v>11</v>
      </c>
      <c r="BP42" s="14">
        <v>0</v>
      </c>
      <c r="BQ42" s="14">
        <v>0</v>
      </c>
      <c r="BR42" s="14">
        <v>0</v>
      </c>
      <c r="BS42" s="14" t="s">
        <v>11</v>
      </c>
      <c r="BT42" s="10">
        <f>[29]cobranças!BT9</f>
        <v>4942391.83</v>
      </c>
      <c r="BU42" s="10">
        <v>2821182.19</v>
      </c>
      <c r="BV42" s="10">
        <v>3805875.47</v>
      </c>
      <c r="BW42" s="10">
        <v>0</v>
      </c>
      <c r="BX42" s="10">
        <v>0</v>
      </c>
      <c r="BY42" s="10">
        <v>0</v>
      </c>
      <c r="BZ42" s="10">
        <v>119835.13</v>
      </c>
      <c r="CA42" s="10">
        <f t="shared" si="61"/>
        <v>6746892.79</v>
      </c>
      <c r="CB42" s="14" t="s">
        <v>11</v>
      </c>
      <c r="CC42" s="14" t="s">
        <v>11</v>
      </c>
      <c r="CD42" s="14">
        <v>0</v>
      </c>
      <c r="CE42" s="14">
        <v>0</v>
      </c>
      <c r="CF42" s="14">
        <v>0</v>
      </c>
      <c r="CG42" s="14" t="s">
        <v>11</v>
      </c>
      <c r="CH42" s="10">
        <f>[29]cobranças!CH9</f>
        <v>4905935.34</v>
      </c>
      <c r="CI42" s="10">
        <v>1893253.78</v>
      </c>
      <c r="CJ42" s="10">
        <v>3437893.4</v>
      </c>
      <c r="CK42" s="10">
        <v>43266.98</v>
      </c>
      <c r="CL42" s="10">
        <v>0</v>
      </c>
      <c r="CM42" s="10">
        <v>0</v>
      </c>
      <c r="CN42" s="10">
        <v>203402.11</v>
      </c>
      <c r="CO42" s="10">
        <f t="shared" si="118"/>
        <v>5577816.2700000005</v>
      </c>
      <c r="CP42" s="14" t="s">
        <v>11</v>
      </c>
      <c r="CQ42" s="14" t="s">
        <v>11</v>
      </c>
      <c r="CR42" s="14" t="s">
        <v>11</v>
      </c>
      <c r="CS42" s="14">
        <v>0</v>
      </c>
      <c r="CT42" s="14">
        <v>0</v>
      </c>
      <c r="CU42" s="14" t="s">
        <v>11</v>
      </c>
      <c r="CV42" s="10">
        <f>[29]cobranças!CI9</f>
        <v>3469915.7200000007</v>
      </c>
      <c r="CW42" s="10"/>
      <c r="CX42" s="10"/>
      <c r="CY42" s="10"/>
      <c r="CZ42" s="10"/>
      <c r="DA42" s="10"/>
      <c r="DB42" s="10"/>
      <c r="DC42" s="10">
        <f>[30]Indicadores!$G$10</f>
        <v>6595655.7000000002</v>
      </c>
      <c r="DD42" s="10"/>
      <c r="DE42" s="10"/>
      <c r="DF42" s="10"/>
      <c r="DG42" s="10"/>
      <c r="DH42" s="10"/>
      <c r="DI42" s="10"/>
      <c r="DJ42" s="10">
        <f>[31]Planilha1!$N$7</f>
        <v>4260871.5599999996</v>
      </c>
      <c r="DK42" s="10"/>
      <c r="DL42" s="10"/>
      <c r="DM42" s="10"/>
      <c r="DN42" s="10"/>
      <c r="DO42" s="10"/>
      <c r="DP42" s="10"/>
      <c r="DQ42" s="10">
        <f>[32]SP!DK9</f>
        <v>6550715.4500000002</v>
      </c>
      <c r="DR42" s="10"/>
      <c r="DS42" s="10"/>
      <c r="DT42" s="10"/>
      <c r="DU42" s="10"/>
      <c r="DV42" s="10"/>
      <c r="DW42" s="10"/>
      <c r="DX42" s="10">
        <f>[32]SP!DR9</f>
        <v>4077186.3600000059</v>
      </c>
      <c r="DY42" s="10"/>
      <c r="DZ42" s="10"/>
      <c r="EA42" s="10"/>
      <c r="EB42" s="10"/>
      <c r="EC42" s="10"/>
      <c r="ED42" s="10"/>
      <c r="EE42" s="168">
        <f t="shared" si="124"/>
        <v>7335341.0976396287</v>
      </c>
      <c r="EF42" s="10"/>
      <c r="EG42" s="10"/>
      <c r="EH42" s="10"/>
      <c r="EI42" s="10"/>
      <c r="EJ42" s="10"/>
      <c r="EK42" s="10"/>
      <c r="EL42" s="10">
        <f>4.94*1000000</f>
        <v>4940000</v>
      </c>
      <c r="EM42" s="151">
        <f t="shared" si="119"/>
        <v>61510023.957639635</v>
      </c>
      <c r="EN42" s="151">
        <f t="shared" si="120"/>
        <v>41424047.540000007</v>
      </c>
      <c r="EO42" s="194"/>
      <c r="EQ42" s="36">
        <f t="shared" si="121"/>
        <v>54174682.860000007</v>
      </c>
      <c r="ER42" s="158">
        <f t="shared" si="117"/>
        <v>36484047.540000007</v>
      </c>
      <c r="ES42" s="169">
        <f t="shared" si="122"/>
        <v>1.4848868618703701</v>
      </c>
      <c r="ET42" s="36"/>
    </row>
    <row r="43" spans="1:150" s="5" customFormat="1" ht="12.75" x14ac:dyDescent="0.2">
      <c r="A43" s="217"/>
      <c r="B43" s="15" t="s">
        <v>93</v>
      </c>
      <c r="C43" s="1" t="s">
        <v>13</v>
      </c>
      <c r="D43" s="2">
        <v>41640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79">
        <f>[29]cobranças!AO10</f>
        <v>16967591.809999999</v>
      </c>
      <c r="AP43" s="79">
        <f>[29]cobranças!AP10</f>
        <v>14063476.23</v>
      </c>
      <c r="AQ43" s="79">
        <f>[29]cobranças!AQ10</f>
        <v>21952099.920000002</v>
      </c>
      <c r="AR43" s="79">
        <f>[29]cobranças!AR10</f>
        <v>21714795</v>
      </c>
      <c r="AS43" s="79">
        <v>29503770.690000001</v>
      </c>
      <c r="AT43" s="79">
        <v>3041155.89</v>
      </c>
      <c r="AU43" s="50"/>
      <c r="AV43" s="10">
        <v>0</v>
      </c>
      <c r="AW43" s="50"/>
      <c r="AX43" s="79">
        <v>2940101.79</v>
      </c>
      <c r="AY43" s="10">
        <f t="shared" si="123"/>
        <v>35485028.370000005</v>
      </c>
      <c r="AZ43" s="79">
        <v>28874474.739999998</v>
      </c>
      <c r="BA43" s="79">
        <v>2471338.27</v>
      </c>
      <c r="BB43" s="50"/>
      <c r="BC43" s="10">
        <v>0</v>
      </c>
      <c r="BD43" s="50"/>
      <c r="BE43" s="79">
        <v>1421169.85</v>
      </c>
      <c r="BF43" s="10">
        <f>[29]cobranças!BF10</f>
        <v>32766982.850000001</v>
      </c>
      <c r="BG43" s="10">
        <v>30318222</v>
      </c>
      <c r="BH43" s="10">
        <v>2824877</v>
      </c>
      <c r="BI43" s="10">
        <v>0</v>
      </c>
      <c r="BJ43" s="10">
        <v>0</v>
      </c>
      <c r="BK43" s="10">
        <v>0</v>
      </c>
      <c r="BL43" s="10">
        <v>2277082</v>
      </c>
      <c r="BM43" s="10">
        <f t="shared" si="116"/>
        <v>35420181</v>
      </c>
      <c r="BN43" s="14" t="s">
        <v>11</v>
      </c>
      <c r="BO43" s="14" t="s">
        <v>11</v>
      </c>
      <c r="BP43" s="14">
        <v>0</v>
      </c>
      <c r="BQ43" s="14">
        <v>0</v>
      </c>
      <c r="BR43" s="14">
        <v>0</v>
      </c>
      <c r="BS43" s="14" t="s">
        <v>11</v>
      </c>
      <c r="BT43" s="10">
        <f>[29]cobranças!BT10</f>
        <v>35526776.950000003</v>
      </c>
      <c r="BU43" s="10">
        <v>36342492.789999999</v>
      </c>
      <c r="BV43" s="10">
        <v>3038637.4999999902</v>
      </c>
      <c r="BW43" s="10">
        <v>0</v>
      </c>
      <c r="BX43" s="10">
        <v>0</v>
      </c>
      <c r="BY43" s="10">
        <v>0</v>
      </c>
      <c r="BZ43" s="10">
        <v>2347401.5799999684</v>
      </c>
      <c r="CA43" s="10">
        <f t="shared" si="61"/>
        <v>41728531.86999996</v>
      </c>
      <c r="CB43" s="14" t="s">
        <v>11</v>
      </c>
      <c r="CC43" s="14" t="s">
        <v>11</v>
      </c>
      <c r="CD43" s="14">
        <v>0</v>
      </c>
      <c r="CE43" s="14">
        <v>0</v>
      </c>
      <c r="CF43" s="14">
        <v>0</v>
      </c>
      <c r="CG43" s="14" t="s">
        <v>11</v>
      </c>
      <c r="CH43" s="10">
        <f>[29]cobranças!CH10</f>
        <v>46886019.049999997</v>
      </c>
      <c r="CI43" s="10">
        <v>47492689.950000003</v>
      </c>
      <c r="CJ43" s="10">
        <v>2717350.95</v>
      </c>
      <c r="CK43" s="10">
        <v>0</v>
      </c>
      <c r="CL43" s="10">
        <v>0</v>
      </c>
      <c r="CM43" s="10">
        <v>0</v>
      </c>
      <c r="CN43" s="10">
        <v>2755921.14</v>
      </c>
      <c r="CO43" s="10">
        <f t="shared" si="118"/>
        <v>52965962.040000007</v>
      </c>
      <c r="CP43" s="10">
        <v>47492689.950000003</v>
      </c>
      <c r="CQ43" s="10">
        <v>2116935.9</v>
      </c>
      <c r="CR43" s="10">
        <v>0</v>
      </c>
      <c r="CS43" s="10">
        <v>0</v>
      </c>
      <c r="CT43" s="10">
        <v>0</v>
      </c>
      <c r="CU43" s="10">
        <v>2656815.17</v>
      </c>
      <c r="CV43" s="10">
        <f>[29]cobranças!CI10</f>
        <v>52266441.020000003</v>
      </c>
      <c r="CW43" s="10"/>
      <c r="CX43" s="10"/>
      <c r="CY43" s="10"/>
      <c r="CZ43" s="10"/>
      <c r="DA43" s="10"/>
      <c r="DB43" s="10"/>
      <c r="DC43" s="10">
        <f>[30]Indicadores!$G$24</f>
        <v>38719400.100000001</v>
      </c>
      <c r="DD43" s="10"/>
      <c r="DE43" s="10"/>
      <c r="DF43" s="10"/>
      <c r="DG43" s="10"/>
      <c r="DH43" s="10"/>
      <c r="DI43" s="10"/>
      <c r="DJ43" s="10">
        <f>[31]Planilha1!$N$4</f>
        <v>37009566.950000003</v>
      </c>
      <c r="DK43" s="10"/>
      <c r="DL43" s="10"/>
      <c r="DM43" s="10"/>
      <c r="DN43" s="10"/>
      <c r="DO43" s="10"/>
      <c r="DP43" s="10"/>
      <c r="DQ43" s="10">
        <f>[32]SP!DK10</f>
        <v>56000029.659999996</v>
      </c>
      <c r="DR43" s="10"/>
      <c r="DS43" s="10"/>
      <c r="DT43" s="10"/>
      <c r="DU43" s="10"/>
      <c r="DV43" s="10"/>
      <c r="DW43" s="10"/>
      <c r="DX43" s="10">
        <f>[32]SP!DR10</f>
        <v>54993675.879999995</v>
      </c>
      <c r="DY43" s="10"/>
      <c r="DZ43" s="10"/>
      <c r="EA43" s="10"/>
      <c r="EB43" s="10"/>
      <c r="EC43" s="10"/>
      <c r="ED43" s="10"/>
      <c r="EE43" s="168">
        <f t="shared" si="124"/>
        <v>50952989.818885401</v>
      </c>
      <c r="EF43" s="10"/>
      <c r="EG43" s="10"/>
      <c r="EH43" s="10"/>
      <c r="EI43" s="10"/>
      <c r="EJ43" s="10"/>
      <c r="EK43" s="10"/>
      <c r="EL43" s="10">
        <f>50.27*1000000</f>
        <v>50270000</v>
      </c>
      <c r="EM43" s="151">
        <f t="shared" si="119"/>
        <v>350191814.58888537</v>
      </c>
      <c r="EN43" s="151">
        <f t="shared" si="120"/>
        <v>345497733.93000001</v>
      </c>
      <c r="EO43" s="194"/>
      <c r="EQ43" s="36">
        <f t="shared" si="121"/>
        <v>299238824.76999998</v>
      </c>
      <c r="ER43" s="158">
        <f t="shared" si="117"/>
        <v>295227733.93000001</v>
      </c>
      <c r="ES43" s="169">
        <f t="shared" si="122"/>
        <v>1.0135864296575572</v>
      </c>
      <c r="ET43" s="36"/>
    </row>
    <row r="44" spans="1:150" s="5" customFormat="1" ht="12.75" x14ac:dyDescent="0.2">
      <c r="A44" s="217"/>
      <c r="B44" s="15" t="s">
        <v>116</v>
      </c>
      <c r="C44" s="1" t="s">
        <v>13</v>
      </c>
      <c r="D44" s="2">
        <v>42583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79">
        <v>3108117.56</v>
      </c>
      <c r="AT44" s="79">
        <v>2316584.9</v>
      </c>
      <c r="AU44" s="50"/>
      <c r="AV44" s="10">
        <v>0</v>
      </c>
      <c r="AW44" s="50"/>
      <c r="AX44" s="79">
        <v>334470.40000000002</v>
      </c>
      <c r="AY44" s="10">
        <f t="shared" si="123"/>
        <v>5759172.8600000003</v>
      </c>
      <c r="AZ44" s="79">
        <v>2731956.66</v>
      </c>
      <c r="BA44" s="79">
        <v>2070511.73</v>
      </c>
      <c r="BB44" s="50"/>
      <c r="BC44" s="10">
        <v>0</v>
      </c>
      <c r="BD44" s="50"/>
      <c r="BE44" s="79">
        <v>272747.74</v>
      </c>
      <c r="BF44" s="10">
        <f>[29]cobranças!BF11</f>
        <v>5075216.13</v>
      </c>
      <c r="BG44" s="10">
        <v>4800082.08</v>
      </c>
      <c r="BH44" s="10">
        <v>2460222.41</v>
      </c>
      <c r="BI44" s="10">
        <v>0</v>
      </c>
      <c r="BJ44" s="10">
        <v>0</v>
      </c>
      <c r="BK44" s="10">
        <v>0</v>
      </c>
      <c r="BL44" s="10">
        <v>308841.3</v>
      </c>
      <c r="BM44" s="10">
        <f t="shared" si="116"/>
        <v>7569145.79</v>
      </c>
      <c r="BN44" s="14" t="s">
        <v>11</v>
      </c>
      <c r="BO44" s="14" t="s">
        <v>11</v>
      </c>
      <c r="BP44" s="14">
        <v>0</v>
      </c>
      <c r="BQ44" s="14">
        <v>0</v>
      </c>
      <c r="BR44" s="14">
        <v>0</v>
      </c>
      <c r="BS44" s="14" t="s">
        <v>11</v>
      </c>
      <c r="BT44" s="10">
        <f>[29]cobranças!BT11</f>
        <v>6789459.9500000002</v>
      </c>
      <c r="BU44" s="10">
        <v>3283084.56</v>
      </c>
      <c r="BV44" s="10">
        <v>2201889.42</v>
      </c>
      <c r="BW44" s="10">
        <v>0</v>
      </c>
      <c r="BX44" s="10">
        <v>0</v>
      </c>
      <c r="BY44" s="10">
        <v>0</v>
      </c>
      <c r="BZ44" s="10">
        <v>309164.44</v>
      </c>
      <c r="CA44" s="10">
        <f t="shared" si="61"/>
        <v>5794138.4200000009</v>
      </c>
      <c r="CB44" s="14" t="s">
        <v>11</v>
      </c>
      <c r="CC44" s="14" t="s">
        <v>11</v>
      </c>
      <c r="CD44" s="14">
        <v>0</v>
      </c>
      <c r="CE44" s="14">
        <v>0</v>
      </c>
      <c r="CF44" s="14">
        <v>0</v>
      </c>
      <c r="CG44" s="14" t="s">
        <v>11</v>
      </c>
      <c r="CH44" s="10">
        <f>[29]cobranças!CH11</f>
        <v>5257910.47</v>
      </c>
      <c r="CI44" s="10">
        <v>3899627.72</v>
      </c>
      <c r="CJ44" s="10">
        <v>2492734.37</v>
      </c>
      <c r="CK44" s="10">
        <v>50628.72</v>
      </c>
      <c r="CL44" s="10">
        <v>0</v>
      </c>
      <c r="CM44" s="10">
        <v>0</v>
      </c>
      <c r="CN44" s="10">
        <v>694177.1</v>
      </c>
      <c r="CO44" s="10">
        <f t="shared" si="118"/>
        <v>7137167.9099999992</v>
      </c>
      <c r="CP44" s="14" t="s">
        <v>11</v>
      </c>
      <c r="CQ44" s="14" t="s">
        <v>11</v>
      </c>
      <c r="CR44" s="14" t="s">
        <v>11</v>
      </c>
      <c r="CS44" s="14">
        <v>0</v>
      </c>
      <c r="CT44" s="14">
        <v>0</v>
      </c>
      <c r="CU44" s="14" t="s">
        <v>11</v>
      </c>
      <c r="CV44" s="10">
        <f>[29]cobranças!CI11</f>
        <v>6633356.29</v>
      </c>
      <c r="CW44" s="10"/>
      <c r="CX44" s="10"/>
      <c r="CY44" s="10"/>
      <c r="CZ44" s="10"/>
      <c r="DA44" s="10"/>
      <c r="DB44" s="10"/>
      <c r="DC44" s="10">
        <f>[30]Indicadores!$G$23</f>
        <v>8837688.4399999995</v>
      </c>
      <c r="DD44" s="10"/>
      <c r="DE44" s="10"/>
      <c r="DF44" s="10"/>
      <c r="DG44" s="10"/>
      <c r="DH44" s="10"/>
      <c r="DI44" s="10"/>
      <c r="DJ44" s="10">
        <f>[31]Planilha1!$N$22</f>
        <v>6951871.6300000008</v>
      </c>
      <c r="DK44" s="10"/>
      <c r="DL44" s="10"/>
      <c r="DM44" s="10"/>
      <c r="DN44" s="10"/>
      <c r="DO44" s="10"/>
      <c r="DP44" s="10"/>
      <c r="DQ44" s="10">
        <f>[32]SP!DK11</f>
        <v>10693908.720000001</v>
      </c>
      <c r="DR44" s="10"/>
      <c r="DS44" s="10"/>
      <c r="DT44" s="10"/>
      <c r="DU44" s="10"/>
      <c r="DV44" s="10"/>
      <c r="DW44" s="10"/>
      <c r="DX44" s="10">
        <f>[32]SP!DR11</f>
        <v>9751775.4400000013</v>
      </c>
      <c r="DY44" s="10"/>
      <c r="DZ44" s="10"/>
      <c r="EA44" s="10"/>
      <c r="EB44" s="10"/>
      <c r="EC44" s="10"/>
      <c r="ED44" s="10"/>
      <c r="EE44" s="168">
        <f t="shared" si="124"/>
        <v>11351720.546002936</v>
      </c>
      <c r="EF44" s="10"/>
      <c r="EG44" s="10"/>
      <c r="EH44" s="10"/>
      <c r="EI44" s="10"/>
      <c r="EJ44" s="10"/>
      <c r="EK44" s="10"/>
      <c r="EL44" s="10">
        <f>10.03*1000000</f>
        <v>10030000</v>
      </c>
      <c r="EM44" s="151">
        <f t="shared" si="119"/>
        <v>57142942.68600294</v>
      </c>
      <c r="EN44" s="151">
        <f t="shared" si="120"/>
        <v>50489589.909999996</v>
      </c>
      <c r="EO44" s="194"/>
      <c r="EQ44" s="36">
        <f t="shared" si="121"/>
        <v>45791222.140000001</v>
      </c>
      <c r="ER44" s="158">
        <f t="shared" si="117"/>
        <v>40459589.909999996</v>
      </c>
      <c r="ES44" s="169">
        <f t="shared" si="122"/>
        <v>1.1317767244270125</v>
      </c>
      <c r="ET44" s="36"/>
    </row>
    <row r="45" spans="1:150" s="5" customFormat="1" ht="12.75" x14ac:dyDescent="0.2">
      <c r="A45" s="217"/>
      <c r="B45" s="15" t="s">
        <v>117</v>
      </c>
      <c r="C45" s="1" t="s">
        <v>13</v>
      </c>
      <c r="D45" s="2">
        <v>42491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79">
        <v>1237091.7</v>
      </c>
      <c r="AT45" s="79">
        <v>583780.80000000005</v>
      </c>
      <c r="AU45" s="50"/>
      <c r="AV45" s="10">
        <v>0</v>
      </c>
      <c r="AW45" s="50"/>
      <c r="AX45" s="79">
        <v>95127.85</v>
      </c>
      <c r="AY45" s="10">
        <f t="shared" si="123"/>
        <v>1916000.35</v>
      </c>
      <c r="AZ45" s="79">
        <v>1190667.49</v>
      </c>
      <c r="BA45" s="79">
        <v>529435.34</v>
      </c>
      <c r="BB45" s="50"/>
      <c r="BC45" s="10">
        <v>0</v>
      </c>
      <c r="BD45" s="50"/>
      <c r="BE45" s="79">
        <v>88336.4</v>
      </c>
      <c r="BF45" s="10">
        <f>[29]cobranças!BF12</f>
        <v>1808439.23</v>
      </c>
      <c r="BG45" s="10">
        <v>1849132.62</v>
      </c>
      <c r="BH45" s="10">
        <v>719760.78</v>
      </c>
      <c r="BI45" s="10">
        <v>0</v>
      </c>
      <c r="BJ45" s="10">
        <v>0</v>
      </c>
      <c r="BK45" s="10">
        <v>0</v>
      </c>
      <c r="BL45" s="10">
        <v>107192.19</v>
      </c>
      <c r="BM45" s="10">
        <f t="shared" si="116"/>
        <v>2676085.5900000003</v>
      </c>
      <c r="BN45" s="14" t="s">
        <v>11</v>
      </c>
      <c r="BO45" s="14" t="s">
        <v>11</v>
      </c>
      <c r="BP45" s="14">
        <v>0</v>
      </c>
      <c r="BQ45" s="14">
        <v>0</v>
      </c>
      <c r="BR45" s="14">
        <v>0</v>
      </c>
      <c r="BS45" s="14" t="s">
        <v>11</v>
      </c>
      <c r="BT45" s="10">
        <f>[29]cobranças!BT12</f>
        <v>2580220.87</v>
      </c>
      <c r="BU45" s="10">
        <v>1773885.43</v>
      </c>
      <c r="BV45" s="10">
        <v>658702.81999999995</v>
      </c>
      <c r="BW45" s="10">
        <v>0</v>
      </c>
      <c r="BX45" s="10">
        <v>0</v>
      </c>
      <c r="BY45" s="10">
        <v>0</v>
      </c>
      <c r="BZ45" s="10">
        <v>118013.45</v>
      </c>
      <c r="CA45" s="10">
        <f t="shared" si="61"/>
        <v>2550601.7000000002</v>
      </c>
      <c r="CB45" s="14" t="s">
        <v>11</v>
      </c>
      <c r="CC45" s="14" t="s">
        <v>11</v>
      </c>
      <c r="CD45" s="14">
        <v>0</v>
      </c>
      <c r="CE45" s="14">
        <v>0</v>
      </c>
      <c r="CF45" s="14">
        <v>0</v>
      </c>
      <c r="CG45" s="14" t="s">
        <v>11</v>
      </c>
      <c r="CH45" s="10">
        <f>[29]cobranças!CH12</f>
        <v>2458092.44</v>
      </c>
      <c r="CI45" s="10">
        <v>1582934.09</v>
      </c>
      <c r="CJ45" s="10">
        <v>1246884.32</v>
      </c>
      <c r="CK45" s="10">
        <v>30317</v>
      </c>
      <c r="CL45" s="10">
        <v>0</v>
      </c>
      <c r="CM45" s="10">
        <v>0</v>
      </c>
      <c r="CN45" s="10">
        <v>272329.87</v>
      </c>
      <c r="CO45" s="10">
        <f t="shared" si="118"/>
        <v>3132465.2800000003</v>
      </c>
      <c r="CP45" s="14" t="s">
        <v>11</v>
      </c>
      <c r="CQ45" s="14" t="s">
        <v>11</v>
      </c>
      <c r="CR45" s="14" t="s">
        <v>11</v>
      </c>
      <c r="CS45" s="14">
        <v>0</v>
      </c>
      <c r="CT45" s="14">
        <v>0</v>
      </c>
      <c r="CU45" s="14" t="s">
        <v>11</v>
      </c>
      <c r="CV45" s="10">
        <f>[29]cobranças!CI12</f>
        <v>2583008.62</v>
      </c>
      <c r="CW45" s="10"/>
      <c r="CX45" s="10"/>
      <c r="CY45" s="10"/>
      <c r="CZ45" s="10"/>
      <c r="DA45" s="10"/>
      <c r="DB45" s="10"/>
      <c r="DC45" s="10">
        <f>[30]Indicadores!$G$21</f>
        <v>3768764.16</v>
      </c>
      <c r="DD45" s="10"/>
      <c r="DE45" s="10"/>
      <c r="DF45" s="10"/>
      <c r="DG45" s="10"/>
      <c r="DH45" s="10"/>
      <c r="DI45" s="10"/>
      <c r="DJ45" s="10">
        <f>[31]Planilha1!$N$20</f>
        <v>2916061.5600000005</v>
      </c>
      <c r="DK45" s="10"/>
      <c r="DL45" s="10"/>
      <c r="DM45" s="10"/>
      <c r="DN45" s="10"/>
      <c r="DO45" s="10"/>
      <c r="DP45" s="10"/>
      <c r="DQ45" s="10">
        <f>[32]SP!DK12</f>
        <v>4286338.0199999996</v>
      </c>
      <c r="DR45" s="10"/>
      <c r="DS45" s="10"/>
      <c r="DT45" s="10"/>
      <c r="DU45" s="10"/>
      <c r="DV45" s="10"/>
      <c r="DW45" s="10"/>
      <c r="DX45" s="10">
        <f>[32]SP!DR12</f>
        <v>3478373.71</v>
      </c>
      <c r="DY45" s="10"/>
      <c r="DZ45" s="10"/>
      <c r="EA45" s="10"/>
      <c r="EB45" s="10"/>
      <c r="EC45" s="10"/>
      <c r="ED45" s="10"/>
      <c r="EE45" s="168">
        <f t="shared" si="124"/>
        <v>6417363.0366139235</v>
      </c>
      <c r="EF45" s="10"/>
      <c r="EG45" s="10"/>
      <c r="EH45" s="10"/>
      <c r="EI45" s="10"/>
      <c r="EJ45" s="10"/>
      <c r="EK45" s="10"/>
      <c r="EL45" s="10">
        <f>5.54*1000000</f>
        <v>5540000</v>
      </c>
      <c r="EM45" s="151">
        <f t="shared" si="119"/>
        <v>24747618.136613924</v>
      </c>
      <c r="EN45" s="151">
        <f t="shared" si="120"/>
        <v>21364196.43</v>
      </c>
      <c r="EO45" s="194"/>
      <c r="EQ45" s="36">
        <f t="shared" si="121"/>
        <v>18330255.100000001</v>
      </c>
      <c r="ER45" s="158">
        <f t="shared" si="117"/>
        <v>15824196.43</v>
      </c>
      <c r="ES45" s="169">
        <f t="shared" si="122"/>
        <v>1.1583687791721884</v>
      </c>
      <c r="ET45" s="36"/>
    </row>
    <row r="46" spans="1:150" s="5" customFormat="1" ht="12.75" x14ac:dyDescent="0.2">
      <c r="A46" s="217"/>
      <c r="B46" s="15" t="s">
        <v>118</v>
      </c>
      <c r="C46" s="1" t="s">
        <v>13</v>
      </c>
      <c r="D46" s="2">
        <v>42583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79">
        <v>106089.25</v>
      </c>
      <c r="AT46" s="79">
        <v>109030.27</v>
      </c>
      <c r="AU46" s="50"/>
      <c r="AV46" s="10">
        <v>0</v>
      </c>
      <c r="AW46" s="50"/>
      <c r="AX46" s="79">
        <v>21279.22</v>
      </c>
      <c r="AY46" s="10">
        <f t="shared" si="123"/>
        <v>236398.74000000002</v>
      </c>
      <c r="AZ46" s="75" t="s">
        <v>11</v>
      </c>
      <c r="BA46" s="75" t="s">
        <v>11</v>
      </c>
      <c r="BB46" s="50"/>
      <c r="BC46" s="10">
        <v>0</v>
      </c>
      <c r="BD46" s="50"/>
      <c r="BE46" s="75" t="s">
        <v>11</v>
      </c>
      <c r="BF46" s="10">
        <f>[29]cobranças!BF13</f>
        <v>187866.43</v>
      </c>
      <c r="BG46" s="10">
        <v>280375.18</v>
      </c>
      <c r="BH46" s="10">
        <v>385198.36</v>
      </c>
      <c r="BI46" s="10">
        <v>0</v>
      </c>
      <c r="BJ46" s="10">
        <v>0</v>
      </c>
      <c r="BK46" s="10">
        <v>0</v>
      </c>
      <c r="BL46" s="10">
        <v>34794.050000000003</v>
      </c>
      <c r="BM46" s="10">
        <f t="shared" si="116"/>
        <v>700367.59000000008</v>
      </c>
      <c r="BN46" s="14" t="s">
        <v>11</v>
      </c>
      <c r="BO46" s="14" t="s">
        <v>11</v>
      </c>
      <c r="BP46" s="14">
        <v>0</v>
      </c>
      <c r="BQ46" s="14">
        <v>0</v>
      </c>
      <c r="BR46" s="14">
        <v>0</v>
      </c>
      <c r="BS46" s="14" t="s">
        <v>11</v>
      </c>
      <c r="BT46" s="10">
        <f>[29]cobranças!BT13</f>
        <v>680363.18</v>
      </c>
      <c r="BU46" s="10">
        <v>4620906</v>
      </c>
      <c r="BV46" s="10">
        <v>276672.96000000002</v>
      </c>
      <c r="BW46" s="10">
        <v>0</v>
      </c>
      <c r="BX46" s="10">
        <v>0</v>
      </c>
      <c r="BY46" s="10">
        <v>0</v>
      </c>
      <c r="BZ46" s="10">
        <v>55262.210000000014</v>
      </c>
      <c r="CA46" s="10">
        <f t="shared" si="61"/>
        <v>4952841.17</v>
      </c>
      <c r="CB46" s="14" t="s">
        <v>11</v>
      </c>
      <c r="CC46" s="14" t="s">
        <v>11</v>
      </c>
      <c r="CD46" s="14">
        <v>0</v>
      </c>
      <c r="CE46" s="14">
        <v>0</v>
      </c>
      <c r="CF46" s="14">
        <v>0</v>
      </c>
      <c r="CG46" s="14" t="s">
        <v>11</v>
      </c>
      <c r="CH46" s="10">
        <f>[29]cobranças!CH13</f>
        <v>2835016.84</v>
      </c>
      <c r="CI46" s="10">
        <v>5278972.84</v>
      </c>
      <c r="CJ46" s="10">
        <v>527088.57999999996</v>
      </c>
      <c r="CK46" s="10">
        <v>0</v>
      </c>
      <c r="CL46" s="10">
        <v>0</v>
      </c>
      <c r="CM46" s="10">
        <v>0</v>
      </c>
      <c r="CN46" s="10">
        <v>56025.23</v>
      </c>
      <c r="CO46" s="10">
        <f t="shared" si="118"/>
        <v>5862086.6500000004</v>
      </c>
      <c r="CP46" s="14" t="s">
        <v>11</v>
      </c>
      <c r="CQ46" s="14" t="s">
        <v>11</v>
      </c>
      <c r="CR46" s="14" t="s">
        <v>11</v>
      </c>
      <c r="CS46" s="14">
        <v>0</v>
      </c>
      <c r="CT46" s="14">
        <v>0</v>
      </c>
      <c r="CU46" s="14" t="s">
        <v>11</v>
      </c>
      <c r="CV46" s="10">
        <f>[29]cobranças!CI13</f>
        <v>8028338.9299999997</v>
      </c>
      <c r="CW46" s="10"/>
      <c r="CX46" s="10"/>
      <c r="CY46" s="10"/>
      <c r="CZ46" s="10"/>
      <c r="DA46" s="10"/>
      <c r="DB46" s="10"/>
      <c r="DC46" s="10">
        <f>[30]Indicadores!$G$17</f>
        <v>6227038.5</v>
      </c>
      <c r="DD46" s="10"/>
      <c r="DE46" s="10"/>
      <c r="DF46" s="10"/>
      <c r="DG46" s="10"/>
      <c r="DH46" s="10"/>
      <c r="DI46" s="10"/>
      <c r="DJ46" s="10">
        <f>[31]Planilha1!$N$15</f>
        <v>6237785.5099999998</v>
      </c>
      <c r="DK46" s="10"/>
      <c r="DL46" s="10"/>
      <c r="DM46" s="10"/>
      <c r="DN46" s="10"/>
      <c r="DO46" s="10"/>
      <c r="DP46" s="10"/>
      <c r="DQ46" s="10">
        <f>[32]SP!DK13</f>
        <v>6839683.5199999996</v>
      </c>
      <c r="DR46" s="10"/>
      <c r="DS46" s="10"/>
      <c r="DT46" s="10"/>
      <c r="DU46" s="10"/>
      <c r="DV46" s="10"/>
      <c r="DW46" s="10"/>
      <c r="DX46" s="10">
        <f>[32]SP!DR13</f>
        <v>6823483.0200000023</v>
      </c>
      <c r="DY46" s="10"/>
      <c r="DZ46" s="10"/>
      <c r="EA46" s="10"/>
      <c r="EB46" s="10"/>
      <c r="EC46" s="10"/>
      <c r="ED46" s="10"/>
      <c r="EE46" s="168">
        <f t="shared" si="124"/>
        <v>7107320.3370075421</v>
      </c>
      <c r="EF46" s="10"/>
      <c r="EG46" s="10"/>
      <c r="EH46" s="10"/>
      <c r="EI46" s="10"/>
      <c r="EJ46" s="10"/>
      <c r="EK46" s="10"/>
      <c r="EL46" s="10">
        <f>7.1*1000000</f>
        <v>7100000</v>
      </c>
      <c r="EM46" s="151">
        <f t="shared" si="119"/>
        <v>31925736.507007539</v>
      </c>
      <c r="EN46" s="151">
        <f t="shared" si="120"/>
        <v>31892853.910000004</v>
      </c>
      <c r="EO46" s="194"/>
      <c r="EQ46" s="36">
        <f t="shared" si="121"/>
        <v>24818416.169999998</v>
      </c>
      <c r="ER46" s="158">
        <f t="shared" si="117"/>
        <v>24792853.910000004</v>
      </c>
      <c r="ES46" s="169">
        <f t="shared" si="122"/>
        <v>1.0010310333813439</v>
      </c>
      <c r="ET46" s="36"/>
    </row>
    <row r="47" spans="1:150" s="5" customFormat="1" ht="12.75" x14ac:dyDescent="0.2">
      <c r="A47" s="217"/>
      <c r="B47" s="15" t="s">
        <v>140</v>
      </c>
      <c r="C47" s="1" t="s">
        <v>13</v>
      </c>
      <c r="D47" s="2">
        <v>42948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10">
        <v>753253.08</v>
      </c>
      <c r="BH47" s="10">
        <v>288066.94</v>
      </c>
      <c r="BI47" s="10">
        <v>0</v>
      </c>
      <c r="BJ47" s="10">
        <v>0</v>
      </c>
      <c r="BK47" s="10">
        <v>0</v>
      </c>
      <c r="BL47" s="10">
        <v>69535.02</v>
      </c>
      <c r="BM47" s="10">
        <f t="shared" si="116"/>
        <v>1110855.04</v>
      </c>
      <c r="BN47" s="10">
        <v>651330.21</v>
      </c>
      <c r="BO47" s="10">
        <v>288066.94</v>
      </c>
      <c r="BP47" s="10">
        <v>0</v>
      </c>
      <c r="BQ47" s="10">
        <v>0</v>
      </c>
      <c r="BR47" s="10">
        <v>0</v>
      </c>
      <c r="BS47" s="10">
        <v>5112.7</v>
      </c>
      <c r="BT47" s="10">
        <f>[29]cobranças!BT14</f>
        <v>944509.85</v>
      </c>
      <c r="BU47" s="10">
        <v>2743081.12</v>
      </c>
      <c r="BV47" s="10">
        <v>1993884.95</v>
      </c>
      <c r="BW47" s="10">
        <v>8257.9</v>
      </c>
      <c r="BX47" s="10">
        <v>0</v>
      </c>
      <c r="BY47" s="10">
        <v>0</v>
      </c>
      <c r="BZ47" s="10">
        <v>494294.1</v>
      </c>
      <c r="CA47" s="10">
        <f t="shared" si="61"/>
        <v>5239518.07</v>
      </c>
      <c r="CB47" s="14" t="s">
        <v>11</v>
      </c>
      <c r="CC47" s="14" t="s">
        <v>11</v>
      </c>
      <c r="CD47" s="14">
        <v>0</v>
      </c>
      <c r="CE47" s="14">
        <v>0</v>
      </c>
      <c r="CF47" s="14">
        <v>0</v>
      </c>
      <c r="CG47" s="14" t="s">
        <v>11</v>
      </c>
      <c r="CH47" s="10">
        <f>[29]cobranças!CH14</f>
        <v>2987407.46</v>
      </c>
      <c r="CI47" s="10">
        <v>5145146</v>
      </c>
      <c r="CJ47" s="10">
        <v>1933187</v>
      </c>
      <c r="CK47" s="10">
        <v>18164</v>
      </c>
      <c r="CL47" s="10">
        <v>0</v>
      </c>
      <c r="CM47" s="10">
        <v>0</v>
      </c>
      <c r="CN47" s="10">
        <v>506094</v>
      </c>
      <c r="CO47" s="10">
        <f t="shared" si="118"/>
        <v>7602591</v>
      </c>
      <c r="CP47" s="14" t="s">
        <v>11</v>
      </c>
      <c r="CQ47" s="14" t="s">
        <v>11</v>
      </c>
      <c r="CR47" s="14" t="s">
        <v>11</v>
      </c>
      <c r="CS47" s="14">
        <v>0</v>
      </c>
      <c r="CT47" s="14">
        <v>0</v>
      </c>
      <c r="CU47" s="14" t="s">
        <v>11</v>
      </c>
      <c r="CV47" s="10">
        <f>[29]cobranças!CI14</f>
        <v>4854379.05</v>
      </c>
      <c r="CW47" s="10"/>
      <c r="CX47" s="10"/>
      <c r="CY47" s="10"/>
      <c r="CZ47" s="10"/>
      <c r="DA47" s="10"/>
      <c r="DB47" s="10"/>
      <c r="DC47" s="10">
        <f>[30]Indicadores!$G$14</f>
        <v>7205503.3799999999</v>
      </c>
      <c r="DD47" s="10"/>
      <c r="DE47" s="10"/>
      <c r="DF47" s="10"/>
      <c r="DG47" s="10"/>
      <c r="DH47" s="10"/>
      <c r="DI47" s="10"/>
      <c r="DJ47" s="10">
        <f>[31]Planilha1!$N$11</f>
        <v>7558215.8599999994</v>
      </c>
      <c r="DK47" s="10"/>
      <c r="DL47" s="10"/>
      <c r="DM47" s="10"/>
      <c r="DN47" s="10"/>
      <c r="DO47" s="10"/>
      <c r="DP47" s="10"/>
      <c r="DQ47" s="10">
        <f>[32]SP!DK14</f>
        <v>7517108.1399999997</v>
      </c>
      <c r="DR47" s="10"/>
      <c r="DS47" s="10"/>
      <c r="DT47" s="10"/>
      <c r="DU47" s="10"/>
      <c r="DV47" s="10"/>
      <c r="DW47" s="10"/>
      <c r="DX47" s="10">
        <f>[32]SP!DR14</f>
        <v>7062279.6899999995</v>
      </c>
      <c r="DY47" s="10"/>
      <c r="DZ47" s="10"/>
      <c r="EA47" s="10"/>
      <c r="EB47" s="10"/>
      <c r="EC47" s="10"/>
      <c r="ED47" s="10"/>
      <c r="EE47" s="168">
        <f t="shared" si="124"/>
        <v>8097886.9570469055</v>
      </c>
      <c r="EF47" s="10"/>
      <c r="EG47" s="10"/>
      <c r="EH47" s="10"/>
      <c r="EI47" s="10"/>
      <c r="EJ47" s="10"/>
      <c r="EK47" s="10"/>
      <c r="EL47" s="10">
        <f>6.61*1000000</f>
        <v>6610000</v>
      </c>
      <c r="EM47" s="151">
        <f t="shared" si="119"/>
        <v>36773462.587046906</v>
      </c>
      <c r="EN47" s="151">
        <f t="shared" si="120"/>
        <v>30016791.909999996</v>
      </c>
      <c r="EO47" s="194"/>
      <c r="EQ47" s="36">
        <f t="shared" si="121"/>
        <v>28675575.629999999</v>
      </c>
      <c r="ER47" s="158">
        <f t="shared" si="117"/>
        <v>23406791.909999996</v>
      </c>
      <c r="ES47" s="169">
        <f t="shared" si="122"/>
        <v>1.2250963626394713</v>
      </c>
      <c r="ET47" s="36"/>
    </row>
    <row r="48" spans="1:150" s="5" customFormat="1" ht="12.75" x14ac:dyDescent="0.2">
      <c r="A48" s="217"/>
      <c r="B48" s="15" t="s">
        <v>145</v>
      </c>
      <c r="C48" s="1" t="s">
        <v>13</v>
      </c>
      <c r="D48" s="2">
        <v>43009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10">
        <v>239157.81</v>
      </c>
      <c r="BH48" s="10">
        <v>174420.65</v>
      </c>
      <c r="BI48" s="10">
        <v>0</v>
      </c>
      <c r="BJ48" s="10">
        <v>0</v>
      </c>
      <c r="BK48" s="10">
        <v>0</v>
      </c>
      <c r="BL48" s="10">
        <v>12664.99</v>
      </c>
      <c r="BM48" s="10">
        <f t="shared" si="116"/>
        <v>426243.44999999995</v>
      </c>
      <c r="BN48" s="10">
        <v>102609.47</v>
      </c>
      <c r="BO48" s="10">
        <v>126753.32</v>
      </c>
      <c r="BP48" s="10">
        <v>0</v>
      </c>
      <c r="BQ48" s="10">
        <v>0</v>
      </c>
      <c r="BR48" s="10">
        <v>0</v>
      </c>
      <c r="BS48" s="10">
        <v>14596.72</v>
      </c>
      <c r="BT48" s="10">
        <f>[29]cobranças!BT15</f>
        <v>243959.51</v>
      </c>
      <c r="BU48" s="10">
        <v>1598244.09</v>
      </c>
      <c r="BV48" s="10">
        <v>1297311.07</v>
      </c>
      <c r="BW48" s="10">
        <v>199.14</v>
      </c>
      <c r="BX48" s="10">
        <v>0</v>
      </c>
      <c r="BY48" s="10">
        <v>0</v>
      </c>
      <c r="BZ48" s="10">
        <v>83282.2</v>
      </c>
      <c r="CA48" s="10">
        <f t="shared" si="61"/>
        <v>2979036.5000000005</v>
      </c>
      <c r="CB48" s="14" t="s">
        <v>11</v>
      </c>
      <c r="CC48" s="14" t="s">
        <v>11</v>
      </c>
      <c r="CD48" s="14">
        <v>0</v>
      </c>
      <c r="CE48" s="14">
        <v>0</v>
      </c>
      <c r="CF48" s="14">
        <v>0</v>
      </c>
      <c r="CG48" s="14" t="s">
        <v>11</v>
      </c>
      <c r="CH48" s="10">
        <f>[29]cobranças!CH15</f>
        <v>1800649.86</v>
      </c>
      <c r="CI48" s="10">
        <v>1767482</v>
      </c>
      <c r="CJ48" s="10">
        <v>1515955</v>
      </c>
      <c r="CK48" s="10">
        <v>248</v>
      </c>
      <c r="CL48" s="10">
        <v>0</v>
      </c>
      <c r="CM48" s="10">
        <v>0</v>
      </c>
      <c r="CN48" s="10">
        <v>120818</v>
      </c>
      <c r="CO48" s="10">
        <f t="shared" si="118"/>
        <v>3404503</v>
      </c>
      <c r="CP48" s="14" t="s">
        <v>11</v>
      </c>
      <c r="CQ48" s="14" t="s">
        <v>11</v>
      </c>
      <c r="CR48" s="14" t="s">
        <v>11</v>
      </c>
      <c r="CS48" s="14">
        <v>0</v>
      </c>
      <c r="CT48" s="14">
        <v>0</v>
      </c>
      <c r="CU48" s="14" t="s">
        <v>11</v>
      </c>
      <c r="CV48" s="10">
        <f>[29]cobranças!CI15</f>
        <v>1612024.74</v>
      </c>
      <c r="CW48" s="10"/>
      <c r="CX48" s="10"/>
      <c r="CY48" s="10"/>
      <c r="CZ48" s="10"/>
      <c r="DA48" s="10"/>
      <c r="DB48" s="10"/>
      <c r="DC48" s="10">
        <f>[30]Indicadores!$G$8</f>
        <v>3468880.34</v>
      </c>
      <c r="DD48" s="10"/>
      <c r="DE48" s="10"/>
      <c r="DF48" s="10"/>
      <c r="DG48" s="10"/>
      <c r="DH48" s="10"/>
      <c r="DI48" s="10"/>
      <c r="DJ48" s="10">
        <f>[31]Planilha1!$N$5</f>
        <v>2824348.34</v>
      </c>
      <c r="DK48" s="10"/>
      <c r="DL48" s="10"/>
      <c r="DM48" s="10"/>
      <c r="DN48" s="10"/>
      <c r="DO48" s="10"/>
      <c r="DP48" s="10"/>
      <c r="DQ48" s="10">
        <f>[32]SP!DK15</f>
        <v>3850898.59</v>
      </c>
      <c r="DR48" s="10"/>
      <c r="DS48" s="10"/>
      <c r="DT48" s="10"/>
      <c r="DU48" s="10"/>
      <c r="DV48" s="10"/>
      <c r="DW48" s="10"/>
      <c r="DX48" s="10">
        <f>[32]SP!DR15</f>
        <v>3993982.8000000003</v>
      </c>
      <c r="DY48" s="10"/>
      <c r="DZ48" s="10"/>
      <c r="EA48" s="10"/>
      <c r="EB48" s="10"/>
      <c r="EC48" s="10"/>
      <c r="ED48" s="10"/>
      <c r="EE48" s="168">
        <f t="shared" si="124"/>
        <v>2508932.9147702898</v>
      </c>
      <c r="EF48" s="10"/>
      <c r="EG48" s="10"/>
      <c r="EH48" s="10"/>
      <c r="EI48" s="10"/>
      <c r="EJ48" s="10"/>
      <c r="EK48" s="10"/>
      <c r="EL48" s="10">
        <f>1.86*1000000</f>
        <v>1860000</v>
      </c>
      <c r="EM48" s="151">
        <f t="shared" si="119"/>
        <v>16638494.794770289</v>
      </c>
      <c r="EN48" s="151">
        <f t="shared" si="120"/>
        <v>12334965.25</v>
      </c>
      <c r="EO48" s="194"/>
      <c r="EQ48" s="36">
        <f t="shared" si="121"/>
        <v>14129561.879999999</v>
      </c>
      <c r="ER48" s="158">
        <f t="shared" si="117"/>
        <v>10474965.25</v>
      </c>
      <c r="ES48" s="169">
        <f>EQ48/ER48</f>
        <v>1.3488886638549946</v>
      </c>
      <c r="ET48" s="36"/>
    </row>
    <row r="49" spans="1:150" s="5" customFormat="1" ht="12.75" x14ac:dyDescent="0.2">
      <c r="A49" s="217"/>
      <c r="B49" s="15" t="s">
        <v>141</v>
      </c>
      <c r="C49" s="1" t="s">
        <v>13</v>
      </c>
      <c r="D49" s="2">
        <v>43009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10">
        <v>245075.5</v>
      </c>
      <c r="BH49" s="10">
        <v>66370.91</v>
      </c>
      <c r="BI49" s="10">
        <v>0</v>
      </c>
      <c r="BJ49" s="10">
        <v>0</v>
      </c>
      <c r="BK49" s="10">
        <v>0</v>
      </c>
      <c r="BL49" s="10">
        <v>24544.36</v>
      </c>
      <c r="BM49" s="10">
        <f t="shared" si="116"/>
        <v>335990.77</v>
      </c>
      <c r="BN49" s="10">
        <v>188168.01</v>
      </c>
      <c r="BO49" s="10">
        <v>49472.57</v>
      </c>
      <c r="BP49" s="10">
        <v>0</v>
      </c>
      <c r="BQ49" s="10">
        <v>0</v>
      </c>
      <c r="BR49" s="10">
        <v>0</v>
      </c>
      <c r="BS49" s="10">
        <v>32048.25</v>
      </c>
      <c r="BT49" s="10">
        <f>[29]cobranças!BT16</f>
        <v>269688.83</v>
      </c>
      <c r="BU49" s="10">
        <v>1507457</v>
      </c>
      <c r="BV49" s="10">
        <v>617932.80000000005</v>
      </c>
      <c r="BW49" s="10">
        <v>0</v>
      </c>
      <c r="BX49" s="10">
        <v>0</v>
      </c>
      <c r="BY49" s="10">
        <v>0</v>
      </c>
      <c r="BZ49" s="10">
        <v>125504.73</v>
      </c>
      <c r="CA49" s="10">
        <f t="shared" si="61"/>
        <v>2250894.5299999998</v>
      </c>
      <c r="CB49" s="14" t="s">
        <v>11</v>
      </c>
      <c r="CC49" s="14" t="s">
        <v>11</v>
      </c>
      <c r="CD49" s="14">
        <v>0</v>
      </c>
      <c r="CE49" s="14">
        <v>0</v>
      </c>
      <c r="CF49" s="14">
        <v>0</v>
      </c>
      <c r="CG49" s="14" t="s">
        <v>11</v>
      </c>
      <c r="CH49" s="10">
        <f>[29]cobranças!CH16</f>
        <v>1151996.78</v>
      </c>
      <c r="CI49" s="10">
        <v>1606530</v>
      </c>
      <c r="CJ49" s="10">
        <v>447995</v>
      </c>
      <c r="CK49" s="10">
        <v>0</v>
      </c>
      <c r="CL49" s="10">
        <v>0</v>
      </c>
      <c r="CM49" s="10">
        <v>0</v>
      </c>
      <c r="CN49" s="10">
        <v>205630</v>
      </c>
      <c r="CO49" s="10">
        <f t="shared" si="118"/>
        <v>2260155</v>
      </c>
      <c r="CP49" s="14" t="s">
        <v>11</v>
      </c>
      <c r="CQ49" s="14" t="s">
        <v>11</v>
      </c>
      <c r="CR49" s="14" t="s">
        <v>11</v>
      </c>
      <c r="CS49" s="14">
        <v>0</v>
      </c>
      <c r="CT49" s="14">
        <v>0</v>
      </c>
      <c r="CU49" s="14" t="s">
        <v>11</v>
      </c>
      <c r="CV49" s="10">
        <f>[29]cobranças!CI16</f>
        <v>1480809.38</v>
      </c>
      <c r="CW49" s="10"/>
      <c r="CX49" s="10"/>
      <c r="CY49" s="10"/>
      <c r="CZ49" s="10"/>
      <c r="DA49" s="10"/>
      <c r="DB49" s="10"/>
      <c r="DC49" s="10">
        <f>[30]Indicadores!$G$20</f>
        <v>2678008.27</v>
      </c>
      <c r="DD49" s="10"/>
      <c r="DE49" s="10"/>
      <c r="DF49" s="10"/>
      <c r="DG49" s="10"/>
      <c r="DH49" s="10"/>
      <c r="DI49" s="10"/>
      <c r="DJ49" s="10">
        <f>[31]Planilha1!$N$18</f>
        <v>2506115.58</v>
      </c>
      <c r="DK49" s="10"/>
      <c r="DL49" s="10"/>
      <c r="DM49" s="10"/>
      <c r="DN49" s="10"/>
      <c r="DO49" s="10"/>
      <c r="DP49" s="10"/>
      <c r="DQ49" s="10">
        <f>[32]SP!DK16</f>
        <v>3139270.84</v>
      </c>
      <c r="DR49" s="10"/>
      <c r="DS49" s="10"/>
      <c r="DT49" s="10"/>
      <c r="DU49" s="10"/>
      <c r="DV49" s="10"/>
      <c r="DW49" s="10"/>
      <c r="DX49" s="10">
        <f>[32]SP!DR16</f>
        <v>2487433.7799999993</v>
      </c>
      <c r="DY49" s="10"/>
      <c r="DZ49" s="10"/>
      <c r="EA49" s="10"/>
      <c r="EB49" s="10"/>
      <c r="EC49" s="10"/>
      <c r="ED49" s="10"/>
      <c r="EE49" s="168">
        <f t="shared" si="124"/>
        <v>3187392.6604274968</v>
      </c>
      <c r="EF49" s="10"/>
      <c r="EG49" s="10"/>
      <c r="EH49" s="10"/>
      <c r="EI49" s="10"/>
      <c r="EJ49" s="10"/>
      <c r="EK49" s="10"/>
      <c r="EL49" s="10">
        <f>2.36*1000000</f>
        <v>2360000</v>
      </c>
      <c r="EM49" s="151">
        <f t="shared" si="119"/>
        <v>13851712.070427496</v>
      </c>
      <c r="EN49" s="151">
        <f t="shared" si="120"/>
        <v>10256044.35</v>
      </c>
      <c r="EO49" s="194"/>
      <c r="EQ49" s="36">
        <f t="shared" si="121"/>
        <v>10664319.41</v>
      </c>
      <c r="ER49" s="158">
        <f t="shared" si="117"/>
        <v>7896044.3499999996</v>
      </c>
      <c r="ES49" s="169">
        <f t="shared" si="122"/>
        <v>1.3505901103506341</v>
      </c>
      <c r="ET49" s="36"/>
    </row>
    <row r="50" spans="1:150" s="5" customFormat="1" ht="12.75" x14ac:dyDescent="0.2">
      <c r="A50" s="217"/>
      <c r="B50" s="15" t="s">
        <v>142</v>
      </c>
      <c r="C50" s="1" t="s">
        <v>13</v>
      </c>
      <c r="D50" s="2">
        <v>43040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f t="shared" si="116"/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f>[29]cobranças!BT17</f>
        <v>0</v>
      </c>
      <c r="BU50" s="10">
        <v>3175745.09</v>
      </c>
      <c r="BV50" s="10">
        <v>4609105.5</v>
      </c>
      <c r="BW50" s="10">
        <v>119219.43</v>
      </c>
      <c r="BX50" s="10">
        <v>0</v>
      </c>
      <c r="BY50" s="10">
        <v>0</v>
      </c>
      <c r="BZ50" s="10">
        <v>382444.29</v>
      </c>
      <c r="CA50" s="10">
        <f t="shared" si="61"/>
        <v>8286514.3099999996</v>
      </c>
      <c r="CB50" s="14" t="s">
        <v>11</v>
      </c>
      <c r="CC50" s="14" t="s">
        <v>11</v>
      </c>
      <c r="CD50" s="14">
        <v>0</v>
      </c>
      <c r="CE50" s="14">
        <v>0</v>
      </c>
      <c r="CF50" s="14">
        <v>0</v>
      </c>
      <c r="CG50" s="14" t="s">
        <v>11</v>
      </c>
      <c r="CH50" s="10">
        <f>[29]cobranças!CH17</f>
        <v>4939317.87</v>
      </c>
      <c r="CI50" s="10">
        <v>4330678</v>
      </c>
      <c r="CJ50" s="10">
        <v>3176900</v>
      </c>
      <c r="CK50" s="10">
        <v>136607</v>
      </c>
      <c r="CL50" s="10">
        <v>0</v>
      </c>
      <c r="CM50" s="10">
        <v>0</v>
      </c>
      <c r="CN50" s="10">
        <v>420153</v>
      </c>
      <c r="CO50" s="10">
        <f t="shared" si="118"/>
        <v>8064338</v>
      </c>
      <c r="CP50" s="14" t="s">
        <v>11</v>
      </c>
      <c r="CQ50" s="14" t="s">
        <v>11</v>
      </c>
      <c r="CR50" s="14" t="s">
        <v>11</v>
      </c>
      <c r="CS50" s="14">
        <v>0</v>
      </c>
      <c r="CT50" s="14">
        <v>0</v>
      </c>
      <c r="CU50" s="14" t="s">
        <v>11</v>
      </c>
      <c r="CV50" s="10">
        <f>[29]cobranças!CI17</f>
        <v>4847682.32</v>
      </c>
      <c r="CW50" s="10"/>
      <c r="CX50" s="10"/>
      <c r="CY50" s="10"/>
      <c r="CZ50" s="10"/>
      <c r="DA50" s="10"/>
      <c r="DB50" s="10"/>
      <c r="DC50" s="10">
        <f>[30]Indicadores!$G$12</f>
        <v>6825853.8600000003</v>
      </c>
      <c r="DD50" s="10"/>
      <c r="DE50" s="10"/>
      <c r="DF50" s="10"/>
      <c r="DG50" s="10"/>
      <c r="DH50" s="10"/>
      <c r="DI50" s="10"/>
      <c r="DJ50" s="10">
        <f>[31]Planilha1!$N$9</f>
        <v>6329968.7200000007</v>
      </c>
      <c r="DK50" s="10"/>
      <c r="DL50" s="10"/>
      <c r="DM50" s="10"/>
      <c r="DN50" s="10"/>
      <c r="DO50" s="10"/>
      <c r="DP50" s="10"/>
      <c r="DQ50" s="10">
        <f>[32]SP!DK17</f>
        <v>8122892.6200000001</v>
      </c>
      <c r="DR50" s="10"/>
      <c r="DS50" s="10"/>
      <c r="DT50" s="10"/>
      <c r="DU50" s="10"/>
      <c r="DV50" s="10"/>
      <c r="DW50" s="10"/>
      <c r="DX50" s="10">
        <f>[32]SP!DR17</f>
        <v>7181127.7399999965</v>
      </c>
      <c r="DY50" s="10"/>
      <c r="DZ50" s="10"/>
      <c r="EA50" s="10"/>
      <c r="EB50" s="10"/>
      <c r="EC50" s="10"/>
      <c r="ED50" s="10"/>
      <c r="EE50" s="168">
        <f t="shared" si="124"/>
        <v>7724780.9443910094</v>
      </c>
      <c r="EF50" s="10"/>
      <c r="EG50" s="10"/>
      <c r="EH50" s="10"/>
      <c r="EI50" s="10"/>
      <c r="EJ50" s="10"/>
      <c r="EK50" s="10"/>
      <c r="EL50" s="10">
        <f>5.75*1000000</f>
        <v>5750000</v>
      </c>
      <c r="EM50" s="151">
        <f t="shared" si="119"/>
        <v>39024379.734391011</v>
      </c>
      <c r="EN50" s="151">
        <f t="shared" si="120"/>
        <v>29048096.649999999</v>
      </c>
      <c r="EO50" s="194"/>
      <c r="EQ50" s="36">
        <f t="shared" si="121"/>
        <v>31299598.789999999</v>
      </c>
      <c r="ER50" s="158">
        <f t="shared" si="117"/>
        <v>23298096.649999999</v>
      </c>
      <c r="ES50" s="169">
        <f t="shared" si="122"/>
        <v>1.3434401642419147</v>
      </c>
      <c r="ET50" s="36"/>
    </row>
    <row r="51" spans="1:150" s="5" customFormat="1" ht="12.75" x14ac:dyDescent="0.2">
      <c r="A51" s="217"/>
      <c r="B51" s="15" t="s">
        <v>143</v>
      </c>
      <c r="C51" s="1" t="s">
        <v>13</v>
      </c>
      <c r="D51" s="2">
        <v>43101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10">
        <v>117842.88</v>
      </c>
      <c r="BV51" s="10">
        <v>1679.15</v>
      </c>
      <c r="BW51" s="10">
        <v>0</v>
      </c>
      <c r="BX51" s="10">
        <v>0</v>
      </c>
      <c r="BY51" s="10">
        <v>0</v>
      </c>
      <c r="BZ51" s="10">
        <v>13804.12</v>
      </c>
      <c r="CA51" s="10">
        <f t="shared" si="61"/>
        <v>133326.15</v>
      </c>
      <c r="CB51" s="14" t="s">
        <v>11</v>
      </c>
      <c r="CC51" s="14" t="s">
        <v>11</v>
      </c>
      <c r="CD51" s="14">
        <v>0</v>
      </c>
      <c r="CE51" s="14">
        <v>0</v>
      </c>
      <c r="CF51" s="14">
        <v>0</v>
      </c>
      <c r="CG51" s="14" t="s">
        <v>11</v>
      </c>
      <c r="CH51" s="10">
        <f>[29]cobranças!CH18</f>
        <v>122252.39</v>
      </c>
      <c r="CI51" s="10">
        <v>125877.62</v>
      </c>
      <c r="CJ51" s="10">
        <v>12706.57</v>
      </c>
      <c r="CK51" s="10">
        <v>0</v>
      </c>
      <c r="CL51" s="10">
        <v>0</v>
      </c>
      <c r="CM51" s="10">
        <v>0</v>
      </c>
      <c r="CN51" s="10">
        <v>29285.01</v>
      </c>
      <c r="CO51" s="10">
        <f t="shared" si="118"/>
        <v>167869.2</v>
      </c>
      <c r="CP51" s="14" t="s">
        <v>11</v>
      </c>
      <c r="CQ51" s="14" t="s">
        <v>11</v>
      </c>
      <c r="CR51" s="14" t="s">
        <v>11</v>
      </c>
      <c r="CS51" s="14">
        <v>0</v>
      </c>
      <c r="CT51" s="14">
        <v>0</v>
      </c>
      <c r="CU51" s="14" t="s">
        <v>11</v>
      </c>
      <c r="CV51" s="10">
        <f>[29]cobranças!CI18</f>
        <v>175814.38</v>
      </c>
      <c r="CW51" s="10"/>
      <c r="CX51" s="10"/>
      <c r="CY51" s="10"/>
      <c r="CZ51" s="10"/>
      <c r="DA51" s="10"/>
      <c r="DB51" s="10"/>
      <c r="DC51" s="10">
        <f>[30]Indicadores!$G$19</f>
        <v>171999.79</v>
      </c>
      <c r="DD51" s="10"/>
      <c r="DE51" s="10"/>
      <c r="DF51" s="10"/>
      <c r="DG51" s="10"/>
      <c r="DH51" s="10"/>
      <c r="DI51" s="10"/>
      <c r="DJ51" s="10">
        <f>[31]Planilha1!$N$17</f>
        <v>154571.47</v>
      </c>
      <c r="DK51" s="10"/>
      <c r="DL51" s="10"/>
      <c r="DM51" s="10"/>
      <c r="DN51" s="10"/>
      <c r="DO51" s="10"/>
      <c r="DP51" s="10"/>
      <c r="DQ51" s="10">
        <f>[32]SP!DK18</f>
        <v>176840.29</v>
      </c>
      <c r="DR51" s="10"/>
      <c r="DS51" s="10"/>
      <c r="DT51" s="10"/>
      <c r="DU51" s="10"/>
      <c r="DV51" s="10"/>
      <c r="DW51" s="10"/>
      <c r="DX51" s="10">
        <f>[32]SP!DR18</f>
        <v>170912.75999999998</v>
      </c>
      <c r="DY51" s="10"/>
      <c r="DZ51" s="10"/>
      <c r="EA51" s="10"/>
      <c r="EB51" s="10"/>
      <c r="EC51" s="10"/>
      <c r="ED51" s="10"/>
      <c r="EE51" s="168">
        <f t="shared" si="124"/>
        <v>187645.24056572758</v>
      </c>
      <c r="EF51" s="10"/>
      <c r="EG51" s="10"/>
      <c r="EH51" s="10"/>
      <c r="EI51" s="10"/>
      <c r="EJ51" s="10"/>
      <c r="EK51" s="10"/>
      <c r="EL51" s="10">
        <f>0.18*1000000</f>
        <v>180000</v>
      </c>
      <c r="EM51" s="151">
        <f t="shared" si="119"/>
        <v>837680.67056572763</v>
      </c>
      <c r="EN51" s="151">
        <f t="shared" si="120"/>
        <v>803551</v>
      </c>
      <c r="EO51" s="194"/>
      <c r="EQ51" s="36">
        <f t="shared" si="121"/>
        <v>650035.43000000005</v>
      </c>
      <c r="ER51" s="158">
        <f t="shared" si="117"/>
        <v>623551</v>
      </c>
      <c r="ES51" s="169">
        <f t="shared" si="122"/>
        <v>1.0424735586984866</v>
      </c>
      <c r="ET51" s="36"/>
    </row>
    <row r="52" spans="1:150" s="5" customFormat="1" ht="12.75" x14ac:dyDescent="0.2">
      <c r="A52" s="217"/>
      <c r="B52" s="15" t="s">
        <v>147</v>
      </c>
      <c r="C52" s="1" t="s">
        <v>13</v>
      </c>
      <c r="D52" s="2">
        <v>43191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10">
        <v>1804574.38</v>
      </c>
      <c r="BV52" s="10">
        <v>1067652.57</v>
      </c>
      <c r="BW52" s="10">
        <v>0</v>
      </c>
      <c r="BX52" s="10">
        <v>0</v>
      </c>
      <c r="BY52" s="10">
        <v>0</v>
      </c>
      <c r="BZ52" s="10">
        <v>338924.02</v>
      </c>
      <c r="CA52" s="10">
        <f t="shared" si="61"/>
        <v>3211150.97</v>
      </c>
      <c r="CB52" s="14" t="s">
        <v>11</v>
      </c>
      <c r="CC52" s="14" t="s">
        <v>11</v>
      </c>
      <c r="CD52" s="14">
        <v>0</v>
      </c>
      <c r="CE52" s="14">
        <v>0</v>
      </c>
      <c r="CF52" s="14">
        <v>0</v>
      </c>
      <c r="CG52" s="14" t="s">
        <v>11</v>
      </c>
      <c r="CH52" s="10">
        <f>[29]cobranças!CH19</f>
        <v>2719469.85</v>
      </c>
      <c r="CI52" s="10">
        <v>1711360</v>
      </c>
      <c r="CJ52" s="10">
        <v>1266544</v>
      </c>
      <c r="CK52" s="10">
        <v>0</v>
      </c>
      <c r="CL52" s="10">
        <v>0</v>
      </c>
      <c r="CM52" s="10">
        <v>0</v>
      </c>
      <c r="CN52" s="10">
        <v>339582</v>
      </c>
      <c r="CO52" s="10">
        <f t="shared" si="118"/>
        <v>3317486</v>
      </c>
      <c r="CP52" s="14" t="s">
        <v>11</v>
      </c>
      <c r="CQ52" s="14" t="s">
        <v>11</v>
      </c>
      <c r="CR52" s="14" t="s">
        <v>11</v>
      </c>
      <c r="CS52" s="14">
        <v>0</v>
      </c>
      <c r="CT52" s="14">
        <v>0</v>
      </c>
      <c r="CU52" s="14" t="s">
        <v>11</v>
      </c>
      <c r="CV52" s="10">
        <f>[29]cobranças!CI19</f>
        <v>3020709.4</v>
      </c>
      <c r="CW52" s="10"/>
      <c r="CX52" s="10"/>
      <c r="CY52" s="10"/>
      <c r="CZ52" s="10"/>
      <c r="DA52" s="10"/>
      <c r="DB52" s="10"/>
      <c r="DC52" s="10">
        <f>[30]Indicadores!$G$22</f>
        <v>4973326.74</v>
      </c>
      <c r="DD52" s="10"/>
      <c r="DE52" s="10"/>
      <c r="DF52" s="10"/>
      <c r="DG52" s="10"/>
      <c r="DH52" s="10"/>
      <c r="DI52" s="10"/>
      <c r="DJ52" s="10">
        <f>[31]Planilha1!$N$21</f>
        <v>4212387.2700000005</v>
      </c>
      <c r="DK52" s="10"/>
      <c r="DL52" s="10"/>
      <c r="DM52" s="10"/>
      <c r="DN52" s="10"/>
      <c r="DO52" s="10"/>
      <c r="DP52" s="10"/>
      <c r="DQ52" s="10">
        <f>[32]SP!DK19</f>
        <v>4875021.97</v>
      </c>
      <c r="DR52" s="10"/>
      <c r="DS52" s="10"/>
      <c r="DT52" s="10"/>
      <c r="DU52" s="10"/>
      <c r="DV52" s="10"/>
      <c r="DW52" s="10"/>
      <c r="DX52" s="10">
        <f>[32]SP!DR19</f>
        <v>5030752.379999998</v>
      </c>
      <c r="DY52" s="10">
        <v>3287447.77</v>
      </c>
      <c r="DZ52" s="10">
        <v>1746026.06</v>
      </c>
      <c r="EA52" s="10"/>
      <c r="EB52" s="10"/>
      <c r="EC52" s="10"/>
      <c r="ED52" s="10">
        <v>553751.98</v>
      </c>
      <c r="EE52" s="10">
        <f>SUM(DY52:ED52)</f>
        <v>5587225.8100000005</v>
      </c>
      <c r="EF52" s="10">
        <v>3254929.83</v>
      </c>
      <c r="EG52" s="10">
        <v>1699154.53</v>
      </c>
      <c r="EH52" s="10"/>
      <c r="EI52" s="10"/>
      <c r="EJ52" s="10"/>
      <c r="EK52" s="10">
        <v>440895.26</v>
      </c>
      <c r="EL52" s="10">
        <f>SUM(EF52:EK52)</f>
        <v>5394979.6200000001</v>
      </c>
      <c r="EM52" s="151">
        <f t="shared" si="119"/>
        <v>21964211.490000002</v>
      </c>
      <c r="EN52" s="151">
        <f t="shared" si="120"/>
        <v>20378298.52</v>
      </c>
      <c r="EO52" s="194"/>
      <c r="EQ52" s="36">
        <f t="shared" si="121"/>
        <v>16376985.68</v>
      </c>
      <c r="ER52" s="158">
        <f t="shared" si="117"/>
        <v>14983318.899999999</v>
      </c>
      <c r="ES52" s="169">
        <f t="shared" si="122"/>
        <v>1.0930145576758699</v>
      </c>
      <c r="ET52" s="36"/>
    </row>
    <row r="53" spans="1:150" s="5" customFormat="1" ht="12.75" x14ac:dyDescent="0.2">
      <c r="A53" s="217"/>
      <c r="B53" s="15" t="s">
        <v>148</v>
      </c>
      <c r="C53" s="1" t="s">
        <v>13</v>
      </c>
      <c r="D53" s="2">
        <v>43252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10">
        <v>230777.13</v>
      </c>
      <c r="BV53" s="10">
        <v>560054.17000000004</v>
      </c>
      <c r="BW53" s="10">
        <v>5383.35</v>
      </c>
      <c r="BX53" s="10">
        <v>0</v>
      </c>
      <c r="BY53" s="10">
        <v>0</v>
      </c>
      <c r="BZ53" s="10">
        <v>85649.63</v>
      </c>
      <c r="CA53" s="10">
        <f t="shared" si="61"/>
        <v>881864.28</v>
      </c>
      <c r="CB53" s="14" t="s">
        <v>11</v>
      </c>
      <c r="CC53" s="14" t="s">
        <v>11</v>
      </c>
      <c r="CD53" s="14">
        <v>0</v>
      </c>
      <c r="CE53" s="14">
        <v>0</v>
      </c>
      <c r="CF53" s="14">
        <v>0</v>
      </c>
      <c r="CG53" s="14" t="s">
        <v>11</v>
      </c>
      <c r="CH53" s="10">
        <f>[29]cobranças!CH20</f>
        <v>447657.21</v>
      </c>
      <c r="CI53" s="10">
        <v>473677.42</v>
      </c>
      <c r="CJ53" s="10">
        <v>791953.27</v>
      </c>
      <c r="CK53" s="10">
        <v>0</v>
      </c>
      <c r="CL53" s="10">
        <v>0</v>
      </c>
      <c r="CM53" s="10">
        <v>0</v>
      </c>
      <c r="CN53" s="10">
        <v>102921.63</v>
      </c>
      <c r="CO53" s="10">
        <f t="shared" si="118"/>
        <v>1368552.3199999998</v>
      </c>
      <c r="CP53" s="14" t="s">
        <v>11</v>
      </c>
      <c r="CQ53" s="14" t="s">
        <v>11</v>
      </c>
      <c r="CR53" s="14" t="s">
        <v>11</v>
      </c>
      <c r="CS53" s="14">
        <v>0</v>
      </c>
      <c r="CT53" s="14">
        <v>0</v>
      </c>
      <c r="CU53" s="14" t="s">
        <v>11</v>
      </c>
      <c r="CV53" s="10">
        <f>[29]cobranças!CI20</f>
        <v>1043107.4299999999</v>
      </c>
      <c r="CW53" s="10"/>
      <c r="CX53" s="10"/>
      <c r="CY53" s="10"/>
      <c r="CZ53" s="10"/>
      <c r="DA53" s="10"/>
      <c r="DB53" s="10"/>
      <c r="DC53" s="10">
        <f>[30]Indicadores!$G$15</f>
        <v>1307102.97</v>
      </c>
      <c r="DD53" s="10"/>
      <c r="DE53" s="10"/>
      <c r="DF53" s="10"/>
      <c r="DG53" s="10"/>
      <c r="DH53" s="10"/>
      <c r="DI53" s="10"/>
      <c r="DJ53" s="10">
        <f>[31]Planilha1!$N$13</f>
        <v>973079.88000000012</v>
      </c>
      <c r="DK53" s="10"/>
      <c r="DL53" s="10"/>
      <c r="DM53" s="10"/>
      <c r="DN53" s="10"/>
      <c r="DO53" s="10"/>
      <c r="DP53" s="10"/>
      <c r="DQ53" s="10">
        <f>[32]SP!DK20</f>
        <v>2521934.0099999998</v>
      </c>
      <c r="DR53" s="10"/>
      <c r="DS53" s="10"/>
      <c r="DT53" s="10"/>
      <c r="DU53" s="10"/>
      <c r="DV53" s="10"/>
      <c r="DW53" s="10"/>
      <c r="DX53" s="10">
        <f>[32]SP!DR20</f>
        <v>2108597.3499999996</v>
      </c>
      <c r="DY53" s="10"/>
      <c r="DZ53" s="10"/>
      <c r="EA53" s="10"/>
      <c r="EB53" s="10"/>
      <c r="EC53" s="10"/>
      <c r="ED53" s="10"/>
      <c r="EE53" s="168">
        <f>EL53*ES53</f>
        <v>1582207.0495124741</v>
      </c>
      <c r="EF53" s="10"/>
      <c r="EG53" s="10"/>
      <c r="EH53" s="10"/>
      <c r="EI53" s="10"/>
      <c r="EJ53" s="10"/>
      <c r="EK53" s="10"/>
      <c r="EL53" s="10">
        <f>1.19*1000000</f>
        <v>1190000</v>
      </c>
      <c r="EM53" s="151">
        <f t="shared" si="119"/>
        <v>7661660.629512473</v>
      </c>
      <c r="EN53" s="151">
        <f t="shared" si="120"/>
        <v>5762441.8699999992</v>
      </c>
      <c r="EO53" s="194"/>
      <c r="EQ53" s="36">
        <f t="shared" si="121"/>
        <v>6079453.5799999991</v>
      </c>
      <c r="ER53" s="158">
        <f t="shared" si="117"/>
        <v>4572441.8699999992</v>
      </c>
      <c r="ES53" s="169">
        <f t="shared" si="122"/>
        <v>1.3295857558928355</v>
      </c>
      <c r="ET53" s="36"/>
    </row>
    <row r="54" spans="1:150" s="5" customFormat="1" ht="12.75" x14ac:dyDescent="0.2">
      <c r="A54" s="217"/>
      <c r="B54" s="15" t="s">
        <v>149</v>
      </c>
      <c r="C54" s="1" t="s">
        <v>13</v>
      </c>
      <c r="D54" s="2">
        <v>43282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10">
        <v>567384.91999999899</v>
      </c>
      <c r="BV54" s="10">
        <v>335404.71999999997</v>
      </c>
      <c r="BW54" s="10">
        <v>0</v>
      </c>
      <c r="BX54" s="10">
        <v>0</v>
      </c>
      <c r="BY54" s="10">
        <v>0</v>
      </c>
      <c r="BZ54" s="10">
        <v>22116.13</v>
      </c>
      <c r="CA54" s="10">
        <f t="shared" si="61"/>
        <v>924905.76999999897</v>
      </c>
      <c r="CB54" s="14" t="s">
        <v>11</v>
      </c>
      <c r="CC54" s="14" t="s">
        <v>11</v>
      </c>
      <c r="CD54" s="14">
        <v>0</v>
      </c>
      <c r="CE54" s="14">
        <v>0</v>
      </c>
      <c r="CF54" s="14">
        <v>0</v>
      </c>
      <c r="CG54" s="14" t="s">
        <v>11</v>
      </c>
      <c r="CH54" s="10">
        <f>[29]cobranças!CH21</f>
        <v>819031.64</v>
      </c>
      <c r="CI54" s="10">
        <v>1372153.8</v>
      </c>
      <c r="CJ54" s="10">
        <v>716385.8</v>
      </c>
      <c r="CK54" s="10">
        <v>0</v>
      </c>
      <c r="CL54" s="10">
        <v>0</v>
      </c>
      <c r="CM54" s="10">
        <v>0</v>
      </c>
      <c r="CN54" s="10">
        <v>141926.23000000001</v>
      </c>
      <c r="CO54" s="10">
        <f t="shared" si="118"/>
        <v>2230465.83</v>
      </c>
      <c r="CP54" s="10">
        <v>1342154.4780252757</v>
      </c>
      <c r="CQ54" s="10">
        <v>700723.497222921</v>
      </c>
      <c r="CR54" s="10">
        <v>0</v>
      </c>
      <c r="CS54" s="10">
        <v>0</v>
      </c>
      <c r="CT54" s="10">
        <v>0</v>
      </c>
      <c r="CU54" s="10">
        <v>138823.30475180349</v>
      </c>
      <c r="CV54" s="10">
        <f>[29]cobranças!CI21</f>
        <v>2181701.2800000003</v>
      </c>
      <c r="CW54" s="10"/>
      <c r="CX54" s="10"/>
      <c r="CY54" s="10"/>
      <c r="CZ54" s="10"/>
      <c r="DA54" s="10"/>
      <c r="DB54" s="10"/>
      <c r="DC54" s="10">
        <f>[30]Indicadores!$G$13</f>
        <v>2879658.84</v>
      </c>
      <c r="DD54" s="10"/>
      <c r="DE54" s="10"/>
      <c r="DF54" s="10"/>
      <c r="DG54" s="10"/>
      <c r="DH54" s="10"/>
      <c r="DI54" s="10"/>
      <c r="DJ54" s="10">
        <f>[31]Planilha1!$N$10</f>
        <v>2505240.63</v>
      </c>
      <c r="DK54" s="10"/>
      <c r="DL54" s="10"/>
      <c r="DM54" s="10"/>
      <c r="DN54" s="10"/>
      <c r="DO54" s="10"/>
      <c r="DP54" s="10"/>
      <c r="DQ54" s="10">
        <f>[32]SP!DK21</f>
        <v>4266546.78</v>
      </c>
      <c r="DR54" s="10"/>
      <c r="DS54" s="10"/>
      <c r="DT54" s="10"/>
      <c r="DU54" s="10"/>
      <c r="DV54" s="10"/>
      <c r="DW54" s="10"/>
      <c r="DX54" s="10">
        <f>[32]SP!DR21</f>
        <v>3646887.1099999994</v>
      </c>
      <c r="DY54" s="10"/>
      <c r="DZ54" s="10"/>
      <c r="EA54" s="10"/>
      <c r="EB54" s="10"/>
      <c r="EC54" s="10"/>
      <c r="ED54" s="10"/>
      <c r="EE54" s="168">
        <f>EL54*ES54</f>
        <v>3354000.5967489509</v>
      </c>
      <c r="EF54" s="10"/>
      <c r="EG54" s="10"/>
      <c r="EH54" s="10"/>
      <c r="EI54" s="10"/>
      <c r="EJ54" s="10"/>
      <c r="EK54" s="10"/>
      <c r="EL54" s="10">
        <f>2.98*1000000</f>
        <v>2980000</v>
      </c>
      <c r="EM54" s="151">
        <f t="shared" si="119"/>
        <v>13655577.816748951</v>
      </c>
      <c r="EN54" s="151">
        <f t="shared" si="120"/>
        <v>12132860.66</v>
      </c>
      <c r="EO54" s="194"/>
      <c r="EQ54" s="36">
        <f t="shared" si="121"/>
        <v>10301577.219999999</v>
      </c>
      <c r="ER54" s="158">
        <f t="shared" si="117"/>
        <v>9152860.6600000001</v>
      </c>
      <c r="ES54" s="169">
        <f t="shared" si="122"/>
        <v>1.1255035559560238</v>
      </c>
      <c r="ET54" s="36"/>
    </row>
    <row r="55" spans="1:150" s="5" customFormat="1" ht="12.75" x14ac:dyDescent="0.2">
      <c r="A55" s="217"/>
      <c r="B55" s="15" t="s">
        <v>150</v>
      </c>
      <c r="C55" s="1" t="s">
        <v>13</v>
      </c>
      <c r="D55" s="2">
        <v>43405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10">
        <v>271337.73</v>
      </c>
      <c r="BV55" s="10">
        <v>168335.45</v>
      </c>
      <c r="BW55" s="10">
        <v>0</v>
      </c>
      <c r="BX55" s="10">
        <v>0</v>
      </c>
      <c r="BY55" s="10">
        <v>0</v>
      </c>
      <c r="BZ55" s="10">
        <v>42277.81</v>
      </c>
      <c r="CA55" s="10">
        <f t="shared" si="61"/>
        <v>481950.99</v>
      </c>
      <c r="CB55" s="14" t="s">
        <v>11</v>
      </c>
      <c r="CC55" s="14" t="s">
        <v>11</v>
      </c>
      <c r="CD55" s="14">
        <v>0</v>
      </c>
      <c r="CE55" s="14">
        <v>0</v>
      </c>
      <c r="CF55" s="14">
        <v>0</v>
      </c>
      <c r="CG55" s="14" t="s">
        <v>11</v>
      </c>
      <c r="CH55" s="10">
        <f>[29]cobranças!CH22</f>
        <v>470033.02</v>
      </c>
      <c r="CI55" s="10">
        <v>1708341.76</v>
      </c>
      <c r="CJ55" s="10">
        <v>920267.59</v>
      </c>
      <c r="CK55" s="10">
        <v>6901.63</v>
      </c>
      <c r="CL55" s="10">
        <v>0</v>
      </c>
      <c r="CM55" s="10">
        <v>0</v>
      </c>
      <c r="CN55" s="10">
        <v>334477.98</v>
      </c>
      <c r="CO55" s="10">
        <f t="shared" si="118"/>
        <v>2969988.96</v>
      </c>
      <c r="CP55" s="10">
        <v>830582.5722920798</v>
      </c>
      <c r="CQ55" s="10">
        <v>806572.66126895288</v>
      </c>
      <c r="CR55" s="10">
        <v>6278.3387525105427</v>
      </c>
      <c r="CS55" s="10">
        <v>0</v>
      </c>
      <c r="CT55" s="10">
        <v>0</v>
      </c>
      <c r="CU55" s="10">
        <v>308206.21768645663</v>
      </c>
      <c r="CV55" s="10">
        <f>[29]cobranças!CI22</f>
        <v>1951639.79</v>
      </c>
      <c r="CW55" s="10"/>
      <c r="CX55" s="10"/>
      <c r="CY55" s="10"/>
      <c r="CZ55" s="10"/>
      <c r="DA55" s="10"/>
      <c r="DB55" s="10"/>
      <c r="DC55" s="10">
        <f>[30]Indicadores!$G$7</f>
        <v>4213663.3499999996</v>
      </c>
      <c r="DD55" s="10"/>
      <c r="DE55" s="10"/>
      <c r="DF55" s="10"/>
      <c r="DG55" s="10"/>
      <c r="DH55" s="10"/>
      <c r="DI55" s="10"/>
      <c r="DJ55" s="10">
        <f>[31]Planilha1!$N$3</f>
        <v>4078758.72</v>
      </c>
      <c r="DK55" s="10"/>
      <c r="DL55" s="10"/>
      <c r="DM55" s="10"/>
      <c r="DN55" s="10"/>
      <c r="DO55" s="10"/>
      <c r="DP55" s="10"/>
      <c r="DQ55" s="10">
        <f>[32]SP!DK22</f>
        <v>4970556.8099999996</v>
      </c>
      <c r="DR55" s="10"/>
      <c r="DS55" s="10"/>
      <c r="DT55" s="10"/>
      <c r="DU55" s="10"/>
      <c r="DV55" s="10"/>
      <c r="DW55" s="10"/>
      <c r="DX55" s="10">
        <f>[32]SP!DR22</f>
        <v>4714789.4700000007</v>
      </c>
      <c r="DY55" s="10"/>
      <c r="DZ55" s="10"/>
      <c r="EA55" s="10"/>
      <c r="EB55" s="10"/>
      <c r="EC55" s="10"/>
      <c r="ED55" s="10"/>
      <c r="EE55" s="168">
        <f>EL55*ES55</f>
        <v>5588419.0017833803</v>
      </c>
      <c r="EF55" s="10"/>
      <c r="EG55" s="10"/>
      <c r="EH55" s="10"/>
      <c r="EI55" s="10"/>
      <c r="EJ55" s="10"/>
      <c r="EK55" s="10"/>
      <c r="EL55" s="10">
        <f>4.96*1000000</f>
        <v>4960000</v>
      </c>
      <c r="EM55" s="151">
        <f t="shared" si="119"/>
        <v>18224579.111783378</v>
      </c>
      <c r="EN55" s="151">
        <f t="shared" si="120"/>
        <v>16175221</v>
      </c>
      <c r="EO55" s="194"/>
      <c r="EQ55" s="36">
        <f t="shared" si="121"/>
        <v>12636160.109999999</v>
      </c>
      <c r="ER55" s="158">
        <f t="shared" si="117"/>
        <v>11215221</v>
      </c>
      <c r="ES55" s="169">
        <f t="shared" si="122"/>
        <v>1.1266973793918105</v>
      </c>
      <c r="ET55" s="36"/>
    </row>
    <row r="56" spans="1:150" s="5" customFormat="1" ht="12.75" x14ac:dyDescent="0.2">
      <c r="A56" s="217"/>
      <c r="B56" s="141" t="s">
        <v>158</v>
      </c>
      <c r="C56" s="1" t="s">
        <v>13</v>
      </c>
      <c r="D56" s="2">
        <v>43770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10">
        <v>122698.17</v>
      </c>
      <c r="CJ56" s="10">
        <v>105603.18</v>
      </c>
      <c r="CK56" s="10">
        <v>0</v>
      </c>
      <c r="CL56" s="10">
        <v>0</v>
      </c>
      <c r="CM56" s="10">
        <v>0</v>
      </c>
      <c r="CN56" s="10">
        <v>10832.14</v>
      </c>
      <c r="CO56" s="10">
        <f t="shared" si="118"/>
        <v>239133.49</v>
      </c>
      <c r="CP56" s="14" t="s">
        <v>11</v>
      </c>
      <c r="CQ56" s="14" t="s">
        <v>11</v>
      </c>
      <c r="CR56" s="14" t="s">
        <v>11</v>
      </c>
      <c r="CS56" s="14">
        <v>0</v>
      </c>
      <c r="CT56" s="14">
        <v>0</v>
      </c>
      <c r="CU56" s="14" t="s">
        <v>11</v>
      </c>
      <c r="CV56" s="10">
        <f>[29]cobranças!CI23</f>
        <v>221278.34</v>
      </c>
      <c r="CW56" s="10"/>
      <c r="CX56" s="10"/>
      <c r="CY56" s="10"/>
      <c r="CZ56" s="10"/>
      <c r="DA56" s="10"/>
      <c r="DB56" s="10"/>
      <c r="DC56" s="10">
        <f>[30]Indicadores!$G$6</f>
        <v>1334827.8899999999</v>
      </c>
      <c r="DD56" s="10"/>
      <c r="DE56" s="10"/>
      <c r="DF56" s="10"/>
      <c r="DG56" s="10"/>
      <c r="DH56" s="10"/>
      <c r="DI56" s="10"/>
      <c r="DJ56" s="10">
        <f>[31]Planilha1!$N$2</f>
        <v>1231739.43</v>
      </c>
      <c r="DK56" s="10"/>
      <c r="DL56" s="10"/>
      <c r="DM56" s="10"/>
      <c r="DN56" s="10"/>
      <c r="DO56" s="10"/>
      <c r="DP56" s="10"/>
      <c r="DQ56" s="10">
        <f>[32]SP!DK23</f>
        <v>2133212</v>
      </c>
      <c r="DR56" s="10"/>
      <c r="DS56" s="10"/>
      <c r="DT56" s="10"/>
      <c r="DU56" s="10"/>
      <c r="DV56" s="10"/>
      <c r="DW56" s="10"/>
      <c r="DX56" s="10">
        <f>[32]SP!DR23</f>
        <v>1612847.5199999993</v>
      </c>
      <c r="DY56" s="10"/>
      <c r="DZ56" s="10"/>
      <c r="EA56" s="10"/>
      <c r="EB56" s="10"/>
      <c r="EC56" s="10"/>
      <c r="ED56" s="10"/>
      <c r="EE56" s="168">
        <f>EL56*ES56</f>
        <v>1983050.0586671249</v>
      </c>
      <c r="EF56" s="10"/>
      <c r="EG56" s="10"/>
      <c r="EH56" s="10"/>
      <c r="EI56" s="10"/>
      <c r="EJ56" s="10"/>
      <c r="EK56" s="10"/>
      <c r="EL56" s="10">
        <f>1.64*1000000</f>
        <v>1640000</v>
      </c>
      <c r="EM56" s="151">
        <f t="shared" si="119"/>
        <v>5690223.4386671251</v>
      </c>
      <c r="EN56" s="151">
        <f t="shared" si="120"/>
        <v>4705865.2899999991</v>
      </c>
      <c r="EO56" s="194"/>
      <c r="EQ56" s="36">
        <f t="shared" si="121"/>
        <v>3707173.38</v>
      </c>
      <c r="ER56" s="158">
        <f t="shared" si="117"/>
        <v>3065865.2899999991</v>
      </c>
      <c r="ES56" s="169">
        <f t="shared" si="122"/>
        <v>1.2091768650409298</v>
      </c>
      <c r="ET56" s="36"/>
    </row>
    <row r="57" spans="1:150" s="5" customFormat="1" ht="12.75" x14ac:dyDescent="0.2">
      <c r="A57" s="217"/>
      <c r="B57" s="141" t="s">
        <v>161</v>
      </c>
      <c r="C57" s="1" t="s">
        <v>13</v>
      </c>
      <c r="D57" s="2">
        <v>44317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10"/>
      <c r="DL57" s="10"/>
      <c r="DM57" s="10"/>
      <c r="DN57" s="10"/>
      <c r="DO57" s="10"/>
      <c r="DP57" s="10"/>
      <c r="DQ57" s="10">
        <f>[32]SP!DK24</f>
        <v>603279.19999999995</v>
      </c>
      <c r="DR57" s="10"/>
      <c r="DS57" s="10"/>
      <c r="DT57" s="10"/>
      <c r="DU57" s="10"/>
      <c r="DV57" s="10"/>
      <c r="DW57" s="10"/>
      <c r="DX57" s="10">
        <f>[32]SP!DR24</f>
        <v>508613.89</v>
      </c>
      <c r="DY57" s="10"/>
      <c r="DZ57" s="10"/>
      <c r="EA57" s="10"/>
      <c r="EB57" s="10"/>
      <c r="EC57" s="10"/>
      <c r="ED57" s="10"/>
      <c r="EE57" s="168">
        <f>EL57*ES57</f>
        <v>1209846.5969932512</v>
      </c>
      <c r="EF57" s="10"/>
      <c r="EG57" s="10"/>
      <c r="EH57" s="10"/>
      <c r="EI57" s="10"/>
      <c r="EJ57" s="10"/>
      <c r="EK57" s="10"/>
      <c r="EL57" s="10">
        <f>1.02*1000000</f>
        <v>1020000</v>
      </c>
      <c r="EM57" s="151">
        <f t="shared" si="119"/>
        <v>1813125.7969932512</v>
      </c>
      <c r="EN57" s="151">
        <f t="shared" si="120"/>
        <v>1528613.8900000001</v>
      </c>
      <c r="EO57" s="195"/>
      <c r="EQ57" s="36">
        <f t="shared" si="121"/>
        <v>603279.19999999995</v>
      </c>
      <c r="ER57" s="158">
        <f t="shared" si="117"/>
        <v>508613.89000000013</v>
      </c>
      <c r="ES57" s="169">
        <f t="shared" si="122"/>
        <v>1.1861241146992658</v>
      </c>
      <c r="ET57" s="36"/>
    </row>
    <row r="58" spans="1:150" s="5" customFormat="1" ht="12.75" x14ac:dyDescent="0.2">
      <c r="A58" s="218"/>
      <c r="B58" s="198" t="s">
        <v>41</v>
      </c>
      <c r="C58" s="199"/>
      <c r="D58" s="199"/>
      <c r="E58" s="11">
        <f t="shared" ref="E58:BP58" si="125">SUM(E38:E57)</f>
        <v>0</v>
      </c>
      <c r="F58" s="11">
        <f t="shared" si="125"/>
        <v>0</v>
      </c>
      <c r="G58" s="11">
        <f t="shared" si="125"/>
        <v>0</v>
      </c>
      <c r="H58" s="11">
        <f t="shared" si="125"/>
        <v>0</v>
      </c>
      <c r="I58" s="11">
        <f t="shared" si="125"/>
        <v>0</v>
      </c>
      <c r="J58" s="11">
        <f t="shared" si="125"/>
        <v>0</v>
      </c>
      <c r="K58" s="11">
        <f t="shared" si="125"/>
        <v>0</v>
      </c>
      <c r="L58" s="11">
        <f t="shared" si="125"/>
        <v>0</v>
      </c>
      <c r="M58" s="11">
        <f t="shared" si="125"/>
        <v>0</v>
      </c>
      <c r="N58" s="11">
        <f t="shared" si="125"/>
        <v>0</v>
      </c>
      <c r="O58" s="11">
        <f t="shared" si="125"/>
        <v>0</v>
      </c>
      <c r="P58" s="11">
        <f t="shared" si="125"/>
        <v>0</v>
      </c>
      <c r="Q58" s="11">
        <f t="shared" si="125"/>
        <v>0</v>
      </c>
      <c r="R58" s="11">
        <f t="shared" si="125"/>
        <v>0</v>
      </c>
      <c r="S58" s="11">
        <f t="shared" si="125"/>
        <v>0</v>
      </c>
      <c r="T58" s="11">
        <f t="shared" si="125"/>
        <v>0</v>
      </c>
      <c r="U58" s="11">
        <f t="shared" si="125"/>
        <v>0</v>
      </c>
      <c r="V58" s="11">
        <f t="shared" si="125"/>
        <v>0</v>
      </c>
      <c r="W58" s="11">
        <f t="shared" si="125"/>
        <v>0</v>
      </c>
      <c r="X58" s="11">
        <f t="shared" si="125"/>
        <v>0</v>
      </c>
      <c r="Y58" s="11">
        <f t="shared" si="125"/>
        <v>0</v>
      </c>
      <c r="Z58" s="11">
        <f t="shared" si="125"/>
        <v>0</v>
      </c>
      <c r="AA58" s="11">
        <f t="shared" si="125"/>
        <v>13247200.77</v>
      </c>
      <c r="AB58" s="11">
        <f t="shared" si="125"/>
        <v>10615880.08</v>
      </c>
      <c r="AC58" s="11">
        <f t="shared" si="125"/>
        <v>15503364.210000001</v>
      </c>
      <c r="AD58" s="11">
        <f t="shared" si="125"/>
        <v>15090585.949999999</v>
      </c>
      <c r="AE58" s="11">
        <f t="shared" si="125"/>
        <v>19146316.850000001</v>
      </c>
      <c r="AF58" s="11">
        <f t="shared" si="125"/>
        <v>18211662.550000001</v>
      </c>
      <c r="AG58" s="11">
        <f t="shared" si="125"/>
        <v>24510433.629999999</v>
      </c>
      <c r="AH58" s="11">
        <f t="shared" si="125"/>
        <v>24171005.669999998</v>
      </c>
      <c r="AI58" s="11">
        <f t="shared" si="125"/>
        <v>27735872.679999996</v>
      </c>
      <c r="AJ58" s="11">
        <f t="shared" si="125"/>
        <v>26320850.34</v>
      </c>
      <c r="AK58" s="11">
        <f t="shared" si="125"/>
        <v>37128679.069999993</v>
      </c>
      <c r="AL58" s="11">
        <f t="shared" si="125"/>
        <v>37304052.060000002</v>
      </c>
      <c r="AM58" s="11">
        <f t="shared" si="125"/>
        <v>43017375.049999997</v>
      </c>
      <c r="AN58" s="11">
        <f t="shared" si="125"/>
        <v>41984191.010000005</v>
      </c>
      <c r="AO58" s="11">
        <f t="shared" si="125"/>
        <v>58588772.859999999</v>
      </c>
      <c r="AP58" s="11">
        <f t="shared" si="125"/>
        <v>48716533.739999995</v>
      </c>
      <c r="AQ58" s="11">
        <f t="shared" si="125"/>
        <v>64308513.229999997</v>
      </c>
      <c r="AR58" s="11">
        <f t="shared" si="125"/>
        <v>61372249.810000002</v>
      </c>
      <c r="AS58" s="11">
        <f t="shared" si="125"/>
        <v>59491502.38000001</v>
      </c>
      <c r="AT58" s="11">
        <f t="shared" si="125"/>
        <v>16397277.550000001</v>
      </c>
      <c r="AU58" s="11">
        <f t="shared" si="125"/>
        <v>0</v>
      </c>
      <c r="AV58" s="11">
        <f t="shared" si="125"/>
        <v>0</v>
      </c>
      <c r="AW58" s="11">
        <f t="shared" si="125"/>
        <v>0</v>
      </c>
      <c r="AX58" s="11">
        <f t="shared" si="125"/>
        <v>4811000.83</v>
      </c>
      <c r="AY58" s="11">
        <f t="shared" si="125"/>
        <v>88419187.75999999</v>
      </c>
      <c r="AZ58" s="11">
        <f t="shared" si="125"/>
        <v>49161821.274900071</v>
      </c>
      <c r="BA58" s="11">
        <f t="shared" si="125"/>
        <v>11828818.925100135</v>
      </c>
      <c r="BB58" s="11">
        <f t="shared" si="125"/>
        <v>0</v>
      </c>
      <c r="BC58" s="11">
        <f t="shared" si="125"/>
        <v>0</v>
      </c>
      <c r="BD58" s="11">
        <f t="shared" si="125"/>
        <v>0</v>
      </c>
      <c r="BE58" s="11">
        <f t="shared" si="125"/>
        <v>3056985.4100000071</v>
      </c>
      <c r="BF58" s="11">
        <f t="shared" si="125"/>
        <v>77011605.030000016</v>
      </c>
      <c r="BG58" s="11">
        <f t="shared" si="125"/>
        <v>68889246.610000014</v>
      </c>
      <c r="BH58" s="11">
        <f t="shared" si="125"/>
        <v>19983199.060000002</v>
      </c>
      <c r="BI58" s="11">
        <f t="shared" si="125"/>
        <v>0</v>
      </c>
      <c r="BJ58" s="11">
        <f t="shared" si="125"/>
        <v>0</v>
      </c>
      <c r="BK58" s="11">
        <f t="shared" si="125"/>
        <v>0</v>
      </c>
      <c r="BL58" s="11">
        <f t="shared" si="125"/>
        <v>4612486.37</v>
      </c>
      <c r="BM58" s="11">
        <f t="shared" si="125"/>
        <v>93484932.040000021</v>
      </c>
      <c r="BN58" s="11">
        <f t="shared" si="125"/>
        <v>8060008.6699999999</v>
      </c>
      <c r="BO58" s="11">
        <f t="shared" si="125"/>
        <v>4003923.35</v>
      </c>
      <c r="BP58" s="11">
        <f t="shared" si="125"/>
        <v>0</v>
      </c>
      <c r="BQ58" s="11">
        <f t="shared" ref="BQ58:DP58" si="126">SUM(BQ38:BQ57)</f>
        <v>0</v>
      </c>
      <c r="BR58" s="11">
        <f t="shared" si="126"/>
        <v>0</v>
      </c>
      <c r="BS58" s="11">
        <f t="shared" si="126"/>
        <v>91651.839999999997</v>
      </c>
      <c r="BT58" s="11">
        <f t="shared" si="126"/>
        <v>90388168.670000002</v>
      </c>
      <c r="BU58" s="11">
        <f t="shared" si="126"/>
        <v>99319016.660000026</v>
      </c>
      <c r="BV58" s="11">
        <f t="shared" si="126"/>
        <v>30709817.739999998</v>
      </c>
      <c r="BW58" s="11">
        <f t="shared" si="126"/>
        <v>390251.42</v>
      </c>
      <c r="BX58" s="11">
        <f t="shared" si="126"/>
        <v>0</v>
      </c>
      <c r="BY58" s="11">
        <f t="shared" si="126"/>
        <v>0</v>
      </c>
      <c r="BZ58" s="11">
        <f t="shared" si="126"/>
        <v>6611884.2899999665</v>
      </c>
      <c r="CA58" s="11">
        <f t="shared" si="126"/>
        <v>137030970.11000001</v>
      </c>
      <c r="CB58" s="11">
        <f t="shared" si="126"/>
        <v>0</v>
      </c>
      <c r="CC58" s="11">
        <f t="shared" si="126"/>
        <v>0</v>
      </c>
      <c r="CD58" s="11">
        <f t="shared" si="126"/>
        <v>0</v>
      </c>
      <c r="CE58" s="11">
        <f t="shared" si="126"/>
        <v>0</v>
      </c>
      <c r="CF58" s="11">
        <f t="shared" si="126"/>
        <v>0</v>
      </c>
      <c r="CG58" s="11">
        <f t="shared" si="126"/>
        <v>0</v>
      </c>
      <c r="CH58" s="11">
        <f t="shared" si="126"/>
        <v>125690365.93999998</v>
      </c>
      <c r="CI58" s="11">
        <f t="shared" si="126"/>
        <v>115263685.67000003</v>
      </c>
      <c r="CJ58" s="11">
        <f t="shared" si="126"/>
        <v>31830050.650000013</v>
      </c>
      <c r="CK58" s="11">
        <f t="shared" si="126"/>
        <v>548748.6</v>
      </c>
      <c r="CL58" s="11">
        <f t="shared" si="126"/>
        <v>0</v>
      </c>
      <c r="CM58" s="11">
        <f t="shared" si="126"/>
        <v>0</v>
      </c>
      <c r="CN58" s="11">
        <f t="shared" si="126"/>
        <v>8690017.4200000055</v>
      </c>
      <c r="CO58" s="11">
        <f t="shared" si="126"/>
        <v>156332502.34000006</v>
      </c>
      <c r="CP58" s="11">
        <f t="shared" si="126"/>
        <v>49665427.000317357</v>
      </c>
      <c r="CQ58" s="11">
        <f t="shared" si="126"/>
        <v>3624232.0584918736</v>
      </c>
      <c r="CR58" s="11">
        <f t="shared" si="126"/>
        <v>6278.3387525105427</v>
      </c>
      <c r="CS58" s="11">
        <f t="shared" si="126"/>
        <v>0</v>
      </c>
      <c r="CT58" s="11">
        <f t="shared" si="126"/>
        <v>0</v>
      </c>
      <c r="CU58" s="11">
        <f t="shared" si="126"/>
        <v>3103844.6924382602</v>
      </c>
      <c r="CV58" s="11">
        <f t="shared" si="126"/>
        <v>151689753.28000003</v>
      </c>
      <c r="CW58" s="11">
        <f t="shared" si="126"/>
        <v>21358899.669999998</v>
      </c>
      <c r="CX58" s="11">
        <f t="shared" si="126"/>
        <v>6816159.71</v>
      </c>
      <c r="CY58" s="11">
        <f t="shared" si="126"/>
        <v>0</v>
      </c>
      <c r="CZ58" s="11">
        <f t="shared" si="126"/>
        <v>0</v>
      </c>
      <c r="DA58" s="11">
        <f t="shared" si="126"/>
        <v>0</v>
      </c>
      <c r="DB58" s="11">
        <f t="shared" si="126"/>
        <v>2972022.83</v>
      </c>
      <c r="DC58" s="11">
        <f t="shared" si="126"/>
        <v>150392541.28999999</v>
      </c>
      <c r="DD58" s="11">
        <f t="shared" si="126"/>
        <v>0</v>
      </c>
      <c r="DE58" s="11">
        <f t="shared" si="126"/>
        <v>0</v>
      </c>
      <c r="DF58" s="11">
        <f t="shared" si="126"/>
        <v>0</v>
      </c>
      <c r="DG58" s="11">
        <f t="shared" si="126"/>
        <v>0</v>
      </c>
      <c r="DH58" s="11">
        <f t="shared" si="126"/>
        <v>0</v>
      </c>
      <c r="DI58" s="11">
        <f t="shared" si="126"/>
        <v>0</v>
      </c>
      <c r="DJ58" s="11">
        <f t="shared" si="126"/>
        <v>136994141.75</v>
      </c>
      <c r="DK58" s="11">
        <f t="shared" si="126"/>
        <v>24075707.059999999</v>
      </c>
      <c r="DL58" s="11">
        <f t="shared" si="126"/>
        <v>6956767.9399999995</v>
      </c>
      <c r="DM58" s="11">
        <f t="shared" si="126"/>
        <v>0</v>
      </c>
      <c r="DN58" s="11">
        <f t="shared" si="126"/>
        <v>0</v>
      </c>
      <c r="DO58" s="11">
        <f t="shared" si="126"/>
        <v>0</v>
      </c>
      <c r="DP58" s="11">
        <f t="shared" si="126"/>
        <v>3775595.6</v>
      </c>
      <c r="DQ58" s="11">
        <f>SUM(DQ38:DQ57)</f>
        <v>183186928.81999996</v>
      </c>
      <c r="DR58" s="11">
        <f t="shared" ref="DR58:EL58" si="127">SUM(DR38:DR57)</f>
        <v>0</v>
      </c>
      <c r="DS58" s="11">
        <f t="shared" si="127"/>
        <v>0</v>
      </c>
      <c r="DT58" s="11">
        <f t="shared" si="127"/>
        <v>0</v>
      </c>
      <c r="DU58" s="11">
        <f t="shared" si="127"/>
        <v>0</v>
      </c>
      <c r="DV58" s="11">
        <f t="shared" si="127"/>
        <v>0</v>
      </c>
      <c r="DW58" s="11">
        <f t="shared" si="127"/>
        <v>0</v>
      </c>
      <c r="DX58" s="11">
        <f t="shared" si="127"/>
        <v>171765701.94000006</v>
      </c>
      <c r="DY58" s="11">
        <f t="shared" si="127"/>
        <v>27502195.540000003</v>
      </c>
      <c r="DZ58" s="11">
        <f t="shared" si="127"/>
        <v>7699144.5199999996</v>
      </c>
      <c r="EA58" s="11">
        <f t="shared" si="127"/>
        <v>0</v>
      </c>
      <c r="EB58" s="11">
        <f t="shared" si="127"/>
        <v>0</v>
      </c>
      <c r="EC58" s="11">
        <f t="shared" si="127"/>
        <v>0</v>
      </c>
      <c r="ED58" s="11">
        <f t="shared" si="127"/>
        <v>4068345.78</v>
      </c>
      <c r="EE58" s="11">
        <f t="shared" si="127"/>
        <v>186647646.0852769</v>
      </c>
      <c r="EF58" s="11">
        <f t="shared" si="127"/>
        <v>19774229.370000001</v>
      </c>
      <c r="EG58" s="11">
        <f t="shared" si="127"/>
        <v>5165936.43</v>
      </c>
      <c r="EH58" s="11">
        <f t="shared" si="127"/>
        <v>0</v>
      </c>
      <c r="EI58" s="11">
        <f t="shared" si="127"/>
        <v>0</v>
      </c>
      <c r="EJ58" s="11">
        <f t="shared" si="127"/>
        <v>0</v>
      </c>
      <c r="EK58" s="11">
        <f t="shared" si="127"/>
        <v>2305182.7199999997</v>
      </c>
      <c r="EL58" s="11">
        <f t="shared" si="127"/>
        <v>173465348.52000001</v>
      </c>
      <c r="EM58" s="11">
        <f>SUM(EM38:EM57)</f>
        <v>1298681236.7952766</v>
      </c>
      <c r="EN58" s="11">
        <f>SUM(EN38:EN57)</f>
        <v>1210792096.3399999</v>
      </c>
      <c r="EO58" s="34"/>
      <c r="EQ58" s="36"/>
      <c r="ER58" s="36"/>
      <c r="ES58" s="36"/>
      <c r="ET58" s="36"/>
    </row>
    <row r="59" spans="1:150" s="5" customFormat="1" ht="12.75" x14ac:dyDescent="0.2">
      <c r="A59" s="196" t="s">
        <v>43</v>
      </c>
      <c r="B59" s="15" t="s">
        <v>159</v>
      </c>
      <c r="C59" s="1" t="s">
        <v>14</v>
      </c>
      <c r="D59" s="2">
        <v>40179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151">
        <v>45560.960000000006</v>
      </c>
      <c r="AH59" s="151">
        <v>42685.529999999984</v>
      </c>
      <c r="AI59" s="151">
        <v>66721.27</v>
      </c>
      <c r="AJ59" s="151">
        <v>66356.38</v>
      </c>
      <c r="AK59" s="151">
        <v>92557.269899999956</v>
      </c>
      <c r="AL59" s="151">
        <v>92377.569999999992</v>
      </c>
      <c r="AM59" s="151">
        <v>103397.18000000004</v>
      </c>
      <c r="AN59" s="151">
        <v>120281.59000000005</v>
      </c>
      <c r="AO59" s="151">
        <v>101608.17000000001</v>
      </c>
      <c r="AP59" s="151">
        <v>82200.23000000001</v>
      </c>
      <c r="AQ59" s="151">
        <v>116071.89</v>
      </c>
      <c r="AR59" s="151">
        <v>115454.10999999999</v>
      </c>
      <c r="AS59" s="151">
        <v>100516.26000000001</v>
      </c>
      <c r="AT59" s="151">
        <v>23890.229999999996</v>
      </c>
      <c r="AU59" s="151">
        <v>0</v>
      </c>
      <c r="AV59" s="151">
        <v>3178.05</v>
      </c>
      <c r="AW59" s="151">
        <v>0</v>
      </c>
      <c r="AX59" s="151">
        <v>657.79000000000008</v>
      </c>
      <c r="AY59" s="10">
        <f t="shared" ref="AY59:AY69" si="128">SUM(AS59:AX59)</f>
        <v>128242.33</v>
      </c>
      <c r="AZ59" s="151">
        <v>105182.28000000001</v>
      </c>
      <c r="BA59" s="151">
        <v>22950.89</v>
      </c>
      <c r="BB59" s="151">
        <v>0</v>
      </c>
      <c r="BC59" s="151">
        <v>3178.0499999999997</v>
      </c>
      <c r="BD59" s="151">
        <v>0</v>
      </c>
      <c r="BE59" s="151">
        <v>401.98</v>
      </c>
      <c r="BF59" s="10">
        <f t="shared" ref="BF59:BF69" si="129">SUM(AZ59:BE59)</f>
        <v>131713.20000000001</v>
      </c>
      <c r="BG59" s="151">
        <v>114504.31999999999</v>
      </c>
      <c r="BH59" s="151">
        <v>27082.52</v>
      </c>
      <c r="BI59" s="151">
        <v>0</v>
      </c>
      <c r="BJ59" s="151">
        <v>6356.09</v>
      </c>
      <c r="BK59" s="151">
        <v>0</v>
      </c>
      <c r="BL59" s="151">
        <v>615.71999999999991</v>
      </c>
      <c r="BM59" s="10">
        <f>SUM(BG59:BL59)</f>
        <v>148558.65</v>
      </c>
      <c r="BN59" s="151">
        <v>114165.51</v>
      </c>
      <c r="BO59" s="151">
        <v>24289.050000000007</v>
      </c>
      <c r="BP59" s="151">
        <v>0</v>
      </c>
      <c r="BQ59" s="151">
        <v>1589.02</v>
      </c>
      <c r="BR59" s="151">
        <v>0</v>
      </c>
      <c r="BS59" s="151">
        <v>510.86999999999995</v>
      </c>
      <c r="BT59" s="10">
        <f>SUM(BN59:BS59)</f>
        <v>140554.44999999998</v>
      </c>
      <c r="BU59" s="151">
        <v>113296.27999999998</v>
      </c>
      <c r="BV59" s="151">
        <v>23549.279999999999</v>
      </c>
      <c r="BW59" s="151">
        <v>0</v>
      </c>
      <c r="BX59" s="151">
        <v>0</v>
      </c>
      <c r="BY59" s="151">
        <v>0</v>
      </c>
      <c r="BZ59" s="151">
        <v>862.43999999999994</v>
      </c>
      <c r="CA59" s="10">
        <f t="shared" si="61"/>
        <v>137708</v>
      </c>
      <c r="CB59" s="151">
        <v>113448.73999999999</v>
      </c>
      <c r="CC59" s="151">
        <v>21527.420000000002</v>
      </c>
      <c r="CD59" s="151">
        <v>0</v>
      </c>
      <c r="CE59" s="151">
        <v>0</v>
      </c>
      <c r="CF59" s="151">
        <v>0</v>
      </c>
      <c r="CG59" s="151">
        <v>1094.92</v>
      </c>
      <c r="CH59" s="10">
        <f t="shared" ref="CH59:CH70" si="130">SUM(CB59:CG59)</f>
        <v>136071.08000000002</v>
      </c>
      <c r="CI59" s="151">
        <f>'[33]CRH MG 2021'!CI5</f>
        <v>113296.28</v>
      </c>
      <c r="CJ59" s="151">
        <f>'[33]CRH MG 2021'!CJ5</f>
        <v>23766.239999999994</v>
      </c>
      <c r="CK59" s="151">
        <f>'[33]CRH MG 2021'!CK5</f>
        <v>0</v>
      </c>
      <c r="CL59" s="151">
        <f>'[33]CRH MG 2021'!CL5</f>
        <v>0</v>
      </c>
      <c r="CM59" s="151">
        <f>'[33]CRH MG 2021'!CM5</f>
        <v>0</v>
      </c>
      <c r="CN59" s="151">
        <f>'[33]CRH MG 2021'!CN5</f>
        <v>2275.88</v>
      </c>
      <c r="CO59" s="10">
        <f>SUM(CI59:CN59)</f>
        <v>139338.4</v>
      </c>
      <c r="CP59" s="151">
        <f>'[33]CRH MG 2021'!CP5</f>
        <v>109142.35999999999</v>
      </c>
      <c r="CQ59" s="151">
        <f>'[33]CRH MG 2021'!CQ5</f>
        <v>24302.81</v>
      </c>
      <c r="CR59" s="151">
        <f>'[33]CRH MG 2021'!CR5</f>
        <v>0</v>
      </c>
      <c r="CS59" s="151">
        <f>'[33]CRH MG 2021'!CS5</f>
        <v>0</v>
      </c>
      <c r="CT59" s="151">
        <f>'[33]CRH MG 2021'!CT5</f>
        <v>0</v>
      </c>
      <c r="CU59" s="151">
        <f>'[33]CRH MG 2021'!CU5</f>
        <v>1195.23</v>
      </c>
      <c r="CV59" s="10">
        <f>SUM(CP59:CU59)</f>
        <v>134640.4</v>
      </c>
      <c r="CW59" s="154">
        <f>'[33]CRH MG 2021'!CW5</f>
        <v>99134.25999999998</v>
      </c>
      <c r="CX59" s="154">
        <f>'[33]CRH MG 2021'!CX5</f>
        <v>20828.510000000002</v>
      </c>
      <c r="CY59" s="154">
        <f>'[33]CRH MG 2021'!CY5</f>
        <v>0</v>
      </c>
      <c r="CZ59" s="154">
        <f>'[33]CRH MG 2021'!CZ5</f>
        <v>0</v>
      </c>
      <c r="DA59" s="154">
        <f>'[33]CRH MG 2021'!DA5</f>
        <v>0</v>
      </c>
      <c r="DB59" s="154">
        <f>'[33]CRH MG 2021'!DB5</f>
        <v>879.34999999999991</v>
      </c>
      <c r="DC59" s="154">
        <f>'[33]CRH MG 2021'!DC5</f>
        <v>120842.12</v>
      </c>
      <c r="DD59" s="154">
        <f>'[33]CRH MG 2021'!DD5</f>
        <v>99547.48</v>
      </c>
      <c r="DE59" s="154">
        <f>'[33]CRH MG 2021'!DE5</f>
        <v>15067.95</v>
      </c>
      <c r="DF59" s="154">
        <f>'[33]CRH MG 2021'!DF5</f>
        <v>0</v>
      </c>
      <c r="DG59" s="154">
        <f>'[33]CRH MG 2021'!DG5</f>
        <v>0</v>
      </c>
      <c r="DH59" s="154">
        <f>'[33]CRH MG 2021'!DH5</f>
        <v>0</v>
      </c>
      <c r="DI59" s="154">
        <f>'[33]CRH MG 2021'!DI5</f>
        <v>225.45</v>
      </c>
      <c r="DJ59" s="10">
        <f>SUM(DD59:DI59)</f>
        <v>114840.87999999999</v>
      </c>
      <c r="DK59" s="10">
        <f>'[33]CRH MG 2021'!DK5</f>
        <v>42486.12</v>
      </c>
      <c r="DL59" s="10">
        <f>'[33]CRH MG 2021'!DL5</f>
        <v>19976.7</v>
      </c>
      <c r="DM59" s="10">
        <f>'[33]CRH MG 2021'!DM5</f>
        <v>0</v>
      </c>
      <c r="DN59" s="10">
        <f>'[33]CRH MG 2021'!DN5</f>
        <v>2676.43</v>
      </c>
      <c r="DO59" s="10">
        <f>'[33]CRH MG 2021'!DO5</f>
        <v>0</v>
      </c>
      <c r="DP59" s="10">
        <f>'[33]CRH MG 2021'!DP5</f>
        <v>5074.6899999999996</v>
      </c>
      <c r="DQ59" s="10">
        <f>SUM(DK59:DP59)</f>
        <v>70213.94</v>
      </c>
      <c r="DR59" s="10">
        <f>'[33]CRH MG 2021'!DR5</f>
        <v>42615.93</v>
      </c>
      <c r="DS59" s="10">
        <f>'[33]CRH MG 2021'!DS5</f>
        <v>11089.489999999998</v>
      </c>
      <c r="DT59" s="10">
        <f>'[33]CRH MG 2021'!DT5</f>
        <v>0</v>
      </c>
      <c r="DU59" s="10">
        <f>'[33]CRH MG 2021'!DU5</f>
        <v>0</v>
      </c>
      <c r="DV59" s="10">
        <f>'[33]CRH MG 2021'!DV5</f>
        <v>0</v>
      </c>
      <c r="DW59" s="10">
        <f>'[33]CRH MG 2021'!DW5</f>
        <v>0</v>
      </c>
      <c r="DX59" s="10">
        <f>SUM(DR59:DW59)</f>
        <v>53705.42</v>
      </c>
      <c r="DY59" s="10">
        <f>'[34]Pro gestao cobranca tabela 1'!$Q$4</f>
        <v>31257.45</v>
      </c>
      <c r="DZ59" s="10">
        <f>'[34]Pro gestao cobranca tabela 1'!$Q$5</f>
        <v>21687.670000000002</v>
      </c>
      <c r="EA59" s="10">
        <f>'[34]Pro gestao cobranca tabela 1'!$Q$6</f>
        <v>0</v>
      </c>
      <c r="EB59" s="10">
        <f>'[34]Pro gestao cobranca tabela 1'!$Q$7</f>
        <v>34587.049999999996</v>
      </c>
      <c r="EC59" s="10">
        <f>'[34]Pro gestao cobranca tabela 1'!$Q$8</f>
        <v>0</v>
      </c>
      <c r="ED59" s="10">
        <f>'[34]Pro gestao cobranca tabela 1'!$Q$9</f>
        <v>6327.9699999999993</v>
      </c>
      <c r="EE59" s="10">
        <f>SUM(DY59:ED59)</f>
        <v>93860.14</v>
      </c>
      <c r="EF59" s="10">
        <f>'[34]Pro gestao cobranca tabela 1'!$Q$11</f>
        <v>31257.480000000007</v>
      </c>
      <c r="EG59" s="10">
        <f>'[34]Pro gestao cobranca tabela 1'!$Q$12</f>
        <v>945.05</v>
      </c>
      <c r="EH59" s="10">
        <f>'[34]Pro gestao cobranca tabela 1'!$Q$13</f>
        <v>0</v>
      </c>
      <c r="EI59" s="10">
        <f>'[34]Pro gestao cobranca tabela 1'!$Q$14</f>
        <v>0</v>
      </c>
      <c r="EJ59" s="10">
        <f>'[34]Pro gestao cobranca tabela 1'!$Q$15</f>
        <v>0</v>
      </c>
      <c r="EK59" s="10">
        <f>'[34]Pro gestao cobranca tabela 1'!$Q$16</f>
        <v>1560.56</v>
      </c>
      <c r="EL59" s="10">
        <f>SUM(EF59:EK59)</f>
        <v>33763.090000000004</v>
      </c>
      <c r="EM59" s="153">
        <f>AG59+AI59+AK59+AM59+AO59+AQ59+AY59+BM59+CA59+CO59+DC59+DQ59+EE59</f>
        <v>1364680.3198999998</v>
      </c>
      <c r="EN59" s="153">
        <f>AH59+AJ59+AL59+AN59+AP59+AR59+BF59+BT59+CH59+CV59+DJ59+DX59+EL59</f>
        <v>1264643.93</v>
      </c>
      <c r="EO59" s="193" t="s">
        <v>18</v>
      </c>
      <c r="EQ59" s="36"/>
      <c r="ER59" s="36"/>
      <c r="ES59" s="36"/>
      <c r="ET59" s="36"/>
    </row>
    <row r="60" spans="1:150" s="5" customFormat="1" ht="12.75" x14ac:dyDescent="0.2">
      <c r="A60" s="196"/>
      <c r="B60" s="15" t="s">
        <v>122</v>
      </c>
      <c r="C60" s="1" t="s">
        <v>14</v>
      </c>
      <c r="D60" s="2">
        <v>40179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151">
        <v>7915403.9300000267</v>
      </c>
      <c r="AH60" s="151">
        <v>7235041.8600000162</v>
      </c>
      <c r="AI60" s="151">
        <v>9099029.1000000294</v>
      </c>
      <c r="AJ60" s="151">
        <v>7891625.6399999997</v>
      </c>
      <c r="AK60" s="151">
        <v>8809480.5972000062</v>
      </c>
      <c r="AL60" s="151">
        <v>7233001.8900000043</v>
      </c>
      <c r="AM60" s="151">
        <v>12281698.840000032</v>
      </c>
      <c r="AN60" s="151">
        <v>9322671.1200000178</v>
      </c>
      <c r="AO60" s="151">
        <v>10788273.900000019</v>
      </c>
      <c r="AP60" s="151">
        <v>9376428.8400000036</v>
      </c>
      <c r="AQ60" s="151">
        <v>11731476.530000007</v>
      </c>
      <c r="AR60" s="151">
        <v>10047356.369999994</v>
      </c>
      <c r="AS60" s="151">
        <v>7149544.6199999927</v>
      </c>
      <c r="AT60" s="151">
        <v>846808.56</v>
      </c>
      <c r="AU60" s="151">
        <v>1722056.25</v>
      </c>
      <c r="AV60" s="151">
        <v>229792.33999999959</v>
      </c>
      <c r="AW60" s="151">
        <v>0</v>
      </c>
      <c r="AX60" s="151">
        <v>480460.27000000101</v>
      </c>
      <c r="AY60" s="10">
        <f t="shared" si="128"/>
        <v>10428662.039999994</v>
      </c>
      <c r="AZ60" s="151">
        <v>6009366.0499999933</v>
      </c>
      <c r="BA60" s="151">
        <v>767726.34999999928</v>
      </c>
      <c r="BB60" s="151">
        <v>2209392.5900000008</v>
      </c>
      <c r="BC60" s="151">
        <v>159422.98999999996</v>
      </c>
      <c r="BD60" s="151">
        <v>0</v>
      </c>
      <c r="BE60" s="151">
        <v>407776.7900000005</v>
      </c>
      <c r="BF60" s="10">
        <f t="shared" si="129"/>
        <v>9553684.7699999958</v>
      </c>
      <c r="BG60" s="151">
        <v>7512545.46</v>
      </c>
      <c r="BH60" s="151">
        <v>825119.76</v>
      </c>
      <c r="BI60" s="151">
        <v>1858779.8700000008</v>
      </c>
      <c r="BJ60" s="151">
        <v>215449.91000000003</v>
      </c>
      <c r="BK60" s="151">
        <v>0</v>
      </c>
      <c r="BL60" s="151">
        <v>449707.88999999891</v>
      </c>
      <c r="BM60" s="10">
        <f t="shared" ref="BM60:BM70" si="131">SUM(BG60:BL60)</f>
        <v>10861602.889999999</v>
      </c>
      <c r="BN60" s="151">
        <v>6087149.5699999984</v>
      </c>
      <c r="BO60" s="151">
        <v>782974.33000000019</v>
      </c>
      <c r="BP60" s="151">
        <v>1286468.040000001</v>
      </c>
      <c r="BQ60" s="151">
        <v>120502.53999999998</v>
      </c>
      <c r="BR60" s="151">
        <v>0</v>
      </c>
      <c r="BS60" s="151">
        <v>357610.9999999986</v>
      </c>
      <c r="BT60" s="10">
        <f t="shared" ref="BT60:BT70" si="132">SUM(BN60:BS60)</f>
        <v>8634705.4799999986</v>
      </c>
      <c r="BU60" s="151">
        <v>8854549.9500000011</v>
      </c>
      <c r="BV60" s="151">
        <v>808617.96</v>
      </c>
      <c r="BW60" s="151">
        <v>784685.01999999932</v>
      </c>
      <c r="BX60" s="151">
        <v>169409.33000000005</v>
      </c>
      <c r="BY60" s="151">
        <v>0</v>
      </c>
      <c r="BZ60" s="151">
        <v>303766.90000000002</v>
      </c>
      <c r="CA60" s="10">
        <f t="shared" si="61"/>
        <v>10921029.16</v>
      </c>
      <c r="CB60" s="151">
        <v>5896651.8040171629</v>
      </c>
      <c r="CC60" s="151">
        <v>783692.22227211646</v>
      </c>
      <c r="CD60" s="151">
        <v>691641.82999999949</v>
      </c>
      <c r="CE60" s="151">
        <v>133518.59999999995</v>
      </c>
      <c r="CF60" s="151">
        <v>0</v>
      </c>
      <c r="CG60" s="151">
        <v>298749.39999999973</v>
      </c>
      <c r="CH60" s="10">
        <f t="shared" si="130"/>
        <v>7804253.8562892778</v>
      </c>
      <c r="CI60" s="151">
        <f>'[33]CRH MG 2021'!CI6</f>
        <v>9271504.2700000033</v>
      </c>
      <c r="CJ60" s="151">
        <f>'[33]CRH MG 2021'!CJ6</f>
        <v>781793.64000000036</v>
      </c>
      <c r="CK60" s="151">
        <f>'[33]CRH MG 2021'!CK6</f>
        <v>925648.82999999984</v>
      </c>
      <c r="CL60" s="151">
        <f>'[33]CRH MG 2021'!CL6</f>
        <v>151665.55999999988</v>
      </c>
      <c r="CM60" s="151">
        <f>'[33]CRH MG 2021'!CM6</f>
        <v>0</v>
      </c>
      <c r="CN60" s="151">
        <f>'[33]CRH MG 2021'!CN6</f>
        <v>312413.04999999941</v>
      </c>
      <c r="CO60" s="10">
        <f t="shared" ref="CO60:CO70" si="133">SUM(CI60:CN60)</f>
        <v>11443025.350000003</v>
      </c>
      <c r="CP60" s="151">
        <f>'[33]CRH MG 2021'!CP6</f>
        <v>6009105.6605867762</v>
      </c>
      <c r="CQ60" s="151">
        <f>'[33]CRH MG 2021'!CQ6</f>
        <v>784737.52045865136</v>
      </c>
      <c r="CR60" s="151">
        <f>'[33]CRH MG 2021'!CR6</f>
        <v>1263908.2299999997</v>
      </c>
      <c r="CS60" s="151">
        <f>'[33]CRH MG 2021'!CS6</f>
        <v>126797.94999999992</v>
      </c>
      <c r="CT60" s="151">
        <f>'[33]CRH MG 2021'!CT6</f>
        <v>0</v>
      </c>
      <c r="CU60" s="151">
        <f>'[33]CRH MG 2021'!CU6</f>
        <v>307982.99023460894</v>
      </c>
      <c r="CV60" s="10">
        <f t="shared" ref="CV60:CV70" si="134">SUM(CP60:CU60)</f>
        <v>8492532.3512800373</v>
      </c>
      <c r="CW60" s="154">
        <f>'[33]CRH MG 2021'!CW6</f>
        <v>6600004.0199999986</v>
      </c>
      <c r="CX60" s="154">
        <f>'[33]CRH MG 2021'!CX6</f>
        <v>691124.13000000024</v>
      </c>
      <c r="CY60" s="154">
        <f>'[33]CRH MG 2021'!CY6</f>
        <v>1380266.5300000003</v>
      </c>
      <c r="CZ60" s="154">
        <f>'[33]CRH MG 2021'!CZ6</f>
        <v>98050.589999999982</v>
      </c>
      <c r="DA60" s="154">
        <f>'[33]CRH MG 2021'!DA6</f>
        <v>0</v>
      </c>
      <c r="DB60" s="154">
        <f>'[33]CRH MG 2021'!DB6</f>
        <v>279064.32999999978</v>
      </c>
      <c r="DC60" s="154">
        <f>'[33]CRH MG 2021'!DC6</f>
        <v>9048509.5999999996</v>
      </c>
      <c r="DD60" s="154">
        <f>'[33]CRH MG 2021'!DD6</f>
        <v>5165997.4175620647</v>
      </c>
      <c r="DE60" s="154">
        <f>'[33]CRH MG 2021'!DE6</f>
        <v>588966.26</v>
      </c>
      <c r="DF60" s="154">
        <f>'[33]CRH MG 2021'!DF6</f>
        <v>1174829.6800000004</v>
      </c>
      <c r="DG60" s="154">
        <f>'[33]CRH MG 2021'!DG6</f>
        <v>88212.780000000028</v>
      </c>
      <c r="DH60" s="154">
        <f>'[33]CRH MG 2021'!DH6</f>
        <v>0</v>
      </c>
      <c r="DI60" s="154">
        <f>'[33]CRH MG 2021'!DI6</f>
        <v>233768.15199999994</v>
      </c>
      <c r="DJ60" s="10">
        <f t="shared" ref="DJ60:DJ70" si="135">SUM(DD60:DI60)</f>
        <v>7251774.2895620652</v>
      </c>
      <c r="DK60" s="10">
        <f>'[33]CRH MG 2021'!DK6</f>
        <v>7522889.5999999959</v>
      </c>
      <c r="DL60" s="10">
        <f>'[33]CRH MG 2021'!DL6</f>
        <v>366786.23000000016</v>
      </c>
      <c r="DM60" s="10">
        <f>'[33]CRH MG 2021'!DM6</f>
        <v>1188386.43</v>
      </c>
      <c r="DN60" s="10">
        <f>'[33]CRH MG 2021'!DN6</f>
        <v>73690.5</v>
      </c>
      <c r="DO60" s="10">
        <f>'[33]CRH MG 2021'!DO6</f>
        <v>0</v>
      </c>
      <c r="DP60" s="10">
        <f>'[33]CRH MG 2021'!DP6</f>
        <v>1091552.06</v>
      </c>
      <c r="DQ60" s="10">
        <f t="shared" ref="DQ60:DQ70" si="136">SUM(DK60:DP60)</f>
        <v>10243304.819999997</v>
      </c>
      <c r="DR60" s="10">
        <f>'[33]CRH MG 2021'!DR6</f>
        <v>6687792.2815895071</v>
      </c>
      <c r="DS60" s="10">
        <f>'[33]CRH MG 2021'!DS6</f>
        <v>356410.0400000001</v>
      </c>
      <c r="DT60" s="10">
        <f>'[33]CRH MG 2021'!DT6</f>
        <v>903492.19000000006</v>
      </c>
      <c r="DU60" s="10">
        <f>'[33]CRH MG 2021'!DU6</f>
        <v>27547.750000000007</v>
      </c>
      <c r="DV60" s="10">
        <f>'[33]CRH MG 2021'!DV6</f>
        <v>0</v>
      </c>
      <c r="DW60" s="10">
        <f>'[33]CRH MG 2021'!DW6</f>
        <v>241216.66999999993</v>
      </c>
      <c r="DX60" s="10">
        <f t="shared" ref="DX60:DX70" si="137">SUM(DR60:DW60)</f>
        <v>8216458.9315895075</v>
      </c>
      <c r="DY60" s="10">
        <f>'[34]Pro gestao cobranca tabela 1'!$Q$18</f>
        <v>6099547.7800000021</v>
      </c>
      <c r="DZ60" s="10">
        <f>'[34]Pro gestao cobranca tabela 1'!$Q$19</f>
        <v>1256079.5399999998</v>
      </c>
      <c r="EA60" s="10">
        <f>'[34]Pro gestao cobranca tabela 1'!$Q$20</f>
        <v>1690296.66</v>
      </c>
      <c r="EB60" s="10">
        <f>'[34]Pro gestao cobranca tabela 1'!$Q$21</f>
        <v>140684.91999999995</v>
      </c>
      <c r="EC60" s="10">
        <f>'[34]Pro gestao cobranca tabela 1'!$Q$22</f>
        <v>0</v>
      </c>
      <c r="ED60" s="10">
        <f>'[34]Pro gestao cobranca tabela 1'!$Q$23</f>
        <v>714648.45000000007</v>
      </c>
      <c r="EE60" s="10">
        <f t="shared" ref="EE60:EE70" si="138">SUM(DY60:ED60)</f>
        <v>9901257.3500000015</v>
      </c>
      <c r="EF60" s="10">
        <f>'[34]Pro gestao cobranca tabela 1'!$Q$25</f>
        <v>5494999.2599999951</v>
      </c>
      <c r="EG60" s="10">
        <f>'[34]Pro gestao cobranca tabela 1'!$Q$26</f>
        <v>792222.01000000013</v>
      </c>
      <c r="EH60" s="10">
        <f>'[34]Pro gestao cobranca tabela 1'!$Q$27</f>
        <v>1609535.3800000004</v>
      </c>
      <c r="EI60" s="10">
        <f>'[34]Pro gestao cobranca tabela 1'!$Q$28</f>
        <v>24246.920000000006</v>
      </c>
      <c r="EJ60" s="10">
        <f>'[34]Pro gestao cobranca tabela 1'!$Q$29</f>
        <v>0</v>
      </c>
      <c r="EK60" s="10">
        <f>'[34]Pro gestao cobranca tabela 1'!$Q$30</f>
        <v>316850.60000000009</v>
      </c>
      <c r="EL60" s="10">
        <f t="shared" ref="EL60:EL70" si="139">SUM(EF60:EK60)</f>
        <v>8237854.1699999943</v>
      </c>
      <c r="EM60" s="153">
        <f t="shared" ref="EM60:EM70" si="140">AG60+AI60+AK60+AM60+AO60+AQ60+AY60+BM60+CA60+CO60+DC60+DQ60+EE60</f>
        <v>133472754.10720012</v>
      </c>
      <c r="EN60" s="153">
        <f t="shared" ref="EN60:EN70" si="141">AH60+AJ60+AL60+AN60+AP60+AR60+BF60+BT60+CH60+CV60+DJ60+DX60+EL60</f>
        <v>109297389.56872091</v>
      </c>
      <c r="EO60" s="194"/>
      <c r="EQ60" s="36"/>
      <c r="ER60" s="36"/>
      <c r="ES60" s="36"/>
      <c r="ET60" s="36"/>
    </row>
    <row r="61" spans="1:150" s="5" customFormat="1" ht="12.75" x14ac:dyDescent="0.2">
      <c r="A61" s="196"/>
      <c r="B61" s="15" t="s">
        <v>20</v>
      </c>
      <c r="C61" s="1" t="s">
        <v>14</v>
      </c>
      <c r="D61" s="2">
        <v>40179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151">
        <v>3634386.0199999982</v>
      </c>
      <c r="AH61" s="151">
        <v>3397962.5399999996</v>
      </c>
      <c r="AI61" s="151">
        <v>5062750.3199999966</v>
      </c>
      <c r="AJ61" s="151">
        <v>4999474.8199999947</v>
      </c>
      <c r="AK61" s="151">
        <v>5583387.8864999879</v>
      </c>
      <c r="AL61" s="151">
        <v>5367931.79</v>
      </c>
      <c r="AM61" s="151">
        <v>6266949.939999993</v>
      </c>
      <c r="AN61" s="151">
        <v>6327272.0900000054</v>
      </c>
      <c r="AO61" s="151">
        <v>5658363.7800000105</v>
      </c>
      <c r="AP61" s="151">
        <v>5127253.9299999978</v>
      </c>
      <c r="AQ61" s="151">
        <v>4981081.1399999987</v>
      </c>
      <c r="AR61" s="151">
        <v>4805346.0599999977</v>
      </c>
      <c r="AS61" s="151">
        <v>2560697.459999999</v>
      </c>
      <c r="AT61" s="151">
        <v>1383101.9199999997</v>
      </c>
      <c r="AU61" s="151">
        <v>422427.20000000013</v>
      </c>
      <c r="AV61" s="151">
        <v>1302102.3000000003</v>
      </c>
      <c r="AW61" s="151">
        <v>0</v>
      </c>
      <c r="AX61" s="151">
        <v>206979.27999999982</v>
      </c>
      <c r="AY61" s="10">
        <f t="shared" si="128"/>
        <v>5875308.1599999992</v>
      </c>
      <c r="AZ61" s="151">
        <v>2428584.5199999991</v>
      </c>
      <c r="BA61" s="151">
        <v>1345724.1099999992</v>
      </c>
      <c r="BB61" s="151">
        <v>491480.45999999996</v>
      </c>
      <c r="BC61" s="151">
        <v>1125166.1700000016</v>
      </c>
      <c r="BD61" s="151">
        <v>0</v>
      </c>
      <c r="BE61" s="151">
        <v>188180.69999999992</v>
      </c>
      <c r="BF61" s="10">
        <f t="shared" si="129"/>
        <v>5579135.96</v>
      </c>
      <c r="BG61" s="151">
        <v>2584506.4099999997</v>
      </c>
      <c r="BH61" s="151">
        <v>1549881.52</v>
      </c>
      <c r="BI61" s="151">
        <v>406471.65</v>
      </c>
      <c r="BJ61" s="151">
        <v>1070771.3599999999</v>
      </c>
      <c r="BK61" s="151">
        <v>0</v>
      </c>
      <c r="BL61" s="151">
        <v>165749.24999999962</v>
      </c>
      <c r="BM61" s="10">
        <f t="shared" si="131"/>
        <v>5777380.1899999995</v>
      </c>
      <c r="BN61" s="151">
        <v>2951785.7999999993</v>
      </c>
      <c r="BO61" s="151">
        <v>1491799.8399999992</v>
      </c>
      <c r="BP61" s="151">
        <v>332580.8000000001</v>
      </c>
      <c r="BQ61" s="151">
        <v>851088.93999999971</v>
      </c>
      <c r="BR61" s="151">
        <v>0</v>
      </c>
      <c r="BS61" s="151">
        <v>137064.49999999988</v>
      </c>
      <c r="BT61" s="10">
        <f t="shared" si="132"/>
        <v>5764319.879999998</v>
      </c>
      <c r="BU61" s="151">
        <v>2796540.88</v>
      </c>
      <c r="BV61" s="151">
        <v>1387698.2199999995</v>
      </c>
      <c r="BW61" s="151">
        <v>362031.60999999993</v>
      </c>
      <c r="BX61" s="151">
        <v>1361755.2299999993</v>
      </c>
      <c r="BY61" s="151">
        <v>0</v>
      </c>
      <c r="BZ61" s="151">
        <v>64155.780000000086</v>
      </c>
      <c r="CA61" s="10">
        <f t="shared" si="61"/>
        <v>5972181.7199999997</v>
      </c>
      <c r="CB61" s="151">
        <v>2670036.6999999993</v>
      </c>
      <c r="CC61" s="151">
        <v>1157621.8699999999</v>
      </c>
      <c r="CD61" s="151">
        <v>361297</v>
      </c>
      <c r="CE61" s="151">
        <v>1235375.6936506352</v>
      </c>
      <c r="CF61" s="151">
        <v>0</v>
      </c>
      <c r="CG61" s="151">
        <v>58963.550000000054</v>
      </c>
      <c r="CH61" s="10">
        <f t="shared" si="130"/>
        <v>5483294.8136506341</v>
      </c>
      <c r="CI61" s="151">
        <f>'[33]CRH MG 2021'!CI7</f>
        <v>2832643.6599999992</v>
      </c>
      <c r="CJ61" s="151">
        <f>'[33]CRH MG 2021'!CJ7</f>
        <v>989333.37000000034</v>
      </c>
      <c r="CK61" s="151">
        <f>'[33]CRH MG 2021'!CK7</f>
        <v>362248.75999999989</v>
      </c>
      <c r="CL61" s="151">
        <f>'[33]CRH MG 2021'!CL7</f>
        <v>1378524.2099999981</v>
      </c>
      <c r="CM61" s="151">
        <f>'[33]CRH MG 2021'!CM7</f>
        <v>0</v>
      </c>
      <c r="CN61" s="151">
        <f>'[33]CRH MG 2021'!CN7</f>
        <v>66869.55000000009</v>
      </c>
      <c r="CO61" s="10">
        <f t="shared" si="133"/>
        <v>5629619.549999997</v>
      </c>
      <c r="CP61" s="151">
        <f>'[33]CRH MG 2021'!CP7</f>
        <v>2766946.4067963744</v>
      </c>
      <c r="CQ61" s="151">
        <f>'[33]CRH MG 2021'!CQ7</f>
        <v>836561.95000000065</v>
      </c>
      <c r="CR61" s="151">
        <f>'[33]CRH MG 2021'!CR7</f>
        <v>358642.05</v>
      </c>
      <c r="CS61" s="151">
        <f>'[33]CRH MG 2021'!CS7</f>
        <v>1176250.7639850457</v>
      </c>
      <c r="CT61" s="151">
        <f>'[33]CRH MG 2021'!CT7</f>
        <v>0</v>
      </c>
      <c r="CU61" s="151">
        <f>'[33]CRH MG 2021'!CU7</f>
        <v>82683.870000000185</v>
      </c>
      <c r="CV61" s="10">
        <f t="shared" si="134"/>
        <v>5221085.0407814207</v>
      </c>
      <c r="CW61" s="154">
        <f>'[33]CRH MG 2021'!CW7</f>
        <v>2457833.15</v>
      </c>
      <c r="CX61" s="154">
        <f>'[33]CRH MG 2021'!CX7</f>
        <v>929323.96999999986</v>
      </c>
      <c r="CY61" s="154">
        <f>'[33]CRH MG 2021'!CY7</f>
        <v>357804.57999999996</v>
      </c>
      <c r="CZ61" s="154">
        <f>'[33]CRH MG 2021'!CZ7</f>
        <v>1123650.6799999995</v>
      </c>
      <c r="DA61" s="154">
        <f>'[33]CRH MG 2021'!DA7</f>
        <v>0</v>
      </c>
      <c r="DB61" s="154">
        <f>'[33]CRH MG 2021'!DB7</f>
        <v>1222965.0400000026</v>
      </c>
      <c r="DC61" s="154">
        <f>'[33]CRH MG 2021'!DC7</f>
        <v>6091577.4200000018</v>
      </c>
      <c r="DD61" s="154">
        <f>'[33]CRH MG 2021'!DD7</f>
        <v>1982246.0249521858</v>
      </c>
      <c r="DE61" s="154">
        <f>'[33]CRH MG 2021'!DE7</f>
        <v>865188.29</v>
      </c>
      <c r="DF61" s="154">
        <f>'[33]CRH MG 2021'!DF7</f>
        <v>357268.17999999993</v>
      </c>
      <c r="DG61" s="154">
        <f>'[33]CRH MG 2021'!DG7</f>
        <v>941443.44085673499</v>
      </c>
      <c r="DH61" s="154">
        <f>'[33]CRH MG 2021'!DH7</f>
        <v>0</v>
      </c>
      <c r="DI61" s="154">
        <f>'[33]CRH MG 2021'!DI7</f>
        <v>40560.469999999994</v>
      </c>
      <c r="DJ61" s="10">
        <f t="shared" si="135"/>
        <v>4186706.4058089214</v>
      </c>
      <c r="DK61" s="10">
        <f>'[33]CRH MG 2021'!DK7</f>
        <v>1227942.7299999995</v>
      </c>
      <c r="DL61" s="10">
        <f>'[33]CRH MG 2021'!DL7</f>
        <v>511081.47</v>
      </c>
      <c r="DM61" s="10">
        <f>'[33]CRH MG 2021'!DM7</f>
        <v>129721.85999999999</v>
      </c>
      <c r="DN61" s="10">
        <f>'[33]CRH MG 2021'!DN7</f>
        <v>1684605.0599999952</v>
      </c>
      <c r="DO61" s="10">
        <f>'[33]CRH MG 2021'!DO7</f>
        <v>0</v>
      </c>
      <c r="DP61" s="10">
        <f>'[33]CRH MG 2021'!DP7</f>
        <v>3335237.4700000067</v>
      </c>
      <c r="DQ61" s="10">
        <f t="shared" si="136"/>
        <v>6888588.5900000017</v>
      </c>
      <c r="DR61" s="10">
        <f>'[33]CRH MG 2021'!DR7</f>
        <v>1100333.78</v>
      </c>
      <c r="DS61" s="10">
        <f>'[33]CRH MG 2021'!DS7</f>
        <v>430413.77000000008</v>
      </c>
      <c r="DT61" s="10">
        <f>'[33]CRH MG 2021'!DT7</f>
        <v>111739.98000000001</v>
      </c>
      <c r="DU61" s="10">
        <f>'[33]CRH MG 2021'!DU7</f>
        <v>430630.89</v>
      </c>
      <c r="DV61" s="10">
        <f>'[33]CRH MG 2021'!DV7</f>
        <v>0</v>
      </c>
      <c r="DW61" s="10">
        <f>'[33]CRH MG 2021'!DW7</f>
        <v>628283.7505105522</v>
      </c>
      <c r="DX61" s="10">
        <f t="shared" si="137"/>
        <v>2701402.1705105519</v>
      </c>
      <c r="DY61" s="10">
        <f>'[34]Pro gestao cobranca tabela 1'!$Q$32</f>
        <v>3343184.5499999989</v>
      </c>
      <c r="DZ61" s="10">
        <f>'[34]Pro gestao cobranca tabela 1'!$Q$33</f>
        <v>2970320.8499999996</v>
      </c>
      <c r="EA61" s="10">
        <f>'[34]Pro gestao cobranca tabela 1'!$Q$34</f>
        <v>1402571.26</v>
      </c>
      <c r="EB61" s="10">
        <f>'[34]Pro gestao cobranca tabela 1'!$Q$35</f>
        <v>5854853.1999999927</v>
      </c>
      <c r="EC61" s="10">
        <f>'[34]Pro gestao cobranca tabela 1'!$Q$36</f>
        <v>0</v>
      </c>
      <c r="ED61" s="10">
        <f>'[34]Pro gestao cobranca tabela 1'!$Q$37</f>
        <v>732073.27999999991</v>
      </c>
      <c r="EE61" s="10">
        <f t="shared" si="138"/>
        <v>14303003.139999991</v>
      </c>
      <c r="EF61" s="10">
        <f>'[34]Pro gestao cobranca tabela 1'!$Q$39</f>
        <v>3449923.6999999997</v>
      </c>
      <c r="EG61" s="10">
        <f>'[34]Pro gestao cobranca tabela 1'!$Q$40</f>
        <v>2639145.02</v>
      </c>
      <c r="EH61" s="10">
        <f>'[34]Pro gestao cobranca tabela 1'!$Q$41</f>
        <v>1400896.9600000002</v>
      </c>
      <c r="EI61" s="10">
        <f>'[34]Pro gestao cobranca tabela 1'!$Q$42</f>
        <v>1869851.5900000024</v>
      </c>
      <c r="EJ61" s="10">
        <f>'[34]Pro gestao cobranca tabela 1'!$Q$43</f>
        <v>0</v>
      </c>
      <c r="EK61" s="10">
        <f>'[34]Pro gestao cobranca tabela 1'!$Q$44</f>
        <v>751507.27</v>
      </c>
      <c r="EL61" s="10">
        <f t="shared" si="139"/>
        <v>10111324.540000001</v>
      </c>
      <c r="EM61" s="153">
        <f t="shared" si="140"/>
        <v>81724577.85649997</v>
      </c>
      <c r="EN61" s="153">
        <f t="shared" si="141"/>
        <v>69072510.040751532</v>
      </c>
      <c r="EO61" s="194"/>
      <c r="EQ61" s="36"/>
      <c r="ER61" s="36"/>
      <c r="ES61" s="36"/>
      <c r="ET61" s="36"/>
    </row>
    <row r="62" spans="1:150" s="5" customFormat="1" ht="12.75" x14ac:dyDescent="0.2">
      <c r="A62" s="196"/>
      <c r="B62" s="15" t="s">
        <v>21</v>
      </c>
      <c r="C62" s="1" t="s">
        <v>14</v>
      </c>
      <c r="D62" s="2">
        <v>40909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151">
        <v>1693347.1199999999</v>
      </c>
      <c r="AL62" s="151">
        <v>1939035.3400000003</v>
      </c>
      <c r="AM62" s="151">
        <v>2599850.2900000005</v>
      </c>
      <c r="AN62" s="151">
        <v>2514396.4500000002</v>
      </c>
      <c r="AO62" s="151">
        <v>3220735.4199999981</v>
      </c>
      <c r="AP62" s="151">
        <v>2999106.799999998</v>
      </c>
      <c r="AQ62" s="151">
        <v>2991916.3399999985</v>
      </c>
      <c r="AR62" s="151">
        <v>2906380.1799999988</v>
      </c>
      <c r="AS62" s="151">
        <v>2522305.9000000004</v>
      </c>
      <c r="AT62" s="151">
        <v>181021.18000000008</v>
      </c>
      <c r="AU62" s="151">
        <v>1591335.74</v>
      </c>
      <c r="AV62" s="151">
        <v>4764.87</v>
      </c>
      <c r="AW62" s="151">
        <v>0</v>
      </c>
      <c r="AX62" s="151">
        <v>22280.98</v>
      </c>
      <c r="AY62" s="10">
        <f t="shared" si="128"/>
        <v>4321708.6700000009</v>
      </c>
      <c r="AZ62" s="151">
        <v>2178605.5600000015</v>
      </c>
      <c r="BA62" s="151">
        <v>143920.47000000006</v>
      </c>
      <c r="BB62" s="151">
        <v>1594148.8600000003</v>
      </c>
      <c r="BC62" s="151">
        <v>2570.1999999999998</v>
      </c>
      <c r="BD62" s="151">
        <v>0</v>
      </c>
      <c r="BE62" s="151">
        <v>9566.2800000000007</v>
      </c>
      <c r="BF62" s="10">
        <f t="shared" si="129"/>
        <v>3928811.370000002</v>
      </c>
      <c r="BG62" s="151">
        <v>4608351.9899999984</v>
      </c>
      <c r="BH62" s="151">
        <v>206151.32000000004</v>
      </c>
      <c r="BI62" s="151">
        <v>1866945.5800000008</v>
      </c>
      <c r="BJ62" s="151">
        <v>4830.4000000000005</v>
      </c>
      <c r="BK62" s="151">
        <v>0</v>
      </c>
      <c r="BL62" s="151">
        <v>32314.670000000002</v>
      </c>
      <c r="BM62" s="10">
        <f t="shared" si="131"/>
        <v>6718593.96</v>
      </c>
      <c r="BN62" s="151">
        <v>2627107.0500000017</v>
      </c>
      <c r="BO62" s="151">
        <v>199168.82000000007</v>
      </c>
      <c r="BP62" s="151">
        <v>1801440.82</v>
      </c>
      <c r="BQ62" s="151">
        <v>2170.4700000000003</v>
      </c>
      <c r="BR62" s="151">
        <v>0</v>
      </c>
      <c r="BS62" s="151">
        <v>9640.5799999999981</v>
      </c>
      <c r="BT62" s="10">
        <f t="shared" si="132"/>
        <v>4639527.7400000021</v>
      </c>
      <c r="BU62" s="151">
        <v>2703520.2100000014</v>
      </c>
      <c r="BV62" s="151">
        <v>155545.84</v>
      </c>
      <c r="BW62" s="151">
        <v>1687582.7700000007</v>
      </c>
      <c r="BX62" s="151">
        <v>4117.76</v>
      </c>
      <c r="BY62" s="151">
        <v>0</v>
      </c>
      <c r="BZ62" s="151">
        <v>14715.430000000008</v>
      </c>
      <c r="CA62" s="10">
        <f t="shared" si="61"/>
        <v>4565482.0100000016</v>
      </c>
      <c r="CB62" s="151">
        <v>1850410.6879558375</v>
      </c>
      <c r="CC62" s="151">
        <v>145632.46000000002</v>
      </c>
      <c r="CD62" s="151">
        <v>1895195.3</v>
      </c>
      <c r="CE62" s="151">
        <v>2132.9200000000005</v>
      </c>
      <c r="CF62" s="151">
        <v>0</v>
      </c>
      <c r="CG62" s="151">
        <v>50860.855887264828</v>
      </c>
      <c r="CH62" s="10">
        <f t="shared" si="130"/>
        <v>3944232.2238431023</v>
      </c>
      <c r="CI62" s="151">
        <f>'[33]CRH MG 2021'!CI8</f>
        <v>2866875.5400000014</v>
      </c>
      <c r="CJ62" s="151">
        <f>'[33]CRH MG 2021'!CJ8</f>
        <v>345001.03999999992</v>
      </c>
      <c r="CK62" s="151">
        <f>'[33]CRH MG 2021'!CK8</f>
        <v>975634.36</v>
      </c>
      <c r="CL62" s="151">
        <f>'[33]CRH MG 2021'!CL8</f>
        <v>4117.7600000000011</v>
      </c>
      <c r="CM62" s="151">
        <f>'[33]CRH MG 2021'!CM8</f>
        <v>0</v>
      </c>
      <c r="CN62" s="151">
        <f>'[33]CRH MG 2021'!CN8</f>
        <v>10011.599999999997</v>
      </c>
      <c r="CO62" s="10">
        <f t="shared" si="133"/>
        <v>4201640.3000000007</v>
      </c>
      <c r="CP62" s="151">
        <f>'[33]CRH MG 2021'!CP8</f>
        <v>2007905.4719427084</v>
      </c>
      <c r="CQ62" s="151">
        <f>'[33]CRH MG 2021'!CQ8</f>
        <v>158470.40386502596</v>
      </c>
      <c r="CR62" s="151">
        <f>'[33]CRH MG 2021'!CR8</f>
        <v>964595.77</v>
      </c>
      <c r="CS62" s="151">
        <f>'[33]CRH MG 2021'!CS8</f>
        <v>1355.6100000000001</v>
      </c>
      <c r="CT62" s="151">
        <f>'[33]CRH MG 2021'!CT8</f>
        <v>0</v>
      </c>
      <c r="CU62" s="151">
        <f>'[33]CRH MG 2021'!CU8</f>
        <v>10043.869999999995</v>
      </c>
      <c r="CV62" s="10">
        <f t="shared" si="134"/>
        <v>3142371.1258077342</v>
      </c>
      <c r="CW62" s="154">
        <f>'[33]CRH MG 2021'!CW8</f>
        <v>2506711.8000000012</v>
      </c>
      <c r="CX62" s="154">
        <f>'[33]CRH MG 2021'!CX8</f>
        <v>150088.40999999995</v>
      </c>
      <c r="CY62" s="154">
        <f>'[33]CRH MG 2021'!CY8</f>
        <v>925725.62000000011</v>
      </c>
      <c r="CZ62" s="154">
        <f>'[33]CRH MG 2021'!CZ8</f>
        <v>2949.8200000000006</v>
      </c>
      <c r="DA62" s="154">
        <f>'[33]CRH MG 2021'!DA8</f>
        <v>0</v>
      </c>
      <c r="DB62" s="154">
        <f>'[33]CRH MG 2021'!DB8</f>
        <v>8286.1900000000023</v>
      </c>
      <c r="DC62" s="154">
        <f>'[33]CRH MG 2021'!DC8</f>
        <v>3593761.8400000012</v>
      </c>
      <c r="DD62" s="154">
        <f>'[33]CRH MG 2021'!DD8</f>
        <v>1687146.2788641362</v>
      </c>
      <c r="DE62" s="154">
        <f>'[33]CRH MG 2021'!DE8</f>
        <v>159271.65899105617</v>
      </c>
      <c r="DF62" s="154">
        <f>'[33]CRH MG 2021'!DF8</f>
        <v>1037561.0900000001</v>
      </c>
      <c r="DG62" s="154">
        <f>'[33]CRH MG 2021'!DG8</f>
        <v>938.5</v>
      </c>
      <c r="DH62" s="154">
        <f>'[33]CRH MG 2021'!DH8</f>
        <v>0</v>
      </c>
      <c r="DI62" s="154">
        <f>'[33]CRH MG 2021'!DI8</f>
        <v>8363</v>
      </c>
      <c r="DJ62" s="10">
        <f t="shared" si="135"/>
        <v>2893280.5278551923</v>
      </c>
      <c r="DK62" s="10">
        <f>'[33]CRH MG 2021'!DK8</f>
        <v>783897.86000000022</v>
      </c>
      <c r="DL62" s="10">
        <f>'[33]CRH MG 2021'!DL8</f>
        <v>174473.81000000006</v>
      </c>
      <c r="DM62" s="10">
        <f>'[33]CRH MG 2021'!DM8</f>
        <v>720588.34</v>
      </c>
      <c r="DN62" s="10">
        <f>'[33]CRH MG 2021'!DN8</f>
        <v>3076.03</v>
      </c>
      <c r="DO62" s="10">
        <f>'[33]CRH MG 2021'!DO8</f>
        <v>0</v>
      </c>
      <c r="DP62" s="10">
        <f>'[33]CRH MG 2021'!DP8</f>
        <v>264316.34999999986</v>
      </c>
      <c r="DQ62" s="10">
        <f t="shared" si="136"/>
        <v>1946352.3900000001</v>
      </c>
      <c r="DR62" s="10">
        <f>'[33]CRH MG 2021'!DR8</f>
        <v>479601.78879666544</v>
      </c>
      <c r="DS62" s="10">
        <f>'[33]CRH MG 2021'!DS8</f>
        <v>87296.451388520785</v>
      </c>
      <c r="DT62" s="10">
        <f>'[33]CRH MG 2021'!DT8</f>
        <v>386713.07</v>
      </c>
      <c r="DU62" s="10">
        <f>'[33]CRH MG 2021'!DU8</f>
        <v>254.78</v>
      </c>
      <c r="DV62" s="10">
        <f>'[33]CRH MG 2021'!DV8</f>
        <v>0</v>
      </c>
      <c r="DW62" s="10">
        <f>'[33]CRH MG 2021'!DW8</f>
        <v>101410.55999999998</v>
      </c>
      <c r="DX62" s="10">
        <f t="shared" si="137"/>
        <v>1055276.6501851864</v>
      </c>
      <c r="DY62" s="10">
        <f>'[34]Pro gestao cobranca tabela 1'!$Q$46</f>
        <v>1319770.6899999997</v>
      </c>
      <c r="DZ62" s="10">
        <f>'[34]Pro gestao cobranca tabela 1'!$Q$47</f>
        <v>555761.07999999984</v>
      </c>
      <c r="EA62" s="10">
        <f>'[34]Pro gestao cobranca tabela 1'!$Q$48</f>
        <v>1088347.53</v>
      </c>
      <c r="EB62" s="10">
        <f>'[34]Pro gestao cobranca tabela 1'!$Q$49</f>
        <v>37954.55999999999</v>
      </c>
      <c r="EC62" s="10">
        <f>'[34]Pro gestao cobranca tabela 1'!$Q$50</f>
        <v>0</v>
      </c>
      <c r="ED62" s="10">
        <f>'[34]Pro gestao cobranca tabela 1'!$Q$51</f>
        <v>324737.88</v>
      </c>
      <c r="EE62" s="10">
        <f t="shared" si="138"/>
        <v>3326571.7399999998</v>
      </c>
      <c r="EF62" s="10">
        <f>'[34]Pro gestao cobranca tabela 1'!$Q$53</f>
        <v>1103033.21</v>
      </c>
      <c r="EG62" s="10">
        <f>'[34]Pro gestao cobranca tabela 1'!$Q$54</f>
        <v>302159.59000000003</v>
      </c>
      <c r="EH62" s="10">
        <f>'[34]Pro gestao cobranca tabela 1'!$Q$55</f>
        <v>1080990.4000000001</v>
      </c>
      <c r="EI62" s="10">
        <f>'[34]Pro gestao cobranca tabela 1'!$Q$56</f>
        <v>15238.249999999996</v>
      </c>
      <c r="EJ62" s="10">
        <f>'[34]Pro gestao cobranca tabela 1'!$Q$57</f>
        <v>0</v>
      </c>
      <c r="EK62" s="10">
        <f>'[34]Pro gestao cobranca tabela 1'!$Q$58</f>
        <v>271729.03999999998</v>
      </c>
      <c r="EL62" s="10">
        <f t="shared" si="139"/>
        <v>2773150.49</v>
      </c>
      <c r="EM62" s="153">
        <f t="shared" si="140"/>
        <v>39179960.080000006</v>
      </c>
      <c r="EN62" s="153">
        <f t="shared" si="141"/>
        <v>32735568.89769122</v>
      </c>
      <c r="EO62" s="194"/>
      <c r="EQ62" s="36"/>
      <c r="ER62" s="36"/>
      <c r="ES62" s="36"/>
      <c r="ET62" s="36"/>
    </row>
    <row r="63" spans="1:150" s="5" customFormat="1" ht="12.75" x14ac:dyDescent="0.2">
      <c r="A63" s="196"/>
      <c r="B63" s="15" t="s">
        <v>22</v>
      </c>
      <c r="C63" s="1" t="s">
        <v>14</v>
      </c>
      <c r="D63" s="2">
        <v>40909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151">
        <v>3904009.4400000004</v>
      </c>
      <c r="AL63" s="151">
        <v>3916803.9999999991</v>
      </c>
      <c r="AM63" s="151">
        <v>7609103.2399999909</v>
      </c>
      <c r="AN63" s="151">
        <v>7789715.1399999904</v>
      </c>
      <c r="AO63" s="151">
        <v>8710506.4100000039</v>
      </c>
      <c r="AP63" s="151">
        <v>7927508.1900000032</v>
      </c>
      <c r="AQ63" s="151">
        <v>7800201.4100000048</v>
      </c>
      <c r="AR63" s="151">
        <v>7781220.7500000047</v>
      </c>
      <c r="AS63" s="151">
        <v>3415609.18</v>
      </c>
      <c r="AT63" s="151">
        <v>3617525.92</v>
      </c>
      <c r="AU63" s="151">
        <v>4433064.2799999993</v>
      </c>
      <c r="AV63" s="151">
        <v>519.79999999999995</v>
      </c>
      <c r="AW63" s="151">
        <v>0</v>
      </c>
      <c r="AX63" s="151">
        <v>55941.770000000004</v>
      </c>
      <c r="AY63" s="10">
        <f t="shared" si="128"/>
        <v>11522660.949999999</v>
      </c>
      <c r="AZ63" s="151">
        <v>3838873.81</v>
      </c>
      <c r="BA63" s="151">
        <v>3609006.8299999996</v>
      </c>
      <c r="BB63" s="151">
        <v>4238762.16</v>
      </c>
      <c r="BC63" s="151">
        <v>640.05000000000007</v>
      </c>
      <c r="BD63" s="151">
        <v>0</v>
      </c>
      <c r="BE63" s="151">
        <v>12582.589999999998</v>
      </c>
      <c r="BF63" s="10">
        <f t="shared" si="129"/>
        <v>11699865.440000001</v>
      </c>
      <c r="BG63" s="151">
        <v>3979765.2600000007</v>
      </c>
      <c r="BH63" s="151">
        <v>3636694.8099999991</v>
      </c>
      <c r="BI63" s="151">
        <v>4322509.53</v>
      </c>
      <c r="BJ63" s="151">
        <v>596.79999999999995</v>
      </c>
      <c r="BK63" s="151">
        <v>0</v>
      </c>
      <c r="BL63" s="151">
        <v>70796.749999999971</v>
      </c>
      <c r="BM63" s="10">
        <f>SUM(BG63:BL63)</f>
        <v>12010363.150000002</v>
      </c>
      <c r="BN63" s="151">
        <v>1940299.6799999997</v>
      </c>
      <c r="BO63" s="151">
        <v>3635502.09</v>
      </c>
      <c r="BP63" s="151">
        <v>4324175.33</v>
      </c>
      <c r="BQ63" s="151">
        <v>582.27</v>
      </c>
      <c r="BR63" s="151">
        <v>0</v>
      </c>
      <c r="BS63" s="151">
        <v>13576.73</v>
      </c>
      <c r="BT63" s="10">
        <f t="shared" si="132"/>
        <v>9914136.0999999996</v>
      </c>
      <c r="BU63" s="151">
        <v>6231064.5799999982</v>
      </c>
      <c r="BV63" s="151">
        <v>3319411.1199999996</v>
      </c>
      <c r="BW63" s="151">
        <v>4951729.2400000012</v>
      </c>
      <c r="BX63" s="151">
        <v>717.87</v>
      </c>
      <c r="BY63" s="151">
        <v>0</v>
      </c>
      <c r="BZ63" s="151">
        <v>46904.669999999991</v>
      </c>
      <c r="CA63" s="10">
        <f t="shared" si="61"/>
        <v>14549827.479999997</v>
      </c>
      <c r="CB63" s="151">
        <v>5864213.316999997</v>
      </c>
      <c r="CC63" s="151">
        <v>3478783.78</v>
      </c>
      <c r="CD63" s="151">
        <v>5785605.3500000006</v>
      </c>
      <c r="CE63" s="151">
        <v>380.81999999999994</v>
      </c>
      <c r="CF63" s="151">
        <v>0</v>
      </c>
      <c r="CG63" s="151">
        <v>2384.3999999999992</v>
      </c>
      <c r="CH63" s="10">
        <f t="shared" si="130"/>
        <v>15131367.666999998</v>
      </c>
      <c r="CI63" s="151">
        <f>'[33]CRH MG 2021'!CI9</f>
        <v>3755965.16</v>
      </c>
      <c r="CJ63" s="151">
        <f>'[33]CRH MG 2021'!CJ9</f>
        <v>3319990.75</v>
      </c>
      <c r="CK63" s="151">
        <f>'[33]CRH MG 2021'!CK9</f>
        <v>3746853.9000000018</v>
      </c>
      <c r="CL63" s="151">
        <f>'[33]CRH MG 2021'!CL9</f>
        <v>258.3</v>
      </c>
      <c r="CM63" s="151">
        <f>'[33]CRH MG 2021'!CM9</f>
        <v>0</v>
      </c>
      <c r="CN63" s="151">
        <f>'[33]CRH MG 2021'!CN9</f>
        <v>7301.93</v>
      </c>
      <c r="CO63" s="10">
        <f t="shared" si="133"/>
        <v>10830370.040000003</v>
      </c>
      <c r="CP63" s="151">
        <f>'[33]CRH MG 2021'!CP9</f>
        <v>1943652.9539807872</v>
      </c>
      <c r="CQ63" s="151">
        <f>'[33]CRH MG 2021'!CQ9</f>
        <v>3322440.93</v>
      </c>
      <c r="CR63" s="151">
        <f>'[33]CRH MG 2021'!CR9</f>
        <v>3745946.2600000007</v>
      </c>
      <c r="CS63" s="151">
        <f>'[33]CRH MG 2021'!CS9</f>
        <v>140.04</v>
      </c>
      <c r="CT63" s="151">
        <f>'[33]CRH MG 2021'!CT9</f>
        <v>0</v>
      </c>
      <c r="CU63" s="151">
        <f>'[33]CRH MG 2021'!CU9</f>
        <v>11129.36</v>
      </c>
      <c r="CV63" s="10">
        <f t="shared" si="134"/>
        <v>9023309.5439807866</v>
      </c>
      <c r="CW63" s="154">
        <f>'[33]CRH MG 2021'!CW9</f>
        <v>3849802.93</v>
      </c>
      <c r="CX63" s="154">
        <f>'[33]CRH MG 2021'!CX9</f>
        <v>2975571.81</v>
      </c>
      <c r="CY63" s="154">
        <f>'[33]CRH MG 2021'!CY9</f>
        <v>3838726.4499999997</v>
      </c>
      <c r="CZ63" s="154">
        <f>'[33]CRH MG 2021'!CZ9</f>
        <v>70.02</v>
      </c>
      <c r="DA63" s="154">
        <f>'[33]CRH MG 2021'!DA9</f>
        <v>0</v>
      </c>
      <c r="DB63" s="154">
        <f>'[33]CRH MG 2021'!DB9</f>
        <v>8358.8100000000013</v>
      </c>
      <c r="DC63" s="154">
        <f>'[33]CRH MG 2021'!DC9</f>
        <v>10672530.02</v>
      </c>
      <c r="DD63" s="154">
        <f>'[33]CRH MG 2021'!DD9</f>
        <v>4917910.6401463449</v>
      </c>
      <c r="DE63" s="154">
        <f>'[33]CRH MG 2021'!DE9</f>
        <v>3039153.82</v>
      </c>
      <c r="DF63" s="154">
        <f>'[33]CRH MG 2021'!DF9</f>
        <v>4150943.2299999995</v>
      </c>
      <c r="DG63" s="154">
        <f>'[33]CRH MG 2021'!DG9</f>
        <v>70.02</v>
      </c>
      <c r="DH63" s="154">
        <f>'[33]CRH MG 2021'!DH9</f>
        <v>0</v>
      </c>
      <c r="DI63" s="154">
        <f>'[33]CRH MG 2021'!DI9</f>
        <v>4698.92</v>
      </c>
      <c r="DJ63" s="10">
        <f t="shared" si="135"/>
        <v>12112776.630146345</v>
      </c>
      <c r="DK63" s="10">
        <f>'[33]CRH MG 2021'!DK9</f>
        <v>1022290.1300000005</v>
      </c>
      <c r="DL63" s="10">
        <f>'[33]CRH MG 2021'!DL9</f>
        <v>1212590.3199999994</v>
      </c>
      <c r="DM63" s="10">
        <f>'[33]CRH MG 2021'!DM9</f>
        <v>3167411.8500000006</v>
      </c>
      <c r="DN63" s="10">
        <f>'[33]CRH MG 2021'!DN9</f>
        <v>0</v>
      </c>
      <c r="DO63" s="10">
        <f>'[33]CRH MG 2021'!DO9</f>
        <v>0</v>
      </c>
      <c r="DP63" s="10">
        <f>'[33]CRH MG 2021'!DP9</f>
        <v>115919.63999999998</v>
      </c>
      <c r="DQ63" s="10">
        <f t="shared" si="136"/>
        <v>5518211.9400000004</v>
      </c>
      <c r="DR63" s="10">
        <f>'[33]CRH MG 2021'!DR9</f>
        <v>1521792.6438226011</v>
      </c>
      <c r="DS63" s="10">
        <f>'[33]CRH MG 2021'!DS9</f>
        <v>973885.29999999981</v>
      </c>
      <c r="DT63" s="10">
        <f>'[33]CRH MG 2021'!DT9</f>
        <v>1961621.1799999995</v>
      </c>
      <c r="DU63" s="10">
        <f>'[33]CRH MG 2021'!DU9</f>
        <v>0</v>
      </c>
      <c r="DV63" s="10">
        <f>'[33]CRH MG 2021'!DV9</f>
        <v>0</v>
      </c>
      <c r="DW63" s="10">
        <f>'[33]CRH MG 2021'!DW9</f>
        <v>28545.520000000008</v>
      </c>
      <c r="DX63" s="10">
        <f t="shared" si="137"/>
        <v>4485844.6438226001</v>
      </c>
      <c r="DY63" s="10">
        <f>'[34]Pro gestao cobranca tabela 1'!$Q$60</f>
        <v>3312808.1300000008</v>
      </c>
      <c r="DZ63" s="10">
        <f>'[34]Pro gestao cobranca tabela 1'!$Q$61</f>
        <v>5124482.7499999991</v>
      </c>
      <c r="EA63" s="10">
        <f>'[34]Pro gestao cobranca tabela 1'!$Q$62</f>
        <v>2838290.6700000004</v>
      </c>
      <c r="EB63" s="10">
        <f>'[34]Pro gestao cobranca tabela 1'!$Q$63</f>
        <v>10420.369999999999</v>
      </c>
      <c r="EC63" s="10">
        <f>'[34]Pro gestao cobranca tabela 1'!$Q$64</f>
        <v>0</v>
      </c>
      <c r="ED63" s="10">
        <f>'[34]Pro gestao cobranca tabela 1'!$Q$65</f>
        <v>173677.44000000006</v>
      </c>
      <c r="EE63" s="10">
        <f t="shared" si="138"/>
        <v>11459679.359999998</v>
      </c>
      <c r="EF63" s="10">
        <f>'[34]Pro gestao cobranca tabela 1'!$Q$67</f>
        <v>3070085.3900000015</v>
      </c>
      <c r="EG63" s="10">
        <f>'[34]Pro gestao cobranca tabela 1'!$Q$68</f>
        <v>5005528.4800000032</v>
      </c>
      <c r="EH63" s="10">
        <f>'[34]Pro gestao cobranca tabela 1'!$Q$69</f>
        <v>2825380.43</v>
      </c>
      <c r="EI63" s="10">
        <f>'[34]Pro gestao cobranca tabela 1'!$Q$70</f>
        <v>8915.7999999999975</v>
      </c>
      <c r="EJ63" s="10">
        <f>'[34]Pro gestao cobranca tabela 1'!$Q$71</f>
        <v>0</v>
      </c>
      <c r="EK63" s="10">
        <f>'[34]Pro gestao cobranca tabela 1'!$Q$72</f>
        <v>118143.75</v>
      </c>
      <c r="EL63" s="10">
        <f t="shared" si="139"/>
        <v>11028053.850000005</v>
      </c>
      <c r="EM63" s="153">
        <f t="shared" si="140"/>
        <v>104587463.44</v>
      </c>
      <c r="EN63" s="153">
        <f t="shared" si="141"/>
        <v>100810601.95494972</v>
      </c>
      <c r="EO63" s="194"/>
      <c r="EQ63" s="36"/>
      <c r="ER63" s="36"/>
      <c r="ES63" s="36"/>
      <c r="ET63" s="36"/>
    </row>
    <row r="64" spans="1:150" s="5" customFormat="1" ht="12.75" x14ac:dyDescent="0.2">
      <c r="A64" s="196"/>
      <c r="B64" s="15" t="s">
        <v>23</v>
      </c>
      <c r="C64" s="1" t="s">
        <v>14</v>
      </c>
      <c r="D64" s="2">
        <v>40909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151">
        <v>692061.30999999994</v>
      </c>
      <c r="AL64" s="151">
        <v>654043.9</v>
      </c>
      <c r="AM64" s="151">
        <v>1328630.4599999997</v>
      </c>
      <c r="AN64" s="151">
        <v>1339596.17</v>
      </c>
      <c r="AO64" s="151">
        <v>2350744.1900000023</v>
      </c>
      <c r="AP64" s="151">
        <v>2287857.4400000013</v>
      </c>
      <c r="AQ64" s="151">
        <v>2671843.5199999996</v>
      </c>
      <c r="AR64" s="151">
        <v>2642322.1199999992</v>
      </c>
      <c r="AS64" s="151">
        <v>517446.07999999984</v>
      </c>
      <c r="AT64" s="151">
        <v>408361.99000000022</v>
      </c>
      <c r="AU64" s="151">
        <v>2047737.2199999997</v>
      </c>
      <c r="AV64" s="151">
        <v>426.34</v>
      </c>
      <c r="AW64" s="151">
        <v>0</v>
      </c>
      <c r="AX64" s="151">
        <v>14305.010000000004</v>
      </c>
      <c r="AY64" s="10">
        <f t="shared" si="128"/>
        <v>2988276.6399999997</v>
      </c>
      <c r="AZ64" s="151">
        <v>381874.88999999978</v>
      </c>
      <c r="BA64" s="151">
        <v>406477.01</v>
      </c>
      <c r="BB64" s="151">
        <v>1769585.25</v>
      </c>
      <c r="BC64" s="151">
        <v>273.26</v>
      </c>
      <c r="BD64" s="151">
        <v>0</v>
      </c>
      <c r="BE64" s="151">
        <v>2743.6699999999992</v>
      </c>
      <c r="BF64" s="10">
        <f t="shared" si="129"/>
        <v>2560954.0799999996</v>
      </c>
      <c r="BG64" s="151">
        <v>1134278.3200000008</v>
      </c>
      <c r="BH64" s="151">
        <v>386617.73999999993</v>
      </c>
      <c r="BI64" s="151">
        <v>2695816.4199999995</v>
      </c>
      <c r="BJ64" s="151">
        <v>329.57</v>
      </c>
      <c r="BK64" s="151">
        <v>0</v>
      </c>
      <c r="BL64" s="151">
        <v>18191.649999999998</v>
      </c>
      <c r="BM64" s="10">
        <f t="shared" si="131"/>
        <v>4235233.7000000011</v>
      </c>
      <c r="BN64" s="151">
        <v>679235.46999999974</v>
      </c>
      <c r="BO64" s="151">
        <v>384683.04999999987</v>
      </c>
      <c r="BP64" s="151">
        <v>1542483.9199999997</v>
      </c>
      <c r="BQ64" s="151">
        <v>83.25</v>
      </c>
      <c r="BR64" s="151">
        <v>0</v>
      </c>
      <c r="BS64" s="151">
        <v>2768.1899999999996</v>
      </c>
      <c r="BT64" s="10">
        <f t="shared" si="132"/>
        <v>2609253.8799999994</v>
      </c>
      <c r="BU64" s="151">
        <v>650797.42000000027</v>
      </c>
      <c r="BV64" s="151">
        <v>327476.59999999998</v>
      </c>
      <c r="BW64" s="151">
        <v>1897244.3599999996</v>
      </c>
      <c r="BX64" s="151">
        <v>83.25</v>
      </c>
      <c r="BY64" s="151">
        <v>0</v>
      </c>
      <c r="BZ64" s="151">
        <v>7871.9500000000007</v>
      </c>
      <c r="CA64" s="10">
        <f t="shared" si="61"/>
        <v>2883473.58</v>
      </c>
      <c r="CB64" s="151">
        <v>718680.4424997383</v>
      </c>
      <c r="CC64" s="151">
        <v>408236.21</v>
      </c>
      <c r="CD64" s="151">
        <v>2809272.6944118342</v>
      </c>
      <c r="CE64" s="151">
        <v>84.91</v>
      </c>
      <c r="CF64" s="151">
        <v>0</v>
      </c>
      <c r="CG64" s="151">
        <v>251.92999999999998</v>
      </c>
      <c r="CH64" s="10">
        <f t="shared" si="130"/>
        <v>3936526.1869115732</v>
      </c>
      <c r="CI64" s="151">
        <f>'[33]CRH MG 2021'!CI10</f>
        <v>521216.56000000006</v>
      </c>
      <c r="CJ64" s="151">
        <f>'[33]CRH MG 2021'!CJ10</f>
        <v>327854.98</v>
      </c>
      <c r="CK64" s="151">
        <f>'[33]CRH MG 2021'!CK10</f>
        <v>2127772.8200000003</v>
      </c>
      <c r="CL64" s="151">
        <f>'[33]CRH MG 2021'!CL10</f>
        <v>0</v>
      </c>
      <c r="CM64" s="151">
        <f>'[33]CRH MG 2021'!CM10</f>
        <v>0</v>
      </c>
      <c r="CN64" s="151">
        <f>'[33]CRH MG 2021'!CN10</f>
        <v>9716.07</v>
      </c>
      <c r="CO64" s="10">
        <f t="shared" si="133"/>
        <v>2986560.43</v>
      </c>
      <c r="CP64" s="151">
        <f>'[33]CRH MG 2021'!CP10</f>
        <v>578976.10954559012</v>
      </c>
      <c r="CQ64" s="151">
        <f>'[33]CRH MG 2021'!CQ10</f>
        <v>326872.67000000004</v>
      </c>
      <c r="CR64" s="151">
        <f>'[33]CRH MG 2021'!CR10</f>
        <v>2364543.3084082152</v>
      </c>
      <c r="CS64" s="151">
        <f>'[33]CRH MG 2021'!CS10</f>
        <v>0</v>
      </c>
      <c r="CT64" s="151">
        <f>'[33]CRH MG 2021'!CT10</f>
        <v>0</v>
      </c>
      <c r="CU64" s="151">
        <f>'[33]CRH MG 2021'!CU10</f>
        <v>1062.1499999999999</v>
      </c>
      <c r="CV64" s="10">
        <f t="shared" si="134"/>
        <v>3271454.2379538054</v>
      </c>
      <c r="CW64" s="154">
        <f>'[33]CRH MG 2021'!CW10</f>
        <v>459554.46</v>
      </c>
      <c r="CX64" s="154">
        <f>'[33]CRH MG 2021'!CX10</f>
        <v>285850.09999999998</v>
      </c>
      <c r="CY64" s="154">
        <f>'[33]CRH MG 2021'!CY10</f>
        <v>1736587.9100000001</v>
      </c>
      <c r="CZ64" s="154">
        <f>'[33]CRH MG 2021'!CZ10</f>
        <v>0</v>
      </c>
      <c r="DA64" s="154">
        <f>'[33]CRH MG 2021'!DA10</f>
        <v>0</v>
      </c>
      <c r="DB64" s="154">
        <f>'[33]CRH MG 2021'!DB10</f>
        <v>6384.5400000000009</v>
      </c>
      <c r="DC64" s="154">
        <f>'[33]CRH MG 2021'!DC10</f>
        <v>2488377.0100000002</v>
      </c>
      <c r="DD64" s="154">
        <f>'[33]CRH MG 2021'!DD10</f>
        <v>553869.54328911926</v>
      </c>
      <c r="DE64" s="154">
        <f>'[33]CRH MG 2021'!DE10</f>
        <v>324224.90000000002</v>
      </c>
      <c r="DF64" s="154">
        <f>'[33]CRH MG 2021'!DF10</f>
        <v>1743263.8415558951</v>
      </c>
      <c r="DG64" s="154">
        <f>'[33]CRH MG 2021'!DG10</f>
        <v>0</v>
      </c>
      <c r="DH64" s="154">
        <f>'[33]CRH MG 2021'!DH10</f>
        <v>0</v>
      </c>
      <c r="DI64" s="154">
        <f>'[33]CRH MG 2021'!DI10</f>
        <v>416.78999999999996</v>
      </c>
      <c r="DJ64" s="10">
        <f t="shared" si="135"/>
        <v>2621775.0748450141</v>
      </c>
      <c r="DK64" s="10">
        <f>'[33]CRH MG 2021'!DK10</f>
        <v>618125.99</v>
      </c>
      <c r="DL64" s="10">
        <f>'[33]CRH MG 2021'!DL10</f>
        <v>129089.11</v>
      </c>
      <c r="DM64" s="10">
        <f>'[33]CRH MG 2021'!DM10</f>
        <v>935904.69</v>
      </c>
      <c r="DN64" s="10">
        <f>'[33]CRH MG 2021'!DN10</f>
        <v>0</v>
      </c>
      <c r="DO64" s="10">
        <f>'[33]CRH MG 2021'!DO10</f>
        <v>0</v>
      </c>
      <c r="DP64" s="10">
        <f>'[33]CRH MG 2021'!DP10</f>
        <v>56045.46</v>
      </c>
      <c r="DQ64" s="10">
        <f t="shared" si="136"/>
        <v>1739165.25</v>
      </c>
      <c r="DR64" s="10">
        <f>'[33]CRH MG 2021'!DR10</f>
        <v>528362.28578465607</v>
      </c>
      <c r="DS64" s="10">
        <f>'[33]CRH MG 2021'!DS10</f>
        <v>2638.32</v>
      </c>
      <c r="DT64" s="10">
        <f>'[33]CRH MG 2021'!DT10</f>
        <v>524909.54</v>
      </c>
      <c r="DU64" s="10">
        <f>'[33]CRH MG 2021'!DU10</f>
        <v>0</v>
      </c>
      <c r="DV64" s="10">
        <f>'[33]CRH MG 2021'!DV10</f>
        <v>0</v>
      </c>
      <c r="DW64" s="10">
        <f>'[33]CRH MG 2021'!DW10</f>
        <v>17627.21</v>
      </c>
      <c r="DX64" s="10">
        <f t="shared" si="137"/>
        <v>1073537.355784656</v>
      </c>
      <c r="DY64" s="10">
        <f>'[34]Pro gestao cobranca tabela 1'!$Q$74</f>
        <v>535777.56000000017</v>
      </c>
      <c r="DZ64" s="10">
        <f>'[34]Pro gestao cobranca tabela 1'!$Q$75</f>
        <v>371447.72000000003</v>
      </c>
      <c r="EA64" s="10">
        <f>'[34]Pro gestao cobranca tabela 1'!$Q$76</f>
        <v>618195.78</v>
      </c>
      <c r="EB64" s="10">
        <f>'[34]Pro gestao cobranca tabela 1'!$Q$77</f>
        <v>6561.85</v>
      </c>
      <c r="EC64" s="10">
        <f>'[34]Pro gestao cobranca tabela 1'!$Q$78</f>
        <v>0</v>
      </c>
      <c r="ED64" s="10">
        <f>'[34]Pro gestao cobranca tabela 1'!$Q$79</f>
        <v>323797.42999999993</v>
      </c>
      <c r="EE64" s="10">
        <f t="shared" si="138"/>
        <v>1855780.3400000003</v>
      </c>
      <c r="EF64" s="10">
        <f>'[34]Pro gestao cobranca tabela 1'!$Q$81</f>
        <v>356622.99</v>
      </c>
      <c r="EG64" s="10">
        <f>'[34]Pro gestao cobranca tabela 1'!$Q$82</f>
        <v>364376.89999999997</v>
      </c>
      <c r="EH64" s="10">
        <f>'[34]Pro gestao cobranca tabela 1'!$Q$83</f>
        <v>714706.75</v>
      </c>
      <c r="EI64" s="10">
        <f>'[34]Pro gestao cobranca tabela 1'!$Q$84</f>
        <v>6103.21</v>
      </c>
      <c r="EJ64" s="10">
        <f>'[34]Pro gestao cobranca tabela 1'!$Q$85</f>
        <v>0</v>
      </c>
      <c r="EK64" s="10">
        <f>'[34]Pro gestao cobranca tabela 1'!$Q$86</f>
        <v>13932.53</v>
      </c>
      <c r="EL64" s="10">
        <f t="shared" si="139"/>
        <v>1455742.38</v>
      </c>
      <c r="EM64" s="153">
        <f t="shared" si="140"/>
        <v>26220146.430000003</v>
      </c>
      <c r="EN64" s="153">
        <f t="shared" si="141"/>
        <v>24453062.825495046</v>
      </c>
      <c r="EO64" s="194"/>
      <c r="EQ64" s="36"/>
      <c r="ER64" s="36"/>
      <c r="ES64" s="36"/>
      <c r="ET64" s="36"/>
    </row>
    <row r="65" spans="1:150" s="5" customFormat="1" ht="12.75" x14ac:dyDescent="0.2">
      <c r="A65" s="196"/>
      <c r="B65" s="15" t="s">
        <v>24</v>
      </c>
      <c r="C65" s="1" t="s">
        <v>14</v>
      </c>
      <c r="D65" s="2">
        <v>40909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151">
        <v>316748.06999999995</v>
      </c>
      <c r="AL65" s="151">
        <v>309629.41999999987</v>
      </c>
      <c r="AM65" s="151">
        <v>515537.52999999985</v>
      </c>
      <c r="AN65" s="151">
        <v>570137.48999999987</v>
      </c>
      <c r="AO65" s="151">
        <v>779399.74000000022</v>
      </c>
      <c r="AP65" s="151">
        <v>670994.41000000027</v>
      </c>
      <c r="AQ65" s="151">
        <v>694614.32999999984</v>
      </c>
      <c r="AR65" s="151">
        <v>594208.73999999976</v>
      </c>
      <c r="AS65" s="151">
        <v>720294.69</v>
      </c>
      <c r="AT65" s="151">
        <v>91546.419999999984</v>
      </c>
      <c r="AU65" s="151">
        <v>2543.62</v>
      </c>
      <c r="AV65" s="151">
        <v>4886.8200000000006</v>
      </c>
      <c r="AW65" s="151">
        <v>0</v>
      </c>
      <c r="AX65" s="151">
        <v>145634.63999999998</v>
      </c>
      <c r="AY65" s="10">
        <f t="shared" si="128"/>
        <v>964906.18999999983</v>
      </c>
      <c r="AZ65" s="151">
        <v>506644.67</v>
      </c>
      <c r="BA65" s="151">
        <v>87482.709999999992</v>
      </c>
      <c r="BB65" s="151">
        <v>2609.5100000000002</v>
      </c>
      <c r="BC65" s="151">
        <v>3293.42</v>
      </c>
      <c r="BD65" s="151">
        <v>0</v>
      </c>
      <c r="BE65" s="151">
        <v>78050.169999999969</v>
      </c>
      <c r="BF65" s="10">
        <f t="shared" si="129"/>
        <v>678080.48</v>
      </c>
      <c r="BG65" s="151">
        <v>2550237.1100000008</v>
      </c>
      <c r="BH65" s="151">
        <v>116878.51</v>
      </c>
      <c r="BI65" s="151">
        <v>8547.9399999999987</v>
      </c>
      <c r="BJ65" s="151">
        <v>6518.1599999999989</v>
      </c>
      <c r="BK65" s="151">
        <v>0</v>
      </c>
      <c r="BL65" s="151">
        <v>130691.19000000002</v>
      </c>
      <c r="BM65" s="10">
        <f>SUM(BG65:BL65)</f>
        <v>2812872.9100000006</v>
      </c>
      <c r="BN65" s="151">
        <v>657687.95000000042</v>
      </c>
      <c r="BO65" s="151">
        <v>117147.81999999999</v>
      </c>
      <c r="BP65" s="151">
        <v>3906.3099999999995</v>
      </c>
      <c r="BQ65" s="151">
        <v>4671.54</v>
      </c>
      <c r="BR65" s="151">
        <v>0</v>
      </c>
      <c r="BS65" s="151">
        <v>6515.26</v>
      </c>
      <c r="BT65" s="10">
        <f t="shared" si="132"/>
        <v>789928.88000000047</v>
      </c>
      <c r="BU65" s="151">
        <v>966640.38000000047</v>
      </c>
      <c r="BV65" s="151">
        <v>113348.40000000001</v>
      </c>
      <c r="BW65" s="151">
        <v>21473.640000000007</v>
      </c>
      <c r="BX65" s="151">
        <v>5733.32</v>
      </c>
      <c r="BY65" s="151">
        <v>0</v>
      </c>
      <c r="BZ65" s="151">
        <v>8531.36</v>
      </c>
      <c r="CA65" s="10">
        <f t="shared" si="61"/>
        <v>1115727.1000000006</v>
      </c>
      <c r="CB65" s="151">
        <v>763363.13711027161</v>
      </c>
      <c r="CC65" s="151">
        <v>88384.770000000019</v>
      </c>
      <c r="CD65" s="151">
        <v>11825.140000000003</v>
      </c>
      <c r="CE65" s="151">
        <v>4968.59</v>
      </c>
      <c r="CF65" s="151">
        <v>0</v>
      </c>
      <c r="CG65" s="151">
        <v>6167.77</v>
      </c>
      <c r="CH65" s="10">
        <f t="shared" si="130"/>
        <v>874709.40711027163</v>
      </c>
      <c r="CI65" s="151">
        <f>'[33]CRH MG 2021'!CI11</f>
        <v>1754294.4599999974</v>
      </c>
      <c r="CJ65" s="151">
        <f>'[33]CRH MG 2021'!CJ11</f>
        <v>95686.440000000017</v>
      </c>
      <c r="CK65" s="151">
        <f>'[33]CRH MG 2021'!CK11</f>
        <v>21473.640000000007</v>
      </c>
      <c r="CL65" s="151">
        <f>'[33]CRH MG 2021'!CL11</f>
        <v>7780.0300000000007</v>
      </c>
      <c r="CM65" s="151">
        <f>'[33]CRH MG 2021'!CM11</f>
        <v>0</v>
      </c>
      <c r="CN65" s="151">
        <f>'[33]CRH MG 2021'!CN11</f>
        <v>6314.8200000000006</v>
      </c>
      <c r="CO65" s="10">
        <f t="shared" si="133"/>
        <v>1885549.3899999973</v>
      </c>
      <c r="CP65" s="151">
        <f>'[33]CRH MG 2021'!CP11</f>
        <v>851282.94409583078</v>
      </c>
      <c r="CQ65" s="151">
        <f>'[33]CRH MG 2021'!CQ11</f>
        <v>89560.56</v>
      </c>
      <c r="CR65" s="151">
        <f>'[33]CRH MG 2021'!CR11</f>
        <v>10112.65</v>
      </c>
      <c r="CS65" s="151">
        <f>'[33]CRH MG 2021'!CS11</f>
        <v>7271.8200000000015</v>
      </c>
      <c r="CT65" s="151">
        <f>'[33]CRH MG 2021'!CT11</f>
        <v>0</v>
      </c>
      <c r="CU65" s="151">
        <f>'[33]CRH MG 2021'!CU11</f>
        <v>7154.0400000000009</v>
      </c>
      <c r="CV65" s="10">
        <f t="shared" si="134"/>
        <v>965382.01409583073</v>
      </c>
      <c r="CW65" s="154">
        <f>'[33]CRH MG 2021'!CW11</f>
        <v>1022151.7099999995</v>
      </c>
      <c r="CX65" s="154">
        <f>'[33]CRH MG 2021'!CX11</f>
        <v>90923.750000000015</v>
      </c>
      <c r="CY65" s="154">
        <f>'[33]CRH MG 2021'!CY11</f>
        <v>12445.09</v>
      </c>
      <c r="CZ65" s="154">
        <f>'[33]CRH MG 2021'!CZ11</f>
        <v>24413.680000000004</v>
      </c>
      <c r="DA65" s="154">
        <f>'[33]CRH MG 2021'!DA11</f>
        <v>0</v>
      </c>
      <c r="DB65" s="154">
        <f>'[33]CRH MG 2021'!DB11</f>
        <v>265952.02</v>
      </c>
      <c r="DC65" s="154">
        <f>'[33]CRH MG 2021'!DC11</f>
        <v>1415886.2499999995</v>
      </c>
      <c r="DD65" s="154">
        <f>'[33]CRH MG 2021'!DD11</f>
        <v>916727.94531014294</v>
      </c>
      <c r="DE65" s="154">
        <f>'[33]CRH MG 2021'!DE11</f>
        <v>80245.279999999999</v>
      </c>
      <c r="DF65" s="154">
        <f>'[33]CRH MG 2021'!DF11</f>
        <v>4471.21</v>
      </c>
      <c r="DG65" s="154">
        <f>'[33]CRH MG 2021'!DG11</f>
        <v>5725.2099999999991</v>
      </c>
      <c r="DH65" s="154">
        <f>'[33]CRH MG 2021'!DH11</f>
        <v>0</v>
      </c>
      <c r="DI65" s="154">
        <f>'[33]CRH MG 2021'!DI11</f>
        <v>4918.93</v>
      </c>
      <c r="DJ65" s="10">
        <f t="shared" si="135"/>
        <v>1012088.5753101429</v>
      </c>
      <c r="DK65" s="10">
        <f>'[33]CRH MG 2021'!DK11</f>
        <v>1282870.2500000007</v>
      </c>
      <c r="DL65" s="10">
        <f>'[33]CRH MG 2021'!DL11</f>
        <v>73751.880000000019</v>
      </c>
      <c r="DM65" s="10">
        <f>'[33]CRH MG 2021'!DM11</f>
        <v>4761.51</v>
      </c>
      <c r="DN65" s="10">
        <f>'[33]CRH MG 2021'!DN11</f>
        <v>6950.05</v>
      </c>
      <c r="DO65" s="10">
        <f>'[33]CRH MG 2021'!DO11</f>
        <v>0</v>
      </c>
      <c r="DP65" s="10">
        <f>'[33]CRH MG 2021'!DP11</f>
        <v>257703.33999999997</v>
      </c>
      <c r="DQ65" s="10">
        <f t="shared" si="136"/>
        <v>1626037.0300000007</v>
      </c>
      <c r="DR65" s="10">
        <f>'[33]CRH MG 2021'!DR11</f>
        <v>318455.37475565821</v>
      </c>
      <c r="DS65" s="10">
        <f>'[33]CRH MG 2021'!DS11</f>
        <v>5716.1900000000005</v>
      </c>
      <c r="DT65" s="10">
        <f>'[33]CRH MG 2021'!DT11</f>
        <v>7177.2273738052763</v>
      </c>
      <c r="DU65" s="10">
        <f>'[33]CRH MG 2021'!DU11</f>
        <v>1328.4499999999998</v>
      </c>
      <c r="DV65" s="10">
        <f>'[33]CRH MG 2021'!DV11</f>
        <v>0</v>
      </c>
      <c r="DW65" s="10">
        <f>'[33]CRH MG 2021'!DW11</f>
        <v>53740.12999999999</v>
      </c>
      <c r="DX65" s="10">
        <f t="shared" si="137"/>
        <v>386417.37212946353</v>
      </c>
      <c r="DY65" s="10">
        <f>'[34]Pro gestao cobranca tabela 1'!$Q$88</f>
        <v>1343806.0000000002</v>
      </c>
      <c r="DZ65" s="10">
        <f>'[34]Pro gestao cobranca tabela 1'!$Q$89</f>
        <v>77141.51999999999</v>
      </c>
      <c r="EA65" s="10">
        <f>'[34]Pro gestao cobranca tabela 1'!$Q$90</f>
        <v>0</v>
      </c>
      <c r="EB65" s="10">
        <f>'[34]Pro gestao cobranca tabela 1'!$Q$91</f>
        <v>18031.810000000001</v>
      </c>
      <c r="EC65" s="10">
        <f>'[34]Pro gestao cobranca tabela 1'!$Q$92</f>
        <v>0</v>
      </c>
      <c r="ED65" s="10">
        <f>'[34]Pro gestao cobranca tabela 1'!$Q$93</f>
        <v>122139.07</v>
      </c>
      <c r="EE65" s="10">
        <f t="shared" si="138"/>
        <v>1561118.4000000004</v>
      </c>
      <c r="EF65" s="10">
        <f>'[34]Pro gestao cobranca tabela 1'!$Q$95</f>
        <v>561607.61000000022</v>
      </c>
      <c r="EG65" s="10">
        <f>'[34]Pro gestao cobranca tabela 1'!$Q$96</f>
        <v>16117.869999999999</v>
      </c>
      <c r="EH65" s="10">
        <f>'[34]Pro gestao cobranca tabela 1'!$Q$97</f>
        <v>6282.2499999999991</v>
      </c>
      <c r="EI65" s="10">
        <f>'[34]Pro gestao cobranca tabela 1'!$Q$98</f>
        <v>9791.8500000000022</v>
      </c>
      <c r="EJ65" s="10">
        <f>'[34]Pro gestao cobranca tabela 1'!$Q$99</f>
        <v>0</v>
      </c>
      <c r="EK65" s="10">
        <f>'[34]Pro gestao cobranca tabela 1'!$Q$100</f>
        <v>58273.260000000017</v>
      </c>
      <c r="EL65" s="10">
        <f t="shared" si="139"/>
        <v>652072.8400000002</v>
      </c>
      <c r="EM65" s="153">
        <f t="shared" si="140"/>
        <v>13688396.939999999</v>
      </c>
      <c r="EN65" s="153">
        <f t="shared" si="141"/>
        <v>7503649.6286457088</v>
      </c>
      <c r="EO65" s="194"/>
      <c r="EQ65" s="36"/>
      <c r="ER65" s="36"/>
      <c r="ES65" s="36"/>
      <c r="ET65" s="36"/>
    </row>
    <row r="66" spans="1:150" s="5" customFormat="1" ht="12.75" x14ac:dyDescent="0.2">
      <c r="A66" s="196"/>
      <c r="B66" s="15" t="s">
        <v>25</v>
      </c>
      <c r="C66" s="1" t="s">
        <v>14</v>
      </c>
      <c r="D66" s="2">
        <v>40909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151">
        <v>344127.92</v>
      </c>
      <c r="AL66" s="151">
        <v>324362.08999999997</v>
      </c>
      <c r="AM66" s="151">
        <v>591007.18000000005</v>
      </c>
      <c r="AN66" s="151">
        <v>721439.9600000002</v>
      </c>
      <c r="AO66" s="151">
        <v>808793.93000000017</v>
      </c>
      <c r="AP66" s="151">
        <v>694343.39</v>
      </c>
      <c r="AQ66" s="151">
        <v>986596.70999999961</v>
      </c>
      <c r="AR66" s="151">
        <v>703728.5499999997</v>
      </c>
      <c r="AS66" s="151">
        <v>1451711.7599999993</v>
      </c>
      <c r="AT66" s="151">
        <v>13238.450000000003</v>
      </c>
      <c r="AU66" s="151">
        <v>0</v>
      </c>
      <c r="AV66" s="151">
        <v>796.11</v>
      </c>
      <c r="AW66" s="151">
        <v>0</v>
      </c>
      <c r="AX66" s="151">
        <v>6886.8499999999995</v>
      </c>
      <c r="AY66" s="10">
        <f t="shared" si="128"/>
        <v>1472633.1699999995</v>
      </c>
      <c r="AZ66" s="151">
        <v>922447.29000000015</v>
      </c>
      <c r="BA66" s="151">
        <v>12139</v>
      </c>
      <c r="BB66" s="151">
        <v>0</v>
      </c>
      <c r="BC66" s="151">
        <v>686.78</v>
      </c>
      <c r="BD66" s="151">
        <v>0</v>
      </c>
      <c r="BE66" s="151">
        <v>6804.3899999999994</v>
      </c>
      <c r="BF66" s="10">
        <f t="shared" si="129"/>
        <v>942077.4600000002</v>
      </c>
      <c r="BG66" s="151">
        <v>2454869.3199999998</v>
      </c>
      <c r="BH66" s="151">
        <v>14777.520000000002</v>
      </c>
      <c r="BI66" s="151">
        <v>0</v>
      </c>
      <c r="BJ66" s="151">
        <v>805.65</v>
      </c>
      <c r="BK66" s="151">
        <v>0</v>
      </c>
      <c r="BL66" s="151">
        <v>14603.800000000003</v>
      </c>
      <c r="BM66" s="10">
        <f t="shared" si="131"/>
        <v>2485056.2899999996</v>
      </c>
      <c r="BN66" s="151">
        <v>969847.22</v>
      </c>
      <c r="BO66" s="151">
        <v>12953.070000000002</v>
      </c>
      <c r="BP66" s="151">
        <v>0</v>
      </c>
      <c r="BQ66" s="151">
        <v>848.89</v>
      </c>
      <c r="BR66" s="151">
        <v>0</v>
      </c>
      <c r="BS66" s="151">
        <v>14414.02</v>
      </c>
      <c r="BT66" s="10">
        <f t="shared" si="132"/>
        <v>998063.2</v>
      </c>
      <c r="BU66" s="151">
        <v>990781.53000000014</v>
      </c>
      <c r="BV66" s="151">
        <v>13237.240000000002</v>
      </c>
      <c r="BW66" s="151">
        <v>0</v>
      </c>
      <c r="BX66" s="151">
        <v>735.12</v>
      </c>
      <c r="BY66" s="151">
        <v>0</v>
      </c>
      <c r="BZ66" s="151">
        <v>25729.269999999997</v>
      </c>
      <c r="CA66" s="10">
        <f t="shared" si="61"/>
        <v>1030483.1600000001</v>
      </c>
      <c r="CB66" s="151">
        <v>845360.23476892372</v>
      </c>
      <c r="CC66" s="151">
        <v>16596.930000000004</v>
      </c>
      <c r="CD66" s="151">
        <v>0</v>
      </c>
      <c r="CE66" s="151">
        <v>878.31</v>
      </c>
      <c r="CF66" s="151">
        <v>0</v>
      </c>
      <c r="CG66" s="151">
        <v>13752.03</v>
      </c>
      <c r="CH66" s="10">
        <f t="shared" si="130"/>
        <v>876587.50476892386</v>
      </c>
      <c r="CI66" s="151">
        <f>'[33]CRH MG 2021'!CI12</f>
        <v>980705.23000000021</v>
      </c>
      <c r="CJ66" s="151">
        <f>'[33]CRH MG 2021'!CJ12</f>
        <v>13237.240000000002</v>
      </c>
      <c r="CK66" s="151">
        <f>'[33]CRH MG 2021'!CK12</f>
        <v>0</v>
      </c>
      <c r="CL66" s="151">
        <f>'[33]CRH MG 2021'!CL12</f>
        <v>735.12</v>
      </c>
      <c r="CM66" s="151">
        <f>'[33]CRH MG 2021'!CM12</f>
        <v>0</v>
      </c>
      <c r="CN66" s="151">
        <f>'[33]CRH MG 2021'!CN12</f>
        <v>25843.920000000002</v>
      </c>
      <c r="CO66" s="10">
        <f t="shared" si="133"/>
        <v>1020521.5100000002</v>
      </c>
      <c r="CP66" s="151">
        <f>'[33]CRH MG 2021'!CP12</f>
        <v>781969.76165585662</v>
      </c>
      <c r="CQ66" s="151">
        <f>'[33]CRH MG 2021'!CQ12</f>
        <v>12804.300000000003</v>
      </c>
      <c r="CR66" s="151">
        <f>'[33]CRH MG 2021'!CR12</f>
        <v>0</v>
      </c>
      <c r="CS66" s="151">
        <f>'[33]CRH MG 2021'!CS12</f>
        <v>555.66</v>
      </c>
      <c r="CT66" s="151">
        <f>'[33]CRH MG 2021'!CT12</f>
        <v>0</v>
      </c>
      <c r="CU66" s="151">
        <f>'[33]CRH MG 2021'!CU12</f>
        <v>7976.6100000000006</v>
      </c>
      <c r="CV66" s="10">
        <f t="shared" si="134"/>
        <v>803306.33165585669</v>
      </c>
      <c r="CW66" s="154">
        <f>'[33]CRH MG 2021'!CW12</f>
        <v>858463.46</v>
      </c>
      <c r="CX66" s="154">
        <f>'[33]CRH MG 2021'!CX12</f>
        <v>11582.590000000002</v>
      </c>
      <c r="CY66" s="154">
        <f>'[33]CRH MG 2021'!CY12</f>
        <v>0</v>
      </c>
      <c r="CZ66" s="154">
        <f>'[33]CRH MG 2021'!CZ12</f>
        <v>527.94000000000005</v>
      </c>
      <c r="DA66" s="154">
        <f>'[33]CRH MG 2021'!DA12</f>
        <v>0</v>
      </c>
      <c r="DB66" s="154">
        <f>'[33]CRH MG 2021'!DB12</f>
        <v>21876.190000000002</v>
      </c>
      <c r="DC66" s="154">
        <f>'[33]CRH MG 2021'!DC12</f>
        <v>892450.17999999993</v>
      </c>
      <c r="DD66" s="154">
        <f>'[33]CRH MG 2021'!DD12</f>
        <v>763597.21690816106</v>
      </c>
      <c r="DE66" s="154">
        <f>'[33]CRH MG 2021'!DE12</f>
        <v>11183.9</v>
      </c>
      <c r="DF66" s="154">
        <f>'[33]CRH MG 2021'!DF12</f>
        <v>0</v>
      </c>
      <c r="DG66" s="154">
        <f>'[33]CRH MG 2021'!DG12</f>
        <v>501.9</v>
      </c>
      <c r="DH66" s="154">
        <f>'[33]CRH MG 2021'!DH12</f>
        <v>0</v>
      </c>
      <c r="DI66" s="154">
        <f>'[33]CRH MG 2021'!DI12</f>
        <v>6839.26</v>
      </c>
      <c r="DJ66" s="10">
        <f t="shared" si="135"/>
        <v>782122.27690816112</v>
      </c>
      <c r="DK66" s="10">
        <f>'[33]CRH MG 2021'!DK12</f>
        <v>364242.37000000017</v>
      </c>
      <c r="DL66" s="10">
        <f>'[33]CRH MG 2021'!DL12</f>
        <v>6225.5</v>
      </c>
      <c r="DM66" s="10">
        <f>'[33]CRH MG 2021'!DM12</f>
        <v>0</v>
      </c>
      <c r="DN66" s="10">
        <f>'[33]CRH MG 2021'!DN12</f>
        <v>1151.3899999999999</v>
      </c>
      <c r="DO66" s="10">
        <f>'[33]CRH MG 2021'!DO12</f>
        <v>0</v>
      </c>
      <c r="DP66" s="10">
        <f>'[33]CRH MG 2021'!DP12</f>
        <v>35461.159999999982</v>
      </c>
      <c r="DQ66" s="10">
        <f t="shared" si="136"/>
        <v>407080.42000000016</v>
      </c>
      <c r="DR66" s="10">
        <f>'[33]CRH MG 2021'!DR12</f>
        <v>270835.96230871713</v>
      </c>
      <c r="DS66" s="10">
        <f>'[33]CRH MG 2021'!DS12</f>
        <v>5581.2</v>
      </c>
      <c r="DT66" s="10">
        <f>'[33]CRH MG 2021'!DT12</f>
        <v>0</v>
      </c>
      <c r="DU66" s="10">
        <f>'[33]CRH MG 2021'!DU12</f>
        <v>160.38</v>
      </c>
      <c r="DV66" s="10">
        <f>'[33]CRH MG 2021'!DV12</f>
        <v>0</v>
      </c>
      <c r="DW66" s="10">
        <f>'[33]CRH MG 2021'!DW12</f>
        <v>0</v>
      </c>
      <c r="DX66" s="10">
        <f t="shared" si="137"/>
        <v>276577.54230871715</v>
      </c>
      <c r="DY66" s="10">
        <f>'[34]Pro gestao cobranca tabela 1'!$Q$102</f>
        <v>789169.2899999998</v>
      </c>
      <c r="DZ66" s="10">
        <f>'[34]Pro gestao cobranca tabela 1'!$Q$103</f>
        <v>16014.18</v>
      </c>
      <c r="EA66" s="10">
        <f>'[34]Pro gestao cobranca tabela 1'!$Q$104</f>
        <v>0</v>
      </c>
      <c r="EB66" s="10">
        <f>'[34]Pro gestao cobranca tabela 1'!$Q$105</f>
        <v>2354.15</v>
      </c>
      <c r="EC66" s="10">
        <f>'[34]Pro gestao cobranca tabela 1'!$Q$106</f>
        <v>0</v>
      </c>
      <c r="ED66" s="10">
        <f>'[34]Pro gestao cobranca tabela 1'!$Q$107</f>
        <v>35251.230000000003</v>
      </c>
      <c r="EE66" s="10">
        <f t="shared" si="138"/>
        <v>842788.84999999986</v>
      </c>
      <c r="EF66" s="10">
        <f>'[34]Pro gestao cobranca tabela 1'!$Q$109</f>
        <v>688026.73</v>
      </c>
      <c r="EG66" s="10">
        <f>'[34]Pro gestao cobranca tabela 1'!$Q$110</f>
        <v>6463.6599999999989</v>
      </c>
      <c r="EH66" s="10">
        <f>'[34]Pro gestao cobranca tabela 1'!$Q$111</f>
        <v>0</v>
      </c>
      <c r="EI66" s="10">
        <f>'[34]Pro gestao cobranca tabela 1'!$Q$112</f>
        <v>0</v>
      </c>
      <c r="EJ66" s="10">
        <f>'[34]Pro gestao cobranca tabela 1'!$Q$113</f>
        <v>0</v>
      </c>
      <c r="EK66" s="10">
        <f>'[34]Pro gestao cobranca tabela 1'!$Q$114</f>
        <v>8193.2899999999991</v>
      </c>
      <c r="EL66" s="10">
        <f t="shared" si="139"/>
        <v>702683.68</v>
      </c>
      <c r="EM66" s="153">
        <f t="shared" si="140"/>
        <v>10881539.319999998</v>
      </c>
      <c r="EN66" s="153">
        <f t="shared" si="141"/>
        <v>7825291.9856416592</v>
      </c>
      <c r="EO66" s="194"/>
      <c r="EQ66" s="36"/>
      <c r="ER66" s="36"/>
      <c r="ES66" s="36"/>
      <c r="ET66" s="36"/>
    </row>
    <row r="67" spans="1:150" s="5" customFormat="1" ht="12.75" x14ac:dyDescent="0.2">
      <c r="A67" s="196"/>
      <c r="B67" s="15" t="s">
        <v>26</v>
      </c>
      <c r="C67" s="1" t="s">
        <v>14</v>
      </c>
      <c r="D67" s="2">
        <v>40909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151">
        <v>384992.31999999995</v>
      </c>
      <c r="AL67" s="151">
        <v>456862.24999999994</v>
      </c>
      <c r="AM67" s="151">
        <v>581560.3600000001</v>
      </c>
      <c r="AN67" s="151">
        <v>544320.20999999985</v>
      </c>
      <c r="AO67" s="151">
        <v>802840.54999999935</v>
      </c>
      <c r="AP67" s="151">
        <v>890070.53999999957</v>
      </c>
      <c r="AQ67" s="151">
        <v>874077.77999999991</v>
      </c>
      <c r="AR67" s="151">
        <v>631095.27000000037</v>
      </c>
      <c r="AS67" s="151">
        <v>1009591.8099999999</v>
      </c>
      <c r="AT67" s="151">
        <v>21547.579999999994</v>
      </c>
      <c r="AU67" s="151">
        <v>6644.6100000000006</v>
      </c>
      <c r="AV67" s="151">
        <v>1832.92</v>
      </c>
      <c r="AW67" s="151">
        <v>0</v>
      </c>
      <c r="AX67" s="151">
        <v>8934.9499999999989</v>
      </c>
      <c r="AY67" s="10">
        <f t="shared" si="128"/>
        <v>1048551.8699999999</v>
      </c>
      <c r="AZ67" s="151">
        <v>856723.23999999987</v>
      </c>
      <c r="BA67" s="151">
        <v>15315.769999999995</v>
      </c>
      <c r="BB67" s="151">
        <v>1673.35</v>
      </c>
      <c r="BC67" s="151">
        <v>902.33000000000015</v>
      </c>
      <c r="BD67" s="151">
        <v>0</v>
      </c>
      <c r="BE67" s="151">
        <v>2706.8299999999995</v>
      </c>
      <c r="BF67" s="10">
        <f t="shared" si="129"/>
        <v>877321.51999999979</v>
      </c>
      <c r="BG67" s="151">
        <v>1718316.8699999985</v>
      </c>
      <c r="BH67" s="151">
        <v>23164.740000000005</v>
      </c>
      <c r="BI67" s="151">
        <v>7147.9299999999976</v>
      </c>
      <c r="BJ67" s="151">
        <v>2214.170000000001</v>
      </c>
      <c r="BK67" s="151">
        <v>0</v>
      </c>
      <c r="BL67" s="151">
        <v>7557.050000000002</v>
      </c>
      <c r="BM67" s="10">
        <f>SUM(BG67:BL67)</f>
        <v>1758400.7599999984</v>
      </c>
      <c r="BN67" s="151">
        <v>912981.66000000015</v>
      </c>
      <c r="BO67" s="151">
        <v>16017.18</v>
      </c>
      <c r="BP67" s="151">
        <v>1886.3700000000001</v>
      </c>
      <c r="BQ67" s="151">
        <v>870.36</v>
      </c>
      <c r="BR67" s="151">
        <v>0</v>
      </c>
      <c r="BS67" s="151">
        <v>3262.4599999999996</v>
      </c>
      <c r="BT67" s="10">
        <f t="shared" si="132"/>
        <v>935018.03000000014</v>
      </c>
      <c r="BU67" s="151">
        <v>1182578.6000000003</v>
      </c>
      <c r="BV67" s="151">
        <v>18074.639999999996</v>
      </c>
      <c r="BW67" s="151">
        <v>8076.6799999999976</v>
      </c>
      <c r="BX67" s="151">
        <v>2656.2200000000003</v>
      </c>
      <c r="BY67" s="151">
        <v>0</v>
      </c>
      <c r="BZ67" s="151">
        <v>3597.9799999999996</v>
      </c>
      <c r="CA67" s="10">
        <f t="shared" si="61"/>
        <v>1214984.1200000001</v>
      </c>
      <c r="CB67" s="151">
        <v>1245666.2320000005</v>
      </c>
      <c r="CC67" s="151">
        <v>13447.199999999997</v>
      </c>
      <c r="CD67" s="151">
        <v>4811.46</v>
      </c>
      <c r="CE67" s="151">
        <v>1873.8800000000003</v>
      </c>
      <c r="CF67" s="151">
        <v>0</v>
      </c>
      <c r="CG67" s="151">
        <v>3143.9799999999996</v>
      </c>
      <c r="CH67" s="10">
        <f t="shared" si="130"/>
        <v>1268942.7520000003</v>
      </c>
      <c r="CI67" s="151">
        <f>'[33]CRH MG 2021'!CI13</f>
        <v>1380313.59</v>
      </c>
      <c r="CJ67" s="151">
        <f>'[33]CRH MG 2021'!CJ13</f>
        <v>17977.439999999999</v>
      </c>
      <c r="CK67" s="151">
        <f>'[33]CRH MG 2021'!CK13</f>
        <v>8014.4799999999987</v>
      </c>
      <c r="CL67" s="151">
        <f>'[33]CRH MG 2021'!CL13</f>
        <v>2150.9600000000005</v>
      </c>
      <c r="CM67" s="151">
        <f>'[33]CRH MG 2021'!CM13</f>
        <v>0</v>
      </c>
      <c r="CN67" s="151">
        <f>'[33]CRH MG 2021'!CN13</f>
        <v>3312.5199999999995</v>
      </c>
      <c r="CO67" s="10">
        <f t="shared" si="133"/>
        <v>1411768.99</v>
      </c>
      <c r="CP67" s="151">
        <f>'[33]CRH MG 2021'!CP13</f>
        <v>1108759.106310728</v>
      </c>
      <c r="CQ67" s="151">
        <f>'[33]CRH MG 2021'!CQ13</f>
        <v>12303.749999999998</v>
      </c>
      <c r="CR67" s="151">
        <f>'[33]CRH MG 2021'!CR13</f>
        <v>2157.6499999999992</v>
      </c>
      <c r="CS67" s="151">
        <f>'[33]CRH MG 2021'!CS13</f>
        <v>1301.96</v>
      </c>
      <c r="CT67" s="151">
        <f>'[33]CRH MG 2021'!CT13</f>
        <v>0</v>
      </c>
      <c r="CU67" s="151">
        <f>'[33]CRH MG 2021'!CU13</f>
        <v>18217.65058395336</v>
      </c>
      <c r="CV67" s="10">
        <f t="shared" si="134"/>
        <v>1142740.1168946812</v>
      </c>
      <c r="CW67" s="154">
        <f>'[33]CRH MG 2021'!CW13</f>
        <v>1052530.9699999997</v>
      </c>
      <c r="CX67" s="154">
        <f>'[33]CRH MG 2021'!CX13</f>
        <v>15544.210000000001</v>
      </c>
      <c r="CY67" s="154">
        <f>'[33]CRH MG 2021'!CY13</f>
        <v>6878.71</v>
      </c>
      <c r="CZ67" s="154">
        <f>'[33]CRH MG 2021'!CZ13</f>
        <v>2141.64</v>
      </c>
      <c r="DA67" s="154">
        <f>'[33]CRH MG 2021'!DA13</f>
        <v>0</v>
      </c>
      <c r="DB67" s="154">
        <f>'[33]CRH MG 2021'!DB13</f>
        <v>2689.73</v>
      </c>
      <c r="DC67" s="154">
        <f>'[33]CRH MG 2021'!DC13</f>
        <v>1079785.2599999995</v>
      </c>
      <c r="DD67" s="154">
        <f>'[33]CRH MG 2021'!DD13</f>
        <v>1185925.1416682887</v>
      </c>
      <c r="DE67" s="154">
        <f>'[33]CRH MG 2021'!DE13</f>
        <v>6000.84</v>
      </c>
      <c r="DF67" s="154">
        <f>'[33]CRH MG 2021'!DF13</f>
        <v>586.12</v>
      </c>
      <c r="DG67" s="154">
        <f>'[33]CRH MG 2021'!DG13</f>
        <v>1463.04</v>
      </c>
      <c r="DH67" s="154">
        <f>'[33]CRH MG 2021'!DH13</f>
        <v>0</v>
      </c>
      <c r="DI67" s="154">
        <f>'[33]CRH MG 2021'!DI13</f>
        <v>33401.828961429499</v>
      </c>
      <c r="DJ67" s="10">
        <f t="shared" si="135"/>
        <v>1227376.9706297184</v>
      </c>
      <c r="DK67" s="10">
        <f>'[33]CRH MG 2021'!DK13</f>
        <v>512456.98999999982</v>
      </c>
      <c r="DL67" s="10">
        <f>'[33]CRH MG 2021'!DL13</f>
        <v>28205.64</v>
      </c>
      <c r="DM67" s="10">
        <f>'[33]CRH MG 2021'!DM13</f>
        <v>2871.4700000000003</v>
      </c>
      <c r="DN67" s="10">
        <f>'[33]CRH MG 2021'!DN13</f>
        <v>3483.38</v>
      </c>
      <c r="DO67" s="10">
        <f>'[33]CRH MG 2021'!DO13</f>
        <v>0</v>
      </c>
      <c r="DP67" s="10">
        <f>'[33]CRH MG 2021'!DP13</f>
        <v>150071.31999999995</v>
      </c>
      <c r="DQ67" s="10">
        <f t="shared" si="136"/>
        <v>697088.7999999997</v>
      </c>
      <c r="DR67" s="10">
        <f>'[33]CRH MG 2021'!DR13</f>
        <v>129851.21636814781</v>
      </c>
      <c r="DS67" s="10">
        <f>'[33]CRH MG 2021'!DS13</f>
        <v>20124.939999999995</v>
      </c>
      <c r="DT67" s="10">
        <f>'[33]CRH MG 2021'!DT13</f>
        <v>578.34</v>
      </c>
      <c r="DU67" s="10">
        <f>'[33]CRH MG 2021'!DU13</f>
        <v>292.7</v>
      </c>
      <c r="DV67" s="10">
        <f>'[33]CRH MG 2021'!DV13</f>
        <v>0</v>
      </c>
      <c r="DW67" s="10">
        <f>'[33]CRH MG 2021'!DW13</f>
        <v>4643.0500000000011</v>
      </c>
      <c r="DX67" s="10">
        <f t="shared" si="137"/>
        <v>155490.24636814781</v>
      </c>
      <c r="DY67" s="10">
        <f>'[34]Pro gestao cobranca tabela 1'!$Q$116</f>
        <v>389452.42000000004</v>
      </c>
      <c r="DZ67" s="10">
        <f>'[34]Pro gestao cobranca tabela 1'!$Q$117</f>
        <v>27323.960000000006</v>
      </c>
      <c r="EA67" s="10">
        <f>'[34]Pro gestao cobranca tabela 1'!$Q$118</f>
        <v>412.37</v>
      </c>
      <c r="EB67" s="10">
        <f>'[34]Pro gestao cobranca tabela 1'!$Q$119</f>
        <v>74565.489999999991</v>
      </c>
      <c r="EC67" s="10">
        <f>'[34]Pro gestao cobranca tabela 1'!$Q$120</f>
        <v>0</v>
      </c>
      <c r="ED67" s="10">
        <f>'[34]Pro gestao cobranca tabela 1'!$Q$121</f>
        <v>59916.399999999994</v>
      </c>
      <c r="EE67" s="10">
        <f t="shared" si="138"/>
        <v>551670.64</v>
      </c>
      <c r="EF67" s="10">
        <f>'[34]Pro gestao cobranca tabela 1'!$Q$123</f>
        <v>302647.4499999999</v>
      </c>
      <c r="EG67" s="10">
        <f>'[34]Pro gestao cobranca tabela 1'!$Q$124</f>
        <v>11852.14</v>
      </c>
      <c r="EH67" s="10">
        <f>'[34]Pro gestao cobranca tabela 1'!$Q$125</f>
        <v>0</v>
      </c>
      <c r="EI67" s="10">
        <f>'[34]Pro gestao cobranca tabela 1'!$Q$126</f>
        <v>0</v>
      </c>
      <c r="EJ67" s="10">
        <f>'[34]Pro gestao cobranca tabela 1'!$Q$127</f>
        <v>0</v>
      </c>
      <c r="EK67" s="10">
        <f>'[34]Pro gestao cobranca tabela 1'!$Q$128</f>
        <v>27721.580000000005</v>
      </c>
      <c r="EL67" s="10">
        <f t="shared" si="139"/>
        <v>342221.16999999993</v>
      </c>
      <c r="EM67" s="153">
        <f t="shared" si="140"/>
        <v>10405721.449999996</v>
      </c>
      <c r="EN67" s="153">
        <f t="shared" si="141"/>
        <v>8471459.0758925453</v>
      </c>
      <c r="EO67" s="194"/>
      <c r="EQ67" s="36"/>
      <c r="ER67" s="36"/>
      <c r="ES67" s="36"/>
      <c r="ET67" s="36"/>
    </row>
    <row r="68" spans="1:150" s="5" customFormat="1" ht="12.75" x14ac:dyDescent="0.2">
      <c r="A68" s="197"/>
      <c r="B68" s="15" t="s">
        <v>96</v>
      </c>
      <c r="C68" s="1" t="s">
        <v>14</v>
      </c>
      <c r="D68" s="2">
        <v>41944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151">
        <v>0</v>
      </c>
      <c r="AP68" s="151">
        <v>540.04000000000008</v>
      </c>
      <c r="AQ68" s="151">
        <v>1392202.2300000002</v>
      </c>
      <c r="AR68" s="151">
        <v>1074853.5200000005</v>
      </c>
      <c r="AS68" s="151">
        <v>1103765.1599999999</v>
      </c>
      <c r="AT68" s="151">
        <v>332783.02999999997</v>
      </c>
      <c r="AU68" s="151">
        <v>1309.33</v>
      </c>
      <c r="AV68" s="151">
        <v>52273.460000000028</v>
      </c>
      <c r="AW68" s="151">
        <v>0</v>
      </c>
      <c r="AX68" s="151">
        <v>29201.890000000007</v>
      </c>
      <c r="AY68" s="10">
        <f t="shared" si="128"/>
        <v>1519332.8699999999</v>
      </c>
      <c r="AZ68" s="151">
        <v>1059824.6299999999</v>
      </c>
      <c r="BA68" s="151">
        <v>126561.89000000009</v>
      </c>
      <c r="BB68" s="151">
        <v>1076.7700000000002</v>
      </c>
      <c r="BC68" s="151">
        <v>3252.39</v>
      </c>
      <c r="BD68" s="151">
        <v>0</v>
      </c>
      <c r="BE68" s="151">
        <v>23732.860000000011</v>
      </c>
      <c r="BF68" s="10">
        <f t="shared" si="129"/>
        <v>1214448.54</v>
      </c>
      <c r="BG68" s="151">
        <v>1408975.51</v>
      </c>
      <c r="BH68" s="151">
        <v>352290.80999999976</v>
      </c>
      <c r="BI68" s="151">
        <v>920.75</v>
      </c>
      <c r="BJ68" s="151">
        <v>13620.56</v>
      </c>
      <c r="BK68" s="151">
        <v>0</v>
      </c>
      <c r="BL68" s="151">
        <v>29746.840000000004</v>
      </c>
      <c r="BM68" s="10">
        <f t="shared" si="131"/>
        <v>1805554.47</v>
      </c>
      <c r="BN68" s="151">
        <v>1386110.72</v>
      </c>
      <c r="BO68" s="151">
        <v>136070.80000000005</v>
      </c>
      <c r="BP68" s="151">
        <v>986.10000000000014</v>
      </c>
      <c r="BQ68" s="151">
        <v>3483.07</v>
      </c>
      <c r="BR68" s="151">
        <v>0</v>
      </c>
      <c r="BS68" s="151">
        <v>25085.089999999993</v>
      </c>
      <c r="BT68" s="10">
        <f t="shared" si="132"/>
        <v>1551735.7800000003</v>
      </c>
      <c r="BU68" s="151">
        <v>1302740.95</v>
      </c>
      <c r="BV68" s="151">
        <v>262899.17999999993</v>
      </c>
      <c r="BW68" s="151">
        <v>542.6</v>
      </c>
      <c r="BX68" s="151">
        <v>10399.73</v>
      </c>
      <c r="BY68" s="151">
        <v>0</v>
      </c>
      <c r="BZ68" s="151">
        <v>29705.32</v>
      </c>
      <c r="CA68" s="10">
        <f t="shared" si="61"/>
        <v>1606287.78</v>
      </c>
      <c r="CB68" s="151">
        <v>1309734.13625</v>
      </c>
      <c r="CC68" s="151">
        <v>122131.08</v>
      </c>
      <c r="CD68" s="151">
        <v>283.08</v>
      </c>
      <c r="CE68" s="151">
        <v>2328.9699999999998</v>
      </c>
      <c r="CF68" s="151">
        <v>0</v>
      </c>
      <c r="CG68" s="151">
        <v>24956.899999999991</v>
      </c>
      <c r="CH68" s="10">
        <f t="shared" si="130"/>
        <v>1459434.16625</v>
      </c>
      <c r="CI68" s="151">
        <f>'[33]CRH MG 2021'!CI14</f>
        <v>1301401.8800000001</v>
      </c>
      <c r="CJ68" s="151">
        <f>'[33]CRH MG 2021'!CJ14</f>
        <v>400253.64</v>
      </c>
      <c r="CK68" s="151">
        <f>'[33]CRH MG 2021'!CK14</f>
        <v>542.6</v>
      </c>
      <c r="CL68" s="151">
        <f>'[33]CRH MG 2021'!CL14</f>
        <v>9348.3000000000011</v>
      </c>
      <c r="CM68" s="151">
        <f>'[33]CRH MG 2021'!CM14</f>
        <v>0</v>
      </c>
      <c r="CN68" s="151">
        <f>'[33]CRH MG 2021'!CN14</f>
        <v>29498.179999999997</v>
      </c>
      <c r="CO68" s="10">
        <f t="shared" si="133"/>
        <v>1741044.6</v>
      </c>
      <c r="CP68" s="151">
        <f>'[33]CRH MG 2021'!CP14</f>
        <v>1311112.3903956658</v>
      </c>
      <c r="CQ68" s="151">
        <f>'[33]CRH MG 2021'!CQ14</f>
        <v>81324.260000000009</v>
      </c>
      <c r="CR68" s="151">
        <f>'[33]CRH MG 2021'!CR14</f>
        <v>379.32</v>
      </c>
      <c r="CS68" s="151">
        <f>'[33]CRH MG 2021'!CS14</f>
        <v>3203.6800000000007</v>
      </c>
      <c r="CT68" s="151">
        <f>'[33]CRH MG 2021'!CT14</f>
        <v>0</v>
      </c>
      <c r="CU68" s="151">
        <f>'[33]CRH MG 2021'!CU14</f>
        <v>26365.53</v>
      </c>
      <c r="CV68" s="10">
        <f t="shared" si="134"/>
        <v>1422385.1803956658</v>
      </c>
      <c r="CW68" s="154">
        <f>'[33]CRH MG 2021'!CW14</f>
        <v>1420314.74</v>
      </c>
      <c r="CX68" s="154">
        <f>'[33]CRH MG 2021'!CX14</f>
        <v>197876.82000000004</v>
      </c>
      <c r="CY68" s="154">
        <f>'[33]CRH MG 2021'!CY14</f>
        <v>412.84000000000003</v>
      </c>
      <c r="CZ68" s="154">
        <f>'[33]CRH MG 2021'!CZ14</f>
        <v>6343.7599999999993</v>
      </c>
      <c r="DA68" s="154">
        <f>'[33]CRH MG 2021'!DA14</f>
        <v>0</v>
      </c>
      <c r="DB68" s="154">
        <f>'[33]CRH MG 2021'!DB14</f>
        <v>39970.289999999986</v>
      </c>
      <c r="DC68" s="154">
        <f>'[33]CRH MG 2021'!DC14</f>
        <v>1664918.4500000002</v>
      </c>
      <c r="DD68" s="154">
        <f>'[33]CRH MG 2021'!DD14</f>
        <v>1038599.8869488067</v>
      </c>
      <c r="DE68" s="154">
        <f>'[33]CRH MG 2021'!DE14</f>
        <v>481460.92999999988</v>
      </c>
      <c r="DF68" s="154">
        <f>'[33]CRH MG 2021'!DF14</f>
        <v>343.27</v>
      </c>
      <c r="DG68" s="154">
        <f>'[33]CRH MG 2021'!DG14</f>
        <v>1492.39</v>
      </c>
      <c r="DH68" s="154">
        <f>'[33]CRH MG 2021'!DH14</f>
        <v>0</v>
      </c>
      <c r="DI68" s="154">
        <f>'[33]CRH MG 2021'!DI14</f>
        <v>19956.619999999995</v>
      </c>
      <c r="DJ68" s="10">
        <f t="shared" si="135"/>
        <v>1541853.0969488067</v>
      </c>
      <c r="DK68" s="10">
        <f>'[33]CRH MG 2021'!DK14</f>
        <v>630531.58000000019</v>
      </c>
      <c r="DL68" s="10">
        <f>'[33]CRH MG 2021'!DL14</f>
        <v>118739.06</v>
      </c>
      <c r="DM68" s="10">
        <f>'[33]CRH MG 2021'!DM14</f>
        <v>141.54</v>
      </c>
      <c r="DN68" s="10">
        <f>'[33]CRH MG 2021'!DN14</f>
        <v>5223.08</v>
      </c>
      <c r="DO68" s="10">
        <f>'[33]CRH MG 2021'!DO14</f>
        <v>0</v>
      </c>
      <c r="DP68" s="10">
        <f>'[33]CRH MG 2021'!DP14</f>
        <v>64485.219999999994</v>
      </c>
      <c r="DQ68" s="10">
        <f t="shared" si="136"/>
        <v>819120.4800000001</v>
      </c>
      <c r="DR68" s="10">
        <f>'[33]CRH MG 2021'!DR14</f>
        <v>604802.42536018905</v>
      </c>
      <c r="DS68" s="10">
        <f>'[33]CRH MG 2021'!DS14</f>
        <v>70681.98</v>
      </c>
      <c r="DT68" s="10">
        <f>'[33]CRH MG 2021'!DT14</f>
        <v>141.54</v>
      </c>
      <c r="DU68" s="10">
        <f>'[33]CRH MG 2021'!DU14</f>
        <v>3208.0600000000004</v>
      </c>
      <c r="DV68" s="10">
        <f>'[33]CRH MG 2021'!DV14</f>
        <v>0</v>
      </c>
      <c r="DW68" s="10">
        <f>'[33]CRH MG 2021'!DW14</f>
        <v>7292.7799999999988</v>
      </c>
      <c r="DX68" s="10">
        <f t="shared" si="137"/>
        <v>686126.78536018915</v>
      </c>
      <c r="DY68" s="10">
        <f>'[34]Pro gestao cobranca tabela 1'!$Q$130</f>
        <v>564178.80999999982</v>
      </c>
      <c r="DZ68" s="10">
        <f>'[34]Pro gestao cobranca tabela 1'!$Q$131</f>
        <v>227963.79999999996</v>
      </c>
      <c r="EA68" s="10">
        <f>'[34]Pro gestao cobranca tabela 1'!$Q$132</f>
        <v>0</v>
      </c>
      <c r="EB68" s="10">
        <f>'[34]Pro gestao cobranca tabela 1'!$Q$133</f>
        <v>10291.27</v>
      </c>
      <c r="EC68" s="10">
        <f>'[34]Pro gestao cobranca tabela 1'!$Q$134</f>
        <v>0</v>
      </c>
      <c r="ED68" s="10">
        <f>'[34]Pro gestao cobranca tabela 1'!$Q$135</f>
        <v>40390.460000000014</v>
      </c>
      <c r="EE68" s="10">
        <f t="shared" si="138"/>
        <v>842824.33999999973</v>
      </c>
      <c r="EF68" s="10">
        <f>'[34]Pro gestao cobranca tabela 1'!$Q$137</f>
        <v>527040.79999999993</v>
      </c>
      <c r="EG68" s="10">
        <f>'[34]Pro gestao cobranca tabela 1'!$Q$138</f>
        <v>92791.23000000001</v>
      </c>
      <c r="EH68" s="10">
        <f>'[34]Pro gestao cobranca tabela 1'!$Q$139</f>
        <v>0</v>
      </c>
      <c r="EI68" s="10">
        <f>'[34]Pro gestao cobranca tabela 1'!$Q$140</f>
        <v>7395.98</v>
      </c>
      <c r="EJ68" s="10">
        <f>'[34]Pro gestao cobranca tabela 1'!$Q$141</f>
        <v>0</v>
      </c>
      <c r="EK68" s="10">
        <f>'[34]Pro gestao cobranca tabela 1'!$Q$142</f>
        <v>12958.710000000001</v>
      </c>
      <c r="EL68" s="10">
        <f t="shared" si="139"/>
        <v>640186.71999999986</v>
      </c>
      <c r="EM68" s="153">
        <f t="shared" si="140"/>
        <v>11391285.220000003</v>
      </c>
      <c r="EN68" s="153">
        <f t="shared" si="141"/>
        <v>9591563.8289546631</v>
      </c>
      <c r="EO68" s="194"/>
      <c r="EQ68" s="36"/>
      <c r="ER68" s="36"/>
      <c r="ES68" s="36"/>
      <c r="ET68" s="36"/>
    </row>
    <row r="69" spans="1:150" s="5" customFormat="1" ht="12.75" x14ac:dyDescent="0.2">
      <c r="A69" s="197"/>
      <c r="B69" s="15" t="s">
        <v>97</v>
      </c>
      <c r="C69" s="1" t="s">
        <v>14</v>
      </c>
      <c r="D69" s="2">
        <v>41944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151">
        <v>0</v>
      </c>
      <c r="AP69" s="151">
        <v>0</v>
      </c>
      <c r="AQ69" s="151">
        <v>1379728.2800000003</v>
      </c>
      <c r="AR69" s="151">
        <v>933341.69000000029</v>
      </c>
      <c r="AS69" s="151">
        <v>1573719.6300000024</v>
      </c>
      <c r="AT69" s="151">
        <v>144893.41</v>
      </c>
      <c r="AU69" s="151">
        <v>78479.039999999994</v>
      </c>
      <c r="AV69" s="151">
        <v>19906.370000000003</v>
      </c>
      <c r="AW69" s="151">
        <v>0</v>
      </c>
      <c r="AX69" s="151">
        <v>22365.030000000006</v>
      </c>
      <c r="AY69" s="10">
        <f t="shared" si="128"/>
        <v>1839363.4800000025</v>
      </c>
      <c r="AZ69" s="151">
        <v>1082699.9900000012</v>
      </c>
      <c r="BA69" s="151">
        <v>104073.94999999998</v>
      </c>
      <c r="BB69" s="151">
        <v>77579.430000000008</v>
      </c>
      <c r="BC69" s="151">
        <v>9312.8599999999951</v>
      </c>
      <c r="BD69" s="151">
        <v>0</v>
      </c>
      <c r="BE69" s="151">
        <v>20146.970000000008</v>
      </c>
      <c r="BF69" s="10">
        <f t="shared" si="129"/>
        <v>1293813.2000000011</v>
      </c>
      <c r="BG69" s="151">
        <v>1771069.2399999995</v>
      </c>
      <c r="BH69" s="151">
        <v>140844.45000000001</v>
      </c>
      <c r="BI69" s="151">
        <v>76232.189999999973</v>
      </c>
      <c r="BJ69" s="151">
        <v>15295.189999999999</v>
      </c>
      <c r="BK69" s="151">
        <v>0</v>
      </c>
      <c r="BL69" s="151">
        <v>22381.969999999994</v>
      </c>
      <c r="BM69" s="10">
        <f>SUM(BG69:BL69)</f>
        <v>2025823.0399999993</v>
      </c>
      <c r="BN69" s="151">
        <v>1667299.3400000003</v>
      </c>
      <c r="BO69" s="151">
        <v>111292.62000000005</v>
      </c>
      <c r="BP69" s="151">
        <v>78078.739999999991</v>
      </c>
      <c r="BQ69" s="151">
        <v>7988.51</v>
      </c>
      <c r="BR69" s="151">
        <v>0</v>
      </c>
      <c r="BS69" s="151">
        <v>17832.979999999992</v>
      </c>
      <c r="BT69" s="10">
        <f t="shared" si="132"/>
        <v>1882492.1900000004</v>
      </c>
      <c r="BU69" s="151">
        <v>1062040.9699999993</v>
      </c>
      <c r="BV69" s="151">
        <v>145831.62000000002</v>
      </c>
      <c r="BW69" s="151">
        <v>69340.490000000005</v>
      </c>
      <c r="BX69" s="151">
        <v>19365.670000000006</v>
      </c>
      <c r="BY69" s="151">
        <v>0</v>
      </c>
      <c r="BZ69" s="151">
        <v>22050.240000000002</v>
      </c>
      <c r="CA69" s="10">
        <f t="shared" si="61"/>
        <v>1318628.9899999993</v>
      </c>
      <c r="CB69" s="151">
        <v>989305.77046536037</v>
      </c>
      <c r="CC69" s="151">
        <v>121714.63000000006</v>
      </c>
      <c r="CD69" s="151">
        <v>73762.289999999994</v>
      </c>
      <c r="CE69" s="151">
        <v>18747.199999999997</v>
      </c>
      <c r="CF69" s="151">
        <v>0</v>
      </c>
      <c r="CG69" s="151">
        <v>24994.049999999992</v>
      </c>
      <c r="CH69" s="10">
        <f t="shared" si="130"/>
        <v>1228523.9404653604</v>
      </c>
      <c r="CI69" s="151">
        <f>'[33]CRH MG 2021'!CI15</f>
        <v>1088991.0299999989</v>
      </c>
      <c r="CJ69" s="151">
        <f>'[33]CRH MG 2021'!CJ15</f>
        <v>183883.02999999997</v>
      </c>
      <c r="CK69" s="151">
        <f>'[33]CRH MG 2021'!CK15</f>
        <v>115239.54</v>
      </c>
      <c r="CL69" s="151">
        <f>'[33]CRH MG 2021'!CL15</f>
        <v>22620.48000000001</v>
      </c>
      <c r="CM69" s="151">
        <f>'[33]CRH MG 2021'!CM15</f>
        <v>0</v>
      </c>
      <c r="CN69" s="151">
        <f>'[33]CRH MG 2021'!CN15</f>
        <v>19415.98</v>
      </c>
      <c r="CO69" s="10">
        <f t="shared" si="133"/>
        <v>1430150.0599999989</v>
      </c>
      <c r="CP69" s="151">
        <f>'[33]CRH MG 2021'!CP15</f>
        <v>1057523.5306025883</v>
      </c>
      <c r="CQ69" s="151">
        <f>'[33]CRH MG 2021'!CQ15</f>
        <v>129511.01000000007</v>
      </c>
      <c r="CR69" s="151">
        <f>'[33]CRH MG 2021'!CR15</f>
        <v>145585.60999999999</v>
      </c>
      <c r="CS69" s="151">
        <f>'[33]CRH MG 2021'!CS15</f>
        <v>22929.040000000001</v>
      </c>
      <c r="CT69" s="151">
        <f>'[33]CRH MG 2021'!CT15</f>
        <v>0</v>
      </c>
      <c r="CU69" s="151">
        <f>'[33]CRH MG 2021'!CU15</f>
        <v>17399.289999999997</v>
      </c>
      <c r="CV69" s="10">
        <f t="shared" si="134"/>
        <v>1372948.4806025885</v>
      </c>
      <c r="CW69" s="154">
        <f>'[33]CRH MG 2021'!CW15</f>
        <v>1013083.92</v>
      </c>
      <c r="CX69" s="154">
        <f>'[33]CRH MG 2021'!CX15</f>
        <v>146647.66000000006</v>
      </c>
      <c r="CY69" s="154">
        <f>'[33]CRH MG 2021'!CY15</f>
        <v>92050.55</v>
      </c>
      <c r="CZ69" s="154">
        <f>'[33]CRH MG 2021'!CZ15</f>
        <v>25936.549999999988</v>
      </c>
      <c r="DA69" s="154">
        <f>'[33]CRH MG 2021'!DA15</f>
        <v>0</v>
      </c>
      <c r="DB69" s="154">
        <f>'[33]CRH MG 2021'!DB15</f>
        <v>15999.120000000004</v>
      </c>
      <c r="DC69" s="154">
        <f>'[33]CRH MG 2021'!DC15</f>
        <v>1293717.8000000003</v>
      </c>
      <c r="DD69" s="154">
        <f>'[33]CRH MG 2021'!DD15</f>
        <v>974454.53224162885</v>
      </c>
      <c r="DE69" s="154">
        <f>'[33]CRH MG 2021'!DE15</f>
        <v>119054.9304117844</v>
      </c>
      <c r="DF69" s="154">
        <f>'[33]CRH MG 2021'!DF15</f>
        <v>58417.7</v>
      </c>
      <c r="DG69" s="154">
        <f>'[33]CRH MG 2021'!DG15</f>
        <v>20006.7</v>
      </c>
      <c r="DH69" s="154">
        <f>'[33]CRH MG 2021'!DH15</f>
        <v>0</v>
      </c>
      <c r="DI69" s="154">
        <f>'[33]CRH MG 2021'!DI15</f>
        <v>11037.820000000002</v>
      </c>
      <c r="DJ69" s="10">
        <f t="shared" si="135"/>
        <v>1182971.6826534132</v>
      </c>
      <c r="DK69" s="10">
        <f>'[33]CRH MG 2021'!DK15</f>
        <v>406228.7199999998</v>
      </c>
      <c r="DL69" s="10">
        <f>'[33]CRH MG 2021'!DL15</f>
        <v>74312.489999999932</v>
      </c>
      <c r="DM69" s="10">
        <f>'[33]CRH MG 2021'!DM15</f>
        <v>32873.869999999995</v>
      </c>
      <c r="DN69" s="10">
        <f>'[33]CRH MG 2021'!DN15</f>
        <v>7623.8100000000013</v>
      </c>
      <c r="DO69" s="10">
        <f>'[33]CRH MG 2021'!DO15</f>
        <v>0</v>
      </c>
      <c r="DP69" s="10">
        <f>'[33]CRH MG 2021'!DP15</f>
        <v>41333.610000000022</v>
      </c>
      <c r="DQ69" s="10">
        <f t="shared" si="136"/>
        <v>562372.49999999977</v>
      </c>
      <c r="DR69" s="10">
        <f>'[33]CRH MG 2021'!DR15</f>
        <v>259941.77066960212</v>
      </c>
      <c r="DS69" s="10">
        <f>'[33]CRH MG 2021'!DS15</f>
        <v>34510.19999999999</v>
      </c>
      <c r="DT69" s="10">
        <f>'[33]CRH MG 2021'!DT15</f>
        <v>32976.239999999998</v>
      </c>
      <c r="DU69" s="10">
        <f>'[33]CRH MG 2021'!DU15</f>
        <v>5108.12</v>
      </c>
      <c r="DV69" s="10">
        <f>'[33]CRH MG 2021'!DV15</f>
        <v>0</v>
      </c>
      <c r="DW69" s="10">
        <f>'[33]CRH MG 2021'!DW15</f>
        <v>7802.5700000000006</v>
      </c>
      <c r="DX69" s="10">
        <f t="shared" si="137"/>
        <v>340338.9006696021</v>
      </c>
      <c r="DY69" s="10">
        <f>'[34]Pro gestao cobranca tabela 1'!$Q$144</f>
        <v>665675.44999999984</v>
      </c>
      <c r="DZ69" s="10">
        <f>'[34]Pro gestao cobranca tabela 1'!$Q$145</f>
        <v>332407.66000000003</v>
      </c>
      <c r="EA69" s="10">
        <f>'[34]Pro gestao cobranca tabela 1'!$Q$146</f>
        <v>0</v>
      </c>
      <c r="EB69" s="10">
        <f>'[34]Pro gestao cobranca tabela 1'!$Q$147</f>
        <v>13430.019999999999</v>
      </c>
      <c r="EC69" s="10">
        <f>'[34]Pro gestao cobranca tabela 1'!$Q$148</f>
        <v>0</v>
      </c>
      <c r="ED69" s="10">
        <f>'[34]Pro gestao cobranca tabela 1'!$Q$149</f>
        <v>165061.91999999998</v>
      </c>
      <c r="EE69" s="10">
        <f t="shared" si="138"/>
        <v>1176575.0499999998</v>
      </c>
      <c r="EF69" s="10">
        <f>'[34]Pro gestao cobranca tabela 1'!$Q$151</f>
        <v>623492.56000000006</v>
      </c>
      <c r="EG69" s="10">
        <f>'[34]Pro gestao cobranca tabela 1'!$Q$152</f>
        <v>244971.88000000018</v>
      </c>
      <c r="EH69" s="10">
        <f>'[34]Pro gestao cobranca tabela 1'!$Q$153</f>
        <v>0</v>
      </c>
      <c r="EI69" s="10">
        <f>'[34]Pro gestao cobranca tabela 1'!$Q$154</f>
        <v>603.54</v>
      </c>
      <c r="EJ69" s="10">
        <f>'[34]Pro gestao cobranca tabela 1'!$Q$155</f>
        <v>0</v>
      </c>
      <c r="EK69" s="10">
        <f>'[34]Pro gestao cobranca tabela 1'!$Q$156</f>
        <v>138870.97</v>
      </c>
      <c r="EL69" s="10">
        <f t="shared" si="139"/>
        <v>1007938.9500000002</v>
      </c>
      <c r="EM69" s="153">
        <f t="shared" si="140"/>
        <v>11026359.199999999</v>
      </c>
      <c r="EN69" s="153">
        <f t="shared" si="141"/>
        <v>9242369.0343909673</v>
      </c>
      <c r="EO69" s="194"/>
      <c r="EQ69" s="36"/>
      <c r="ER69" s="36"/>
      <c r="ES69" s="36"/>
      <c r="ET69" s="36"/>
    </row>
    <row r="70" spans="1:150" s="5" customFormat="1" ht="12.75" x14ac:dyDescent="0.2">
      <c r="A70" s="197"/>
      <c r="B70" s="15" t="s">
        <v>139</v>
      </c>
      <c r="C70" s="1" t="s">
        <v>14</v>
      </c>
      <c r="D70" s="2">
        <v>42736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151">
        <v>1675794.5599999994</v>
      </c>
      <c r="BH70" s="151">
        <v>306180.03999999992</v>
      </c>
      <c r="BI70" s="151">
        <v>47136.24</v>
      </c>
      <c r="BJ70" s="151">
        <v>184817.32000000007</v>
      </c>
      <c r="BK70" s="151">
        <v>0</v>
      </c>
      <c r="BL70" s="151">
        <v>28906.020000000015</v>
      </c>
      <c r="BM70" s="10">
        <f t="shared" si="131"/>
        <v>2242834.1799999992</v>
      </c>
      <c r="BN70" s="151">
        <v>1488504.5299999991</v>
      </c>
      <c r="BO70" s="151">
        <v>268576.42999999988</v>
      </c>
      <c r="BP70" s="151">
        <v>22290.329999999998</v>
      </c>
      <c r="BQ70" s="151">
        <v>109090.54</v>
      </c>
      <c r="BR70" s="151">
        <v>0</v>
      </c>
      <c r="BS70" s="151">
        <v>24686.760000000002</v>
      </c>
      <c r="BT70" s="10">
        <f t="shared" si="132"/>
        <v>1913148.5899999992</v>
      </c>
      <c r="BU70" s="151">
        <v>2062405.6799999985</v>
      </c>
      <c r="BV70" s="151">
        <v>389251.59999999969</v>
      </c>
      <c r="BW70" s="151">
        <v>99227.809999999969</v>
      </c>
      <c r="BX70" s="151">
        <v>221756.9800000001</v>
      </c>
      <c r="BY70" s="151">
        <v>0</v>
      </c>
      <c r="BZ70" s="151">
        <v>38510.48000000001</v>
      </c>
      <c r="CA70" s="10">
        <f t="shared" si="61"/>
        <v>2811152.5499999984</v>
      </c>
      <c r="CB70" s="151">
        <v>2014681.4099999992</v>
      </c>
      <c r="CC70" s="151">
        <v>363981.53999999969</v>
      </c>
      <c r="CD70" s="151">
        <v>61628.859999999993</v>
      </c>
      <c r="CE70" s="151">
        <v>146119.92999999996</v>
      </c>
      <c r="CF70" s="151">
        <v>0</v>
      </c>
      <c r="CG70" s="151">
        <v>33190.180000000015</v>
      </c>
      <c r="CH70" s="10">
        <f t="shared" si="130"/>
        <v>2619601.919999999</v>
      </c>
      <c r="CI70" s="151">
        <f>'[33]CRH MG 2021'!CI16</f>
        <v>2012223.4099999992</v>
      </c>
      <c r="CJ70" s="151">
        <f>'[33]CRH MG 2021'!CJ16</f>
        <v>386373.8499999998</v>
      </c>
      <c r="CK70" s="151">
        <f>'[33]CRH MG 2021'!CK16</f>
        <v>212875.85000000009</v>
      </c>
      <c r="CL70" s="151">
        <f>'[33]CRH MG 2021'!CL16</f>
        <v>213178.17000000019</v>
      </c>
      <c r="CM70" s="151">
        <f>'[33]CRH MG 2021'!CM16</f>
        <v>0</v>
      </c>
      <c r="CN70" s="151">
        <f>'[33]CRH MG 2021'!CN16</f>
        <v>38075.230000000003</v>
      </c>
      <c r="CO70" s="10">
        <f t="shared" si="133"/>
        <v>2862726.5099999993</v>
      </c>
      <c r="CP70" s="151">
        <f>'[33]CRH MG 2021'!CP16</f>
        <v>1832254.5299999989</v>
      </c>
      <c r="CQ70" s="151">
        <f>'[33]CRH MG 2021'!CQ16</f>
        <v>351021.01999999967</v>
      </c>
      <c r="CR70" s="151">
        <f>'[33]CRH MG 2021'!CR16</f>
        <v>144000.89000000004</v>
      </c>
      <c r="CS70" s="151">
        <f>'[33]CRH MG 2021'!CS16</f>
        <v>147691.82000000004</v>
      </c>
      <c r="CT70" s="151">
        <f>'[33]CRH MG 2021'!CT16</f>
        <v>0</v>
      </c>
      <c r="CU70" s="151">
        <f>'[33]CRH MG 2021'!CU16</f>
        <v>30476.000000000022</v>
      </c>
      <c r="CV70" s="10">
        <f t="shared" si="134"/>
        <v>2505444.2599999984</v>
      </c>
      <c r="CW70" s="154">
        <f>'[33]CRH MG 2021'!CW16</f>
        <v>1738375.1899999995</v>
      </c>
      <c r="CX70" s="154">
        <f>'[33]CRH MG 2021'!CX16</f>
        <v>296696.58000000007</v>
      </c>
      <c r="CY70" s="154">
        <f>'[33]CRH MG 2021'!CY16</f>
        <v>102220.89999999998</v>
      </c>
      <c r="CZ70" s="154">
        <f>'[33]CRH MG 2021'!CZ16</f>
        <v>178314.08999999997</v>
      </c>
      <c r="DA70" s="154">
        <f>'[33]CRH MG 2021'!DA16</f>
        <v>0</v>
      </c>
      <c r="DB70" s="154">
        <f>'[33]CRH MG 2021'!DB16</f>
        <v>27046.440000000006</v>
      </c>
      <c r="DC70" s="154">
        <f>'[33]CRH MG 2021'!DC16</f>
        <v>2342653.1999999993</v>
      </c>
      <c r="DD70" s="154">
        <f>'[33]CRH MG 2021'!DD16</f>
        <v>1901080.0508124728</v>
      </c>
      <c r="DE70" s="154">
        <f>'[33]CRH MG 2021'!DE16</f>
        <v>256890.28000000017</v>
      </c>
      <c r="DF70" s="154">
        <f>'[33]CRH MG 2021'!DF16</f>
        <v>74413.040000000008</v>
      </c>
      <c r="DG70" s="154">
        <f>'[33]CRH MG 2021'!DG16</f>
        <v>123741.94499999989</v>
      </c>
      <c r="DH70" s="154">
        <f>'[33]CRH MG 2021'!DH16</f>
        <v>0</v>
      </c>
      <c r="DI70" s="154">
        <f>'[33]CRH MG 2021'!DI16</f>
        <v>16236.599999999999</v>
      </c>
      <c r="DJ70" s="10">
        <f t="shared" si="135"/>
        <v>2372361.9158124728</v>
      </c>
      <c r="DK70" s="10">
        <f>'[33]CRH MG 2021'!DK16</f>
        <v>2448186.4499999997</v>
      </c>
      <c r="DL70" s="10">
        <f>'[33]CRH MG 2021'!DL16</f>
        <v>266900.45999999996</v>
      </c>
      <c r="DM70" s="10">
        <f>'[33]CRH MG 2021'!DM16</f>
        <v>42847.25</v>
      </c>
      <c r="DN70" s="10">
        <f>'[33]CRH MG 2021'!DN16</f>
        <v>139113.72999999989</v>
      </c>
      <c r="DO70" s="10">
        <f>'[33]CRH MG 2021'!DO16</f>
        <v>0</v>
      </c>
      <c r="DP70" s="10">
        <f>'[33]CRH MG 2021'!DP16</f>
        <v>303397.62000000029</v>
      </c>
      <c r="DQ70" s="10">
        <f t="shared" si="136"/>
        <v>3200445.51</v>
      </c>
      <c r="DR70" s="10">
        <f>'[33]CRH MG 2021'!DR16</f>
        <v>2351723.0709396908</v>
      </c>
      <c r="DS70" s="10">
        <f>'[33]CRH MG 2021'!DS16</f>
        <v>197443.90000000014</v>
      </c>
      <c r="DT70" s="10">
        <f>'[33]CRH MG 2021'!DT16</f>
        <v>9344.2999999999993</v>
      </c>
      <c r="DU70" s="10">
        <f>'[33]CRH MG 2021'!DU16</f>
        <v>50606.219999999994</v>
      </c>
      <c r="DV70" s="10">
        <f>'[33]CRH MG 2021'!DV16</f>
        <v>0</v>
      </c>
      <c r="DW70" s="10">
        <f>'[33]CRH MG 2021'!DW16</f>
        <v>72089.540000000023</v>
      </c>
      <c r="DX70" s="10">
        <f t="shared" si="137"/>
        <v>2681207.0309396912</v>
      </c>
      <c r="DY70" s="10">
        <f>'[34]Pro gestao cobranca tabela 1'!$Q$158</f>
        <v>1576286.9600000004</v>
      </c>
      <c r="DZ70" s="10">
        <f>'[34]Pro gestao cobranca tabela 1'!$Q$159</f>
        <v>630178.48999999987</v>
      </c>
      <c r="EA70" s="10">
        <f>'[34]Pro gestao cobranca tabela 1'!$Q$160</f>
        <v>86624.9</v>
      </c>
      <c r="EB70" s="10">
        <f>'[34]Pro gestao cobranca tabela 1'!$Q$161</f>
        <v>392262.16</v>
      </c>
      <c r="EC70" s="10">
        <f>'[34]Pro gestao cobranca tabela 1'!$Q$162</f>
        <v>0</v>
      </c>
      <c r="ED70" s="10">
        <f>'[34]Pro gestao cobranca tabela 1'!$Q$163</f>
        <v>124587.42000000003</v>
      </c>
      <c r="EE70" s="10">
        <f t="shared" si="138"/>
        <v>2809939.93</v>
      </c>
      <c r="EF70" s="10">
        <f>'[34]Pro gestao cobranca tabela 1'!$Q$165</f>
        <v>1212595.0799999996</v>
      </c>
      <c r="EG70" s="10">
        <f>'[34]Pro gestao cobranca tabela 1'!$Q$166</f>
        <v>435531.50000000035</v>
      </c>
      <c r="EH70" s="10">
        <f>'[34]Pro gestao cobranca tabela 1'!$Q$167</f>
        <v>80089.799999999988</v>
      </c>
      <c r="EI70" s="10">
        <f>'[34]Pro gestao cobranca tabela 1'!$Q$168</f>
        <v>135186.29</v>
      </c>
      <c r="EJ70" s="10">
        <f>'[34]Pro gestao cobranca tabela 1'!$Q$169</f>
        <v>0</v>
      </c>
      <c r="EK70" s="10">
        <f>'[34]Pro gestao cobranca tabela 1'!$Q$170</f>
        <v>43528.759999999987</v>
      </c>
      <c r="EL70" s="10">
        <f t="shared" si="139"/>
        <v>1906931.4300000002</v>
      </c>
      <c r="EM70" s="153">
        <f t="shared" si="140"/>
        <v>16269751.879999995</v>
      </c>
      <c r="EN70" s="153">
        <f t="shared" si="141"/>
        <v>13998695.14675216</v>
      </c>
      <c r="EO70" s="195"/>
      <c r="EQ70" s="36"/>
      <c r="ER70" s="36"/>
      <c r="ES70" s="36"/>
      <c r="ET70" s="36"/>
    </row>
    <row r="71" spans="1:150" s="5" customFormat="1" ht="12.75" x14ac:dyDescent="0.2">
      <c r="A71" s="197"/>
      <c r="B71" s="206" t="s">
        <v>42</v>
      </c>
      <c r="C71" s="207"/>
      <c r="D71" s="207"/>
      <c r="E71" s="13">
        <f>SUM(E59:E70)</f>
        <v>0</v>
      </c>
      <c r="F71" s="13">
        <f t="shared" ref="F71:AH71" si="142">SUM(F59:F70)</f>
        <v>0</v>
      </c>
      <c r="G71" s="13">
        <f t="shared" si="142"/>
        <v>0</v>
      </c>
      <c r="H71" s="13">
        <f t="shared" si="142"/>
        <v>0</v>
      </c>
      <c r="I71" s="13">
        <f t="shared" si="142"/>
        <v>0</v>
      </c>
      <c r="J71" s="13">
        <f t="shared" si="142"/>
        <v>0</v>
      </c>
      <c r="K71" s="13">
        <f t="shared" si="142"/>
        <v>0</v>
      </c>
      <c r="L71" s="13">
        <f t="shared" si="142"/>
        <v>0</v>
      </c>
      <c r="M71" s="13">
        <f t="shared" si="142"/>
        <v>0</v>
      </c>
      <c r="N71" s="13">
        <f t="shared" si="142"/>
        <v>0</v>
      </c>
      <c r="O71" s="13">
        <f t="shared" si="142"/>
        <v>0</v>
      </c>
      <c r="P71" s="13">
        <f t="shared" si="142"/>
        <v>0</v>
      </c>
      <c r="Q71" s="13">
        <f t="shared" si="142"/>
        <v>0</v>
      </c>
      <c r="R71" s="13">
        <f t="shared" si="142"/>
        <v>0</v>
      </c>
      <c r="S71" s="13">
        <f t="shared" si="142"/>
        <v>0</v>
      </c>
      <c r="T71" s="13">
        <f t="shared" si="142"/>
        <v>0</v>
      </c>
      <c r="U71" s="13">
        <f t="shared" si="142"/>
        <v>0</v>
      </c>
      <c r="V71" s="13">
        <f t="shared" si="142"/>
        <v>0</v>
      </c>
      <c r="W71" s="13">
        <f t="shared" si="142"/>
        <v>0</v>
      </c>
      <c r="X71" s="13">
        <f t="shared" si="142"/>
        <v>0</v>
      </c>
      <c r="Y71" s="13">
        <f t="shared" si="142"/>
        <v>0</v>
      </c>
      <c r="Z71" s="13">
        <f t="shared" si="142"/>
        <v>0</v>
      </c>
      <c r="AA71" s="13">
        <f t="shared" si="142"/>
        <v>0</v>
      </c>
      <c r="AB71" s="13">
        <f t="shared" si="142"/>
        <v>0</v>
      </c>
      <c r="AC71" s="13">
        <f t="shared" si="142"/>
        <v>0</v>
      </c>
      <c r="AD71" s="13">
        <f t="shared" si="142"/>
        <v>0</v>
      </c>
      <c r="AE71" s="13">
        <f t="shared" si="142"/>
        <v>0</v>
      </c>
      <c r="AF71" s="13">
        <f t="shared" si="142"/>
        <v>0</v>
      </c>
      <c r="AG71" s="13">
        <f t="shared" si="142"/>
        <v>11595350.910000024</v>
      </c>
      <c r="AH71" s="13">
        <f t="shared" si="142"/>
        <v>10675689.930000016</v>
      </c>
      <c r="AI71" s="13">
        <f>SUM(AI59:AI70)</f>
        <v>14228500.690000026</v>
      </c>
      <c r="AJ71" s="13">
        <f t="shared" ref="AJ71" si="143">SUM(AJ59:AJ70)</f>
        <v>12957456.839999994</v>
      </c>
      <c r="AK71" s="13">
        <f t="shared" ref="AK71" si="144">SUM(AK59:AK70)</f>
        <v>21820711.933599994</v>
      </c>
      <c r="AL71" s="13">
        <f t="shared" ref="AL71" si="145">SUM(AL59:AL70)</f>
        <v>20294048.25</v>
      </c>
      <c r="AM71" s="13">
        <f>SUM(AM59:AM70)</f>
        <v>31877735.020000014</v>
      </c>
      <c r="AN71" s="13">
        <f t="shared" ref="AN71" si="146">SUM(AN59:AN70)</f>
        <v>29249830.22000001</v>
      </c>
      <c r="AO71" s="13">
        <f t="shared" ref="AO71" si="147">SUM(AO59:AO70)</f>
        <v>33221266.09000003</v>
      </c>
      <c r="AP71" s="13">
        <f t="shared" ref="AP71" si="148">SUM(AP59:AP70)</f>
        <v>30056303.810000002</v>
      </c>
      <c r="AQ71" s="13">
        <f t="shared" ref="AQ71" si="149">SUM(AQ59:AQ70)</f>
        <v>35619810.160000011</v>
      </c>
      <c r="AR71" s="13">
        <f t="shared" ref="AR71" si="150">SUM(AR59:AR70)</f>
        <v>32235307.359999996</v>
      </c>
      <c r="AS71" s="13">
        <f t="shared" ref="AS71" si="151">SUM(AS59:AS70)</f>
        <v>22125202.549999993</v>
      </c>
      <c r="AT71" s="13">
        <f t="shared" ref="AT71" si="152">SUM(AT59:AT70)</f>
        <v>7064718.6900000013</v>
      </c>
      <c r="AU71" s="13">
        <f t="shared" ref="AU71" si="153">SUM(AU59:AU70)</f>
        <v>10305597.289999997</v>
      </c>
      <c r="AV71" s="13">
        <f t="shared" ref="AV71" si="154">SUM(AV59:AV70)</f>
        <v>1620479.3800000004</v>
      </c>
      <c r="AW71" s="13">
        <f t="shared" ref="AW71" si="155">SUM(AW59:AW70)</f>
        <v>0</v>
      </c>
      <c r="AX71" s="13">
        <f t="shared" ref="AX71" si="156">SUM(AX59:AX70)</f>
        <v>993648.46000000078</v>
      </c>
      <c r="AY71" s="13">
        <f>SUM(AY59:AY70)</f>
        <v>42109646.36999999</v>
      </c>
      <c r="AZ71" s="13">
        <f t="shared" ref="AZ71" si="157">SUM(AZ59:AZ70)</f>
        <v>19370826.929999996</v>
      </c>
      <c r="BA71" s="13">
        <f t="shared" ref="BA71" si="158">SUM(BA59:BA70)</f>
        <v>6641378.9799999977</v>
      </c>
      <c r="BB71" s="13">
        <f t="shared" ref="BB71" si="159">SUM(BB59:BB70)</f>
        <v>10386308.379999999</v>
      </c>
      <c r="BC71" s="13">
        <f t="shared" ref="BC71" si="160">SUM(BC59:BC70)</f>
        <v>1308698.5000000016</v>
      </c>
      <c r="BD71" s="13">
        <f t="shared" ref="BD71" si="161">SUM(BD59:BD70)</f>
        <v>0</v>
      </c>
      <c r="BE71" s="13">
        <f t="shared" ref="BE71" si="162">SUM(BE59:BE70)</f>
        <v>752693.23000000033</v>
      </c>
      <c r="BF71" s="13">
        <f>SUM(BF59:BF70)</f>
        <v>38459906.020000003</v>
      </c>
      <c r="BG71" s="13">
        <f t="shared" ref="BG71" si="163">SUM(BG59:BG70)</f>
        <v>31513214.369999994</v>
      </c>
      <c r="BH71" s="13">
        <f t="shared" ref="BH71" si="164">SUM(BH59:BH70)</f>
        <v>7585683.7399999984</v>
      </c>
      <c r="BI71" s="13">
        <f t="shared" ref="BI71" si="165">SUM(BI59:BI70)</f>
        <v>11290508.100000001</v>
      </c>
      <c r="BJ71" s="13">
        <f t="shared" ref="BJ71" si="166">SUM(BJ59:BJ70)</f>
        <v>1521605.1799999997</v>
      </c>
      <c r="BK71" s="13">
        <f t="shared" ref="BK71" si="167">SUM(BK59:BK70)</f>
        <v>0</v>
      </c>
      <c r="BL71" s="13">
        <f t="shared" ref="BL71" si="168">SUM(BL59:BL70)</f>
        <v>971262.79999999865</v>
      </c>
      <c r="BM71" s="13">
        <f t="shared" ref="BM71" si="169">SUM(BM59:BM70)</f>
        <v>52882274.190000005</v>
      </c>
      <c r="BN71" s="13">
        <f t="shared" ref="BN71" si="170">SUM(BN59:BN70)</f>
        <v>21482174.499999996</v>
      </c>
      <c r="BO71" s="13">
        <f t="shared" ref="BO71" si="171">SUM(BO59:BO70)</f>
        <v>7180475.0999999987</v>
      </c>
      <c r="BP71" s="13">
        <f t="shared" ref="BP71" si="172">SUM(BP59:BP70)</f>
        <v>9394296.7599999998</v>
      </c>
      <c r="BQ71" s="13">
        <f t="shared" ref="BQ71" si="173">SUM(BQ59:BQ70)</f>
        <v>1102969.3999999997</v>
      </c>
      <c r="BR71" s="13">
        <f t="shared" ref="BR71" si="174">SUM(BR59:BR70)</f>
        <v>0</v>
      </c>
      <c r="BS71" s="13">
        <f t="shared" ref="BS71" si="175">SUM(BS59:BS70)</f>
        <v>612968.43999999843</v>
      </c>
      <c r="BT71" s="13">
        <f t="shared" ref="BT71:CG71" si="176">SUM(BT59:BT70)</f>
        <v>39772884.199999988</v>
      </c>
      <c r="BU71" s="13">
        <f t="shared" si="176"/>
        <v>28916957.43</v>
      </c>
      <c r="BV71" s="13">
        <f>SUM(BV59:BV70)</f>
        <v>6964941.6999999983</v>
      </c>
      <c r="BW71" s="13">
        <f t="shared" si="176"/>
        <v>9881934.2200000007</v>
      </c>
      <c r="BX71" s="13">
        <f t="shared" si="176"/>
        <v>1796730.4799999995</v>
      </c>
      <c r="BY71" s="13">
        <f t="shared" si="176"/>
        <v>0</v>
      </c>
      <c r="BZ71" s="13">
        <f t="shared" si="176"/>
        <v>566401.82000000007</v>
      </c>
      <c r="CA71" s="13">
        <f t="shared" si="176"/>
        <v>48126965.649999991</v>
      </c>
      <c r="CB71" s="13">
        <f t="shared" si="176"/>
        <v>24281552.61206729</v>
      </c>
      <c r="CC71" s="13">
        <f t="shared" si="176"/>
        <v>6721750.1122721164</v>
      </c>
      <c r="CD71" s="13">
        <f t="shared" si="176"/>
        <v>11695323.004411835</v>
      </c>
      <c r="CE71" s="13">
        <f t="shared" si="176"/>
        <v>1546409.8236506348</v>
      </c>
      <c r="CF71" s="13">
        <f t="shared" si="176"/>
        <v>0</v>
      </c>
      <c r="CG71" s="13">
        <f t="shared" si="176"/>
        <v>518509.96588726458</v>
      </c>
      <c r="CH71" s="13">
        <f>SUM(CH59:CH70)</f>
        <v>44763545.518289141</v>
      </c>
      <c r="CI71" s="13">
        <f t="shared" ref="CI71:CO71" si="177">SUM(CI59:CI70)</f>
        <v>27879431.069999997</v>
      </c>
      <c r="CJ71" s="13">
        <f t="shared" si="177"/>
        <v>6885151.660000002</v>
      </c>
      <c r="CK71" s="13">
        <f t="shared" si="177"/>
        <v>8496304.7800000012</v>
      </c>
      <c r="CL71" s="13">
        <f t="shared" si="177"/>
        <v>1790378.8899999983</v>
      </c>
      <c r="CM71" s="13">
        <f t="shared" si="177"/>
        <v>0</v>
      </c>
      <c r="CN71" s="13">
        <f t="shared" si="177"/>
        <v>531048.72999999952</v>
      </c>
      <c r="CO71" s="13">
        <f t="shared" si="177"/>
        <v>45582315.13000001</v>
      </c>
      <c r="CP71" s="13">
        <f t="shared" ref="CP71" si="178">SUM(CP59:CP70)</f>
        <v>20358631.225912906</v>
      </c>
      <c r="CQ71" s="13">
        <f t="shared" ref="CQ71" si="179">SUM(CQ59:CQ70)</f>
        <v>6129911.1843236759</v>
      </c>
      <c r="CR71" s="13">
        <f t="shared" ref="CR71" si="180">SUM(CR59:CR70)</f>
        <v>8999871.7384082172</v>
      </c>
      <c r="CS71" s="13">
        <f t="shared" ref="CS71" si="181">SUM(CS59:CS70)</f>
        <v>1487498.3439850458</v>
      </c>
      <c r="CT71" s="13">
        <f t="shared" ref="CT71" si="182">SUM(CT59:CT70)</f>
        <v>0</v>
      </c>
      <c r="CU71" s="13">
        <f t="shared" ref="CU71" si="183">SUM(CU59:CU70)</f>
        <v>521686.59081856237</v>
      </c>
      <c r="CV71" s="13">
        <f>SUM(CV59:CV70)</f>
        <v>37497599.083448403</v>
      </c>
      <c r="CW71" s="13">
        <f t="shared" ref="CW71:EL71" si="184">SUM(CW59:CW70)</f>
        <v>23077960.609999999</v>
      </c>
      <c r="CX71" s="13">
        <f t="shared" si="184"/>
        <v>5812058.54</v>
      </c>
      <c r="CY71" s="13">
        <f t="shared" si="184"/>
        <v>8453119.1799999997</v>
      </c>
      <c r="CZ71" s="13">
        <f t="shared" si="184"/>
        <v>1462398.7699999996</v>
      </c>
      <c r="DA71" s="13">
        <f t="shared" si="184"/>
        <v>0</v>
      </c>
      <c r="DB71" s="13">
        <f t="shared" si="184"/>
        <v>1899472.0500000024</v>
      </c>
      <c r="DC71" s="13">
        <f t="shared" si="184"/>
        <v>40705009.150000006</v>
      </c>
      <c r="DD71" s="13">
        <f t="shared" si="184"/>
        <v>21187102.15870335</v>
      </c>
      <c r="DE71" s="13">
        <f t="shared" si="184"/>
        <v>5946709.0394028407</v>
      </c>
      <c r="DF71" s="13">
        <f t="shared" si="184"/>
        <v>8602097.361555893</v>
      </c>
      <c r="DG71" s="13">
        <f t="shared" si="184"/>
        <v>1183595.9258567349</v>
      </c>
      <c r="DH71" s="13">
        <f t="shared" si="184"/>
        <v>0</v>
      </c>
      <c r="DI71" s="13">
        <f t="shared" si="184"/>
        <v>380423.84096142935</v>
      </c>
      <c r="DJ71" s="13">
        <f t="shared" si="184"/>
        <v>37299928.326480255</v>
      </c>
      <c r="DK71" s="13">
        <f t="shared" si="184"/>
        <v>16862148.789999999</v>
      </c>
      <c r="DL71" s="13">
        <f t="shared" si="184"/>
        <v>2982132.669999999</v>
      </c>
      <c r="DM71" s="13">
        <f t="shared" si="184"/>
        <v>6225508.8099999996</v>
      </c>
      <c r="DN71" s="13">
        <f t="shared" si="184"/>
        <v>1927593.4599999951</v>
      </c>
      <c r="DO71" s="13">
        <f t="shared" si="184"/>
        <v>0</v>
      </c>
      <c r="DP71" s="13">
        <f t="shared" si="184"/>
        <v>5720597.940000006</v>
      </c>
      <c r="DQ71" s="13">
        <f t="shared" si="184"/>
        <v>33717981.670000002</v>
      </c>
      <c r="DR71" s="13">
        <f t="shared" si="184"/>
        <v>14296108.530395437</v>
      </c>
      <c r="DS71" s="13">
        <f t="shared" si="184"/>
        <v>2195791.7813885207</v>
      </c>
      <c r="DT71" s="13">
        <f t="shared" si="184"/>
        <v>3938693.6073738048</v>
      </c>
      <c r="DU71" s="13">
        <f t="shared" si="184"/>
        <v>519137.35000000003</v>
      </c>
      <c r="DV71" s="13">
        <f t="shared" si="184"/>
        <v>0</v>
      </c>
      <c r="DW71" s="13">
        <f t="shared" si="184"/>
        <v>1162651.7805105522</v>
      </c>
      <c r="DX71" s="13">
        <f t="shared" si="184"/>
        <v>22112383.049668308</v>
      </c>
      <c r="DY71" s="13">
        <f t="shared" si="184"/>
        <v>19970915.09</v>
      </c>
      <c r="DZ71" s="13">
        <f t="shared" si="184"/>
        <v>11610809.220000001</v>
      </c>
      <c r="EA71" s="13">
        <f t="shared" si="184"/>
        <v>7724739.1700000018</v>
      </c>
      <c r="EB71" s="13">
        <f t="shared" si="184"/>
        <v>6595996.8499999912</v>
      </c>
      <c r="EC71" s="13">
        <f t="shared" si="184"/>
        <v>0</v>
      </c>
      <c r="ED71" s="13">
        <f t="shared" si="184"/>
        <v>2822608.9499999997</v>
      </c>
      <c r="EE71" s="13">
        <f t="shared" si="184"/>
        <v>48725069.279999986</v>
      </c>
      <c r="EF71" s="13">
        <f t="shared" si="184"/>
        <v>17421332.259999994</v>
      </c>
      <c r="EG71" s="13">
        <f t="shared" si="184"/>
        <v>9912105.3300000038</v>
      </c>
      <c r="EH71" s="13">
        <f t="shared" si="184"/>
        <v>7717881.9700000016</v>
      </c>
      <c r="EI71" s="13">
        <f t="shared" si="184"/>
        <v>2077333.4300000025</v>
      </c>
      <c r="EJ71" s="13">
        <f t="shared" si="184"/>
        <v>0</v>
      </c>
      <c r="EK71" s="13">
        <f t="shared" si="184"/>
        <v>1763270.3200000003</v>
      </c>
      <c r="EL71" s="13">
        <f t="shared" si="184"/>
        <v>38891923.31000001</v>
      </c>
      <c r="EM71" s="13">
        <f>SUM(EM59:EM70)</f>
        <v>460212636.24360007</v>
      </c>
      <c r="EN71" s="13">
        <f t="shared" ref="EN71" si="185">SUM(EN59:EN70)</f>
        <v>394266805.9178862</v>
      </c>
      <c r="EO71" s="78"/>
      <c r="EQ71" s="36"/>
      <c r="ER71" s="36"/>
      <c r="ES71" s="36"/>
      <c r="ET71" s="36"/>
    </row>
    <row r="72" spans="1:150" s="5" customFormat="1" ht="12.75" x14ac:dyDescent="0.2">
      <c r="A72" s="200" t="s">
        <v>36</v>
      </c>
      <c r="B72" s="15" t="s">
        <v>33</v>
      </c>
      <c r="C72" s="1" t="s">
        <v>34</v>
      </c>
      <c r="D72" s="2">
        <v>41518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10">
        <f>[35]Planilha1!$D$8</f>
        <v>945203.71</v>
      </c>
      <c r="AN72" s="10">
        <f>[35]Planilha1!$D$15</f>
        <v>945371.55</v>
      </c>
      <c r="AO72" s="74">
        <f>[35]Planilha1!$E$8</f>
        <v>2930331.02</v>
      </c>
      <c r="AP72" s="10">
        <f>[35]Planilha1!$E$15</f>
        <v>2650666.9</v>
      </c>
      <c r="AQ72" s="14">
        <f>[35]Planilha1!$F$8</f>
        <v>3634897.72</v>
      </c>
      <c r="AR72" s="14">
        <f>[35]Planilha1!$F$15</f>
        <v>3580019.75</v>
      </c>
      <c r="AS72" s="14">
        <f>[35]Planilha1!$G$2</f>
        <v>3315667.48</v>
      </c>
      <c r="AT72" s="14">
        <f>[35]Planilha1!$G$3</f>
        <v>499191.99</v>
      </c>
      <c r="AU72" s="50"/>
      <c r="AV72" s="14">
        <v>0</v>
      </c>
      <c r="AW72" s="50"/>
      <c r="AX72" s="50"/>
      <c r="AY72" s="10">
        <f>SUM(AS72:AX72)</f>
        <v>3814859.4699999997</v>
      </c>
      <c r="AZ72" s="10">
        <f>[35]Planilha1!$G$9</f>
        <v>3315667.48</v>
      </c>
      <c r="BA72" s="10">
        <f>[35]Planilha1!$G$10</f>
        <v>479033.27</v>
      </c>
      <c r="BB72" s="50"/>
      <c r="BC72" s="50"/>
      <c r="BD72" s="50"/>
      <c r="BE72" s="50"/>
      <c r="BF72" s="10">
        <f>SUM(AZ72:BE72)</f>
        <v>3794700.75</v>
      </c>
      <c r="BG72" s="10">
        <f>[35]Planilha1!$H$2</f>
        <v>3434227.68</v>
      </c>
      <c r="BH72" s="10">
        <f>[35]Planilha1!$H$3</f>
        <v>493258.71</v>
      </c>
      <c r="BI72" s="10">
        <v>0</v>
      </c>
      <c r="BJ72" s="10">
        <v>0</v>
      </c>
      <c r="BK72" s="10">
        <v>0</v>
      </c>
      <c r="BL72" s="10">
        <v>0</v>
      </c>
      <c r="BM72" s="10">
        <f>SUM(BG72:BL72)</f>
        <v>3927486.39</v>
      </c>
      <c r="BN72" s="10">
        <f>[35]Planilha1!$H$9</f>
        <v>3434227.68</v>
      </c>
      <c r="BO72" s="10">
        <f>[35]Planilha1!$H$10</f>
        <v>445924.72</v>
      </c>
      <c r="BP72" s="10">
        <v>0</v>
      </c>
      <c r="BQ72" s="10">
        <v>0</v>
      </c>
      <c r="BR72" s="10">
        <v>0</v>
      </c>
      <c r="BS72" s="10">
        <v>0</v>
      </c>
      <c r="BT72" s="10">
        <f>SUM(BN72:BS72)</f>
        <v>3880152.4000000004</v>
      </c>
      <c r="BU72" s="10">
        <f>[35]Planilha1!$I$2</f>
        <v>3452788.48</v>
      </c>
      <c r="BV72" s="10">
        <f>[35]Planilha1!$I$3</f>
        <v>442171.85</v>
      </c>
      <c r="BW72" s="10">
        <v>0</v>
      </c>
      <c r="BX72" s="10">
        <v>0</v>
      </c>
      <c r="BY72" s="10">
        <v>0</v>
      </c>
      <c r="BZ72" s="10">
        <v>0</v>
      </c>
      <c r="CA72" s="10">
        <f t="shared" si="61"/>
        <v>3894960.33</v>
      </c>
      <c r="CB72" s="10">
        <f>[35]Planilha1!$I$9</f>
        <v>3452788.48</v>
      </c>
      <c r="CC72" s="10">
        <f>[35]Planilha1!$I$10</f>
        <v>391115.86</v>
      </c>
      <c r="CD72" s="10">
        <v>0</v>
      </c>
      <c r="CE72" s="10">
        <v>0</v>
      </c>
      <c r="CF72" s="10">
        <v>0</v>
      </c>
      <c r="CG72" s="10">
        <v>0</v>
      </c>
      <c r="CH72" s="10">
        <f>SUM(CB72:CG72)</f>
        <v>3843904.34</v>
      </c>
      <c r="CI72" s="10">
        <v>0</v>
      </c>
      <c r="CJ72" s="10">
        <f>[35]Planilha1!$J$3</f>
        <v>520921.46</v>
      </c>
      <c r="CK72" s="10">
        <v>0</v>
      </c>
      <c r="CL72" s="10">
        <v>0</v>
      </c>
      <c r="CM72" s="10">
        <v>0</v>
      </c>
      <c r="CN72" s="10"/>
      <c r="CO72" s="10">
        <f>SUM(CI72:CN72)</f>
        <v>520921.46</v>
      </c>
      <c r="CP72" s="10">
        <v>0</v>
      </c>
      <c r="CQ72" s="10">
        <f>[35]Planilha1!$J$10</f>
        <v>490907.17</v>
      </c>
      <c r="CR72" s="10">
        <v>0</v>
      </c>
      <c r="CS72" s="10">
        <v>0</v>
      </c>
      <c r="CT72" s="10">
        <v>0</v>
      </c>
      <c r="CU72" s="10">
        <v>0</v>
      </c>
      <c r="CV72" s="10">
        <f>SUM(CP72:CU72)</f>
        <v>490907.17</v>
      </c>
      <c r="CW72" s="10">
        <f>[35]Planilha1!$K$2</f>
        <v>3796598.64</v>
      </c>
      <c r="CX72" s="10">
        <f>[35]Planilha1!$K$3</f>
        <v>632284.19999999995</v>
      </c>
      <c r="CY72" s="10">
        <v>0</v>
      </c>
      <c r="CZ72" s="10">
        <v>0</v>
      </c>
      <c r="DA72" s="10">
        <v>0</v>
      </c>
      <c r="DB72" s="10">
        <v>0</v>
      </c>
      <c r="DC72" s="10">
        <f>SUM(CW72:DB72)</f>
        <v>4428882.84</v>
      </c>
      <c r="DD72" s="10">
        <f>[35]Planilha1!$K$9</f>
        <v>3796598.64</v>
      </c>
      <c r="DE72" s="10">
        <f>[35]Planilha1!$K$10</f>
        <v>460698.33</v>
      </c>
      <c r="DF72" s="10">
        <v>0</v>
      </c>
      <c r="DG72" s="10">
        <v>0</v>
      </c>
      <c r="DH72" s="10">
        <v>0</v>
      </c>
      <c r="DI72" s="10">
        <v>0</v>
      </c>
      <c r="DJ72" s="10">
        <f>SUM(DD72:DI72)</f>
        <v>4257296.97</v>
      </c>
      <c r="DK72" s="10">
        <v>3840818.23</v>
      </c>
      <c r="DL72" s="10">
        <v>596393.75</v>
      </c>
      <c r="DM72" s="10">
        <v>0</v>
      </c>
      <c r="DN72" s="10">
        <v>0</v>
      </c>
      <c r="DO72" s="10">
        <v>0</v>
      </c>
      <c r="DP72" s="10">
        <v>0</v>
      </c>
      <c r="DQ72" s="10">
        <f>SUM(DK72:DP72)</f>
        <v>4437211.9800000004</v>
      </c>
      <c r="DR72" s="10">
        <v>3193311.94</v>
      </c>
      <c r="DS72" s="10">
        <v>551363.38</v>
      </c>
      <c r="DT72" s="10">
        <v>0</v>
      </c>
      <c r="DU72" s="10">
        <v>0</v>
      </c>
      <c r="DV72" s="10">
        <v>0</v>
      </c>
      <c r="DW72" s="10">
        <v>0</v>
      </c>
      <c r="DX72" s="10">
        <f>SUM(DR72:DW72)</f>
        <v>3744675.32</v>
      </c>
      <c r="DY72" s="10">
        <v>4020849.64</v>
      </c>
      <c r="DZ72" s="10">
        <v>693483.09</v>
      </c>
      <c r="EA72" s="10">
        <v>0</v>
      </c>
      <c r="EB72" s="10">
        <v>0</v>
      </c>
      <c r="EC72" s="10">
        <v>0</v>
      </c>
      <c r="ED72" s="10">
        <v>0</v>
      </c>
      <c r="EE72" s="10">
        <f>SUM(DY72:ED72)</f>
        <v>4714332.7300000004</v>
      </c>
      <c r="EF72" s="10">
        <v>1351530.73</v>
      </c>
      <c r="EG72" s="10">
        <v>286337.28999999998</v>
      </c>
      <c r="EH72" s="10">
        <v>0</v>
      </c>
      <c r="EI72" s="10">
        <v>0</v>
      </c>
      <c r="EJ72" s="10">
        <v>0</v>
      </c>
      <c r="EK72" s="10">
        <v>0</v>
      </c>
      <c r="EL72" s="10">
        <f>SUM(EF72:EK72)</f>
        <v>1637868.02</v>
      </c>
      <c r="EM72" s="10">
        <f>E72+G72+I72+K72+M72+O72+Q72+S72+U72+W72+Y72+AA72+AC72+AE72+AG72+AI72+AK72+AM72+AO72+AQ72+AY72+BM72+CA72+CO72+DC72+DQ72+EE72</f>
        <v>33249087.650000002</v>
      </c>
      <c r="EN72" s="10">
        <f>F72+H72+J72+L72+N72+P72+R72+T72+V72+X72+Z72+AB72+AD72+AF72+AH72+AJ72+AL72+AN72+AP72+AR72+BF72+BT72+CH72+CV72+DJ72+DX72+EL72</f>
        <v>28825563.169999998</v>
      </c>
      <c r="EO72" s="9" t="s">
        <v>160</v>
      </c>
      <c r="EQ72" s="36"/>
      <c r="ER72" s="36"/>
      <c r="ES72" s="36"/>
      <c r="ET72" s="36"/>
    </row>
    <row r="73" spans="1:150" s="5" customFormat="1" ht="12.75" x14ac:dyDescent="0.2">
      <c r="A73" s="201"/>
      <c r="B73" s="198" t="s">
        <v>44</v>
      </c>
      <c r="C73" s="199"/>
      <c r="D73" s="199"/>
      <c r="E73" s="11">
        <f>SUM(E72)</f>
        <v>0</v>
      </c>
      <c r="F73" s="11">
        <f t="shared" ref="F73:AL73" si="186">SUM(F72)</f>
        <v>0</v>
      </c>
      <c r="G73" s="11">
        <f t="shared" si="186"/>
        <v>0</v>
      </c>
      <c r="H73" s="11">
        <f t="shared" si="186"/>
        <v>0</v>
      </c>
      <c r="I73" s="11">
        <f t="shared" si="186"/>
        <v>0</v>
      </c>
      <c r="J73" s="11">
        <f t="shared" si="186"/>
        <v>0</v>
      </c>
      <c r="K73" s="11">
        <f t="shared" si="186"/>
        <v>0</v>
      </c>
      <c r="L73" s="11">
        <f t="shared" si="186"/>
        <v>0</v>
      </c>
      <c r="M73" s="11">
        <f t="shared" si="186"/>
        <v>0</v>
      </c>
      <c r="N73" s="11">
        <f t="shared" si="186"/>
        <v>0</v>
      </c>
      <c r="O73" s="11">
        <f t="shared" si="186"/>
        <v>0</v>
      </c>
      <c r="P73" s="11">
        <f t="shared" si="186"/>
        <v>0</v>
      </c>
      <c r="Q73" s="11">
        <f t="shared" si="186"/>
        <v>0</v>
      </c>
      <c r="R73" s="11">
        <f t="shared" si="186"/>
        <v>0</v>
      </c>
      <c r="S73" s="11">
        <f t="shared" si="186"/>
        <v>0</v>
      </c>
      <c r="T73" s="11">
        <f t="shared" si="186"/>
        <v>0</v>
      </c>
      <c r="U73" s="11">
        <f t="shared" si="186"/>
        <v>0</v>
      </c>
      <c r="V73" s="11">
        <f t="shared" si="186"/>
        <v>0</v>
      </c>
      <c r="W73" s="11">
        <f t="shared" si="186"/>
        <v>0</v>
      </c>
      <c r="X73" s="11">
        <f t="shared" si="186"/>
        <v>0</v>
      </c>
      <c r="Y73" s="11">
        <f t="shared" si="186"/>
        <v>0</v>
      </c>
      <c r="Z73" s="11">
        <f t="shared" si="186"/>
        <v>0</v>
      </c>
      <c r="AA73" s="11">
        <f t="shared" si="186"/>
        <v>0</v>
      </c>
      <c r="AB73" s="11">
        <f t="shared" si="186"/>
        <v>0</v>
      </c>
      <c r="AC73" s="11">
        <f t="shared" si="186"/>
        <v>0</v>
      </c>
      <c r="AD73" s="11">
        <f t="shared" si="186"/>
        <v>0</v>
      </c>
      <c r="AE73" s="11">
        <f t="shared" si="186"/>
        <v>0</v>
      </c>
      <c r="AF73" s="11">
        <f t="shared" si="186"/>
        <v>0</v>
      </c>
      <c r="AG73" s="11">
        <f t="shared" si="186"/>
        <v>0</v>
      </c>
      <c r="AH73" s="11">
        <f t="shared" si="186"/>
        <v>0</v>
      </c>
      <c r="AI73" s="11">
        <f t="shared" si="186"/>
        <v>0</v>
      </c>
      <c r="AJ73" s="11">
        <f t="shared" si="186"/>
        <v>0</v>
      </c>
      <c r="AK73" s="11">
        <f t="shared" si="186"/>
        <v>0</v>
      </c>
      <c r="AL73" s="11">
        <f t="shared" si="186"/>
        <v>0</v>
      </c>
      <c r="AM73" s="11">
        <f>SUM(AM72)</f>
        <v>945203.71</v>
      </c>
      <c r="AN73" s="11">
        <f>SUM(AN72)</f>
        <v>945371.55</v>
      </c>
      <c r="AO73" s="11">
        <f t="shared" ref="AO73:BE73" si="187">SUM(AO72)</f>
        <v>2930331.02</v>
      </c>
      <c r="AP73" s="11">
        <f t="shared" si="187"/>
        <v>2650666.9</v>
      </c>
      <c r="AQ73" s="11">
        <f t="shared" si="187"/>
        <v>3634897.72</v>
      </c>
      <c r="AR73" s="11">
        <f t="shared" si="187"/>
        <v>3580019.75</v>
      </c>
      <c r="AS73" s="11">
        <f t="shared" si="187"/>
        <v>3315667.48</v>
      </c>
      <c r="AT73" s="11">
        <f t="shared" si="187"/>
        <v>499191.99</v>
      </c>
      <c r="AU73" s="11"/>
      <c r="AV73" s="11">
        <f t="shared" si="187"/>
        <v>0</v>
      </c>
      <c r="AW73" s="11"/>
      <c r="AX73" s="11">
        <f t="shared" si="187"/>
        <v>0</v>
      </c>
      <c r="AY73" s="11">
        <f>SUM(AY72)</f>
        <v>3814859.4699999997</v>
      </c>
      <c r="AZ73" s="11">
        <f t="shared" si="187"/>
        <v>3315667.48</v>
      </c>
      <c r="BA73" s="11">
        <f t="shared" si="187"/>
        <v>479033.27</v>
      </c>
      <c r="BB73" s="11"/>
      <c r="BC73" s="11">
        <f t="shared" si="187"/>
        <v>0</v>
      </c>
      <c r="BD73" s="11"/>
      <c r="BE73" s="11">
        <f t="shared" si="187"/>
        <v>0</v>
      </c>
      <c r="BF73" s="11">
        <f>SUM(BF72)</f>
        <v>3794700.75</v>
      </c>
      <c r="BG73" s="11">
        <f>BG72</f>
        <v>3434227.68</v>
      </c>
      <c r="BH73" s="11">
        <f t="shared" ref="BH73:BL73" si="188">BH72</f>
        <v>493258.71</v>
      </c>
      <c r="BI73" s="11">
        <f t="shared" si="188"/>
        <v>0</v>
      </c>
      <c r="BJ73" s="11">
        <f t="shared" si="188"/>
        <v>0</v>
      </c>
      <c r="BK73" s="11">
        <f t="shared" si="188"/>
        <v>0</v>
      </c>
      <c r="BL73" s="11">
        <f t="shared" si="188"/>
        <v>0</v>
      </c>
      <c r="BM73" s="11">
        <f>SUM(BM72)</f>
        <v>3927486.39</v>
      </c>
      <c r="BN73" s="11">
        <f>BN72</f>
        <v>3434227.68</v>
      </c>
      <c r="BO73" s="11">
        <f t="shared" ref="BO73:BS73" si="189">BO72</f>
        <v>445924.72</v>
      </c>
      <c r="BP73" s="11">
        <f t="shared" si="189"/>
        <v>0</v>
      </c>
      <c r="BQ73" s="11">
        <f t="shared" si="189"/>
        <v>0</v>
      </c>
      <c r="BR73" s="11">
        <f t="shared" si="189"/>
        <v>0</v>
      </c>
      <c r="BS73" s="11">
        <f t="shared" si="189"/>
        <v>0</v>
      </c>
      <c r="BT73" s="11">
        <f>SUM(BT72)</f>
        <v>3880152.4000000004</v>
      </c>
      <c r="BU73" s="11">
        <f t="shared" ref="BU73:DI73" si="190">SUM(BU72)</f>
        <v>3452788.48</v>
      </c>
      <c r="BV73" s="11">
        <f t="shared" si="190"/>
        <v>442171.85</v>
      </c>
      <c r="BW73" s="11">
        <f t="shared" si="190"/>
        <v>0</v>
      </c>
      <c r="BX73" s="11">
        <f t="shared" si="190"/>
        <v>0</v>
      </c>
      <c r="BY73" s="11">
        <f t="shared" si="190"/>
        <v>0</v>
      </c>
      <c r="BZ73" s="11">
        <f t="shared" si="190"/>
        <v>0</v>
      </c>
      <c r="CA73" s="11">
        <f t="shared" si="190"/>
        <v>3894960.33</v>
      </c>
      <c r="CB73" s="11">
        <f t="shared" si="190"/>
        <v>3452788.48</v>
      </c>
      <c r="CC73" s="11">
        <f t="shared" si="190"/>
        <v>391115.86</v>
      </c>
      <c r="CD73" s="11">
        <f t="shared" si="190"/>
        <v>0</v>
      </c>
      <c r="CE73" s="11">
        <f t="shared" si="190"/>
        <v>0</v>
      </c>
      <c r="CF73" s="11">
        <f t="shared" si="190"/>
        <v>0</v>
      </c>
      <c r="CG73" s="11">
        <f t="shared" si="190"/>
        <v>0</v>
      </c>
      <c r="CH73" s="11">
        <f t="shared" si="190"/>
        <v>3843904.34</v>
      </c>
      <c r="CI73" s="11">
        <f t="shared" si="190"/>
        <v>0</v>
      </c>
      <c r="CJ73" s="11">
        <f t="shared" si="190"/>
        <v>520921.46</v>
      </c>
      <c r="CK73" s="11">
        <f t="shared" si="190"/>
        <v>0</v>
      </c>
      <c r="CL73" s="11">
        <f t="shared" si="190"/>
        <v>0</v>
      </c>
      <c r="CM73" s="11">
        <f t="shared" si="190"/>
        <v>0</v>
      </c>
      <c r="CN73" s="11">
        <f t="shared" si="190"/>
        <v>0</v>
      </c>
      <c r="CO73" s="11">
        <f t="shared" si="190"/>
        <v>520921.46</v>
      </c>
      <c r="CP73" s="11">
        <f t="shared" si="190"/>
        <v>0</v>
      </c>
      <c r="CQ73" s="11">
        <f t="shared" si="190"/>
        <v>490907.17</v>
      </c>
      <c r="CR73" s="11">
        <f t="shared" si="190"/>
        <v>0</v>
      </c>
      <c r="CS73" s="11">
        <f t="shared" si="190"/>
        <v>0</v>
      </c>
      <c r="CT73" s="11">
        <f t="shared" si="190"/>
        <v>0</v>
      </c>
      <c r="CU73" s="11">
        <f t="shared" si="190"/>
        <v>0</v>
      </c>
      <c r="CV73" s="11">
        <f t="shared" si="190"/>
        <v>490907.17</v>
      </c>
      <c r="CW73" s="11">
        <f t="shared" si="190"/>
        <v>3796598.64</v>
      </c>
      <c r="CX73" s="11">
        <f t="shared" si="190"/>
        <v>632284.19999999995</v>
      </c>
      <c r="CY73" s="11">
        <f t="shared" si="190"/>
        <v>0</v>
      </c>
      <c r="CZ73" s="11">
        <f t="shared" si="190"/>
        <v>0</v>
      </c>
      <c r="DA73" s="11">
        <f t="shared" si="190"/>
        <v>0</v>
      </c>
      <c r="DB73" s="11">
        <f t="shared" si="190"/>
        <v>0</v>
      </c>
      <c r="DC73" s="11">
        <f t="shared" si="190"/>
        <v>4428882.84</v>
      </c>
      <c r="DD73" s="11">
        <f t="shared" si="190"/>
        <v>3796598.64</v>
      </c>
      <c r="DE73" s="11">
        <f t="shared" si="190"/>
        <v>460698.33</v>
      </c>
      <c r="DF73" s="11">
        <f t="shared" si="190"/>
        <v>0</v>
      </c>
      <c r="DG73" s="11">
        <f t="shared" si="190"/>
        <v>0</v>
      </c>
      <c r="DH73" s="11">
        <f t="shared" si="190"/>
        <v>0</v>
      </c>
      <c r="DI73" s="11">
        <f t="shared" si="190"/>
        <v>0</v>
      </c>
      <c r="DJ73" s="11">
        <f>SUM(DJ72)</f>
        <v>4257296.97</v>
      </c>
      <c r="DK73" s="11">
        <f t="shared" ref="DK73:DO73" si="191">SUM(DK72)</f>
        <v>3840818.23</v>
      </c>
      <c r="DL73" s="11">
        <f t="shared" si="191"/>
        <v>596393.75</v>
      </c>
      <c r="DM73" s="11">
        <f t="shared" si="191"/>
        <v>0</v>
      </c>
      <c r="DN73" s="11">
        <f t="shared" si="191"/>
        <v>0</v>
      </c>
      <c r="DO73" s="11">
        <f t="shared" si="191"/>
        <v>0</v>
      </c>
      <c r="DP73" s="11">
        <f t="shared" ref="DP73" si="192">SUM(DP72)</f>
        <v>0</v>
      </c>
      <c r="DQ73" s="11">
        <f t="shared" ref="DQ73" si="193">SUM(DQ72)</f>
        <v>4437211.9800000004</v>
      </c>
      <c r="DR73" s="11">
        <f t="shared" ref="DR73" si="194">SUM(DR72)</f>
        <v>3193311.94</v>
      </c>
      <c r="DS73" s="11">
        <f t="shared" ref="DS73:DT73" si="195">SUM(DS72)</f>
        <v>551363.38</v>
      </c>
      <c r="DT73" s="11">
        <f t="shared" si="195"/>
        <v>0</v>
      </c>
      <c r="DU73" s="11">
        <f t="shared" ref="DU73" si="196">SUM(DU72)</f>
        <v>0</v>
      </c>
      <c r="DV73" s="11">
        <f t="shared" ref="DV73" si="197">SUM(DV72)</f>
        <v>0</v>
      </c>
      <c r="DW73" s="11">
        <f t="shared" ref="DW73" si="198">SUM(DW72)</f>
        <v>0</v>
      </c>
      <c r="DX73" s="11">
        <f t="shared" ref="DX73:EL73" si="199">SUM(DX72)</f>
        <v>3744675.32</v>
      </c>
      <c r="DY73" s="11">
        <f t="shared" si="199"/>
        <v>4020849.64</v>
      </c>
      <c r="DZ73" s="11">
        <f t="shared" si="199"/>
        <v>693483.09</v>
      </c>
      <c r="EA73" s="11">
        <f t="shared" si="199"/>
        <v>0</v>
      </c>
      <c r="EB73" s="11">
        <f t="shared" si="199"/>
        <v>0</v>
      </c>
      <c r="EC73" s="11">
        <f t="shared" si="199"/>
        <v>0</v>
      </c>
      <c r="ED73" s="11">
        <f t="shared" si="199"/>
        <v>0</v>
      </c>
      <c r="EE73" s="11">
        <f t="shared" si="199"/>
        <v>4714332.7300000004</v>
      </c>
      <c r="EF73" s="11">
        <f t="shared" si="199"/>
        <v>1351530.73</v>
      </c>
      <c r="EG73" s="11">
        <f t="shared" si="199"/>
        <v>286337.28999999998</v>
      </c>
      <c r="EH73" s="11">
        <f t="shared" si="199"/>
        <v>0</v>
      </c>
      <c r="EI73" s="11">
        <f t="shared" si="199"/>
        <v>0</v>
      </c>
      <c r="EJ73" s="11">
        <f t="shared" si="199"/>
        <v>0</v>
      </c>
      <c r="EK73" s="11">
        <f t="shared" si="199"/>
        <v>0</v>
      </c>
      <c r="EL73" s="11">
        <f t="shared" si="199"/>
        <v>1637868.02</v>
      </c>
      <c r="EM73" s="11">
        <f>SUM(EM72)</f>
        <v>33249087.650000002</v>
      </c>
      <c r="EN73" s="11">
        <f>SUM(EN72)</f>
        <v>28825563.169999998</v>
      </c>
      <c r="EO73" s="3"/>
      <c r="EQ73" s="36"/>
      <c r="ER73" s="36"/>
      <c r="ES73" s="36"/>
      <c r="ET73" s="36"/>
    </row>
    <row r="74" spans="1:150" s="5" customFormat="1" ht="12.75" x14ac:dyDescent="0.2">
      <c r="A74" s="208" t="s">
        <v>94</v>
      </c>
      <c r="B74" s="15" t="s">
        <v>155</v>
      </c>
      <c r="C74" s="1" t="s">
        <v>99</v>
      </c>
      <c r="D74" s="18">
        <v>42005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149">
        <v>1390236.5</v>
      </c>
      <c r="AR74" s="149">
        <v>177698.38</v>
      </c>
      <c r="AS74" s="128">
        <v>24682.18</v>
      </c>
      <c r="AT74" s="128">
        <v>128520.42</v>
      </c>
      <c r="AU74" s="50"/>
      <c r="AV74" s="128">
        <v>100970.29</v>
      </c>
      <c r="AW74" s="82"/>
      <c r="AX74" s="128">
        <v>40503.120000000003</v>
      </c>
      <c r="AY74" s="10">
        <f>SUM(AS74:AX74)</f>
        <v>294676.01</v>
      </c>
      <c r="AZ74" s="128">
        <v>0</v>
      </c>
      <c r="BA74" s="128">
        <v>101304.14</v>
      </c>
      <c r="BB74" s="50"/>
      <c r="BC74" s="128">
        <v>100398.9</v>
      </c>
      <c r="BD74" s="82"/>
      <c r="BE74" s="128">
        <v>38284.65</v>
      </c>
      <c r="BF74" s="10">
        <f>SUM(AZ74:BE74)</f>
        <v>239987.68999999997</v>
      </c>
      <c r="BG74" s="83">
        <v>0</v>
      </c>
      <c r="BH74" s="83">
        <v>144486.85</v>
      </c>
      <c r="BI74" s="83">
        <v>0</v>
      </c>
      <c r="BJ74" s="83">
        <v>149032.54999999999</v>
      </c>
      <c r="BK74" s="83">
        <v>0</v>
      </c>
      <c r="BL74" s="83">
        <v>1181036.52</v>
      </c>
      <c r="BM74" s="10">
        <f>SUM(BG74:BL74)</f>
        <v>1474555.92</v>
      </c>
      <c r="BN74" s="83">
        <v>0</v>
      </c>
      <c r="BO74" s="83">
        <v>115121.12</v>
      </c>
      <c r="BP74" s="83">
        <v>0</v>
      </c>
      <c r="BQ74" s="83">
        <v>67351.5</v>
      </c>
      <c r="BR74" s="83">
        <v>0</v>
      </c>
      <c r="BS74" s="83">
        <v>15781.95</v>
      </c>
      <c r="BT74" s="10">
        <f>SUM(BN74:BS74)</f>
        <v>198254.57</v>
      </c>
      <c r="BU74" s="83"/>
      <c r="BV74" s="83">
        <v>62627.47</v>
      </c>
      <c r="BW74" s="83">
        <v>0</v>
      </c>
      <c r="BX74" s="83">
        <v>84219.29</v>
      </c>
      <c r="BY74" s="83">
        <v>0</v>
      </c>
      <c r="BZ74" s="83">
        <v>11276.72</v>
      </c>
      <c r="CA74" s="10">
        <f t="shared" ref="CA74:CA78" si="200">SUM(BU74:BZ74)</f>
        <v>158123.48000000001</v>
      </c>
      <c r="CB74" s="83">
        <v>0</v>
      </c>
      <c r="CC74" s="83">
        <v>86198.89</v>
      </c>
      <c r="CD74" s="83">
        <v>0</v>
      </c>
      <c r="CE74" s="83">
        <v>124218.06</v>
      </c>
      <c r="CF74" s="83">
        <v>0</v>
      </c>
      <c r="CG74" s="83">
        <v>24352.23</v>
      </c>
      <c r="CH74" s="10">
        <f t="shared" ref="CH74:CH78" si="201">SUM(CB74:CG74)</f>
        <v>234769.18000000002</v>
      </c>
      <c r="CI74" s="83">
        <v>1307167.2</v>
      </c>
      <c r="CJ74" s="83">
        <v>118961.05</v>
      </c>
      <c r="CK74" s="83">
        <v>0</v>
      </c>
      <c r="CL74" s="83">
        <v>179352.25</v>
      </c>
      <c r="CM74" s="83">
        <v>0</v>
      </c>
      <c r="CN74" s="83">
        <v>48718.51</v>
      </c>
      <c r="CO74" s="83">
        <f>SUM(CI74:CN74)</f>
        <v>1654199.01</v>
      </c>
      <c r="CP74" s="83">
        <v>3226194.24</v>
      </c>
      <c r="CQ74" s="83">
        <v>174334.36</v>
      </c>
      <c r="CR74" s="83">
        <v>0</v>
      </c>
      <c r="CS74" s="83">
        <v>147774.78</v>
      </c>
      <c r="CT74" s="83">
        <v>0</v>
      </c>
      <c r="CU74" s="83">
        <v>78584.990000000005</v>
      </c>
      <c r="CV74" s="83">
        <f>SUM(CP74:CU74)</f>
        <v>3626888.37</v>
      </c>
      <c r="CW74" s="83">
        <v>1307167.2</v>
      </c>
      <c r="CX74" s="83">
        <v>128782.64000000001</v>
      </c>
      <c r="CY74" s="83">
        <v>0</v>
      </c>
      <c r="CZ74" s="83">
        <v>149259.13</v>
      </c>
      <c r="DA74" s="83">
        <v>0</v>
      </c>
      <c r="DB74" s="83">
        <v>58751.08</v>
      </c>
      <c r="DC74" s="83">
        <f>SUM(CW74:DB74)</f>
        <v>1643960.0499999998</v>
      </c>
      <c r="DD74" s="83">
        <v>1739604.5999999999</v>
      </c>
      <c r="DE74" s="83">
        <v>82232.820000000007</v>
      </c>
      <c r="DF74" s="83">
        <v>0</v>
      </c>
      <c r="DG74" s="83">
        <v>157505.44</v>
      </c>
      <c r="DH74" s="83">
        <v>0</v>
      </c>
      <c r="DI74" s="83">
        <v>49962.15</v>
      </c>
      <c r="DJ74" s="83">
        <f>SUM(DD74:DI74)</f>
        <v>2029305.0099999998</v>
      </c>
      <c r="DK74" s="83">
        <f>[36]GERAL!$K$40+[36]GERAL!$K$57</f>
        <v>1367989.63</v>
      </c>
      <c r="DL74" s="83">
        <f>[36]GERAL!$K$41+[36]GERAL!$K$58</f>
        <v>121517.18</v>
      </c>
      <c r="DM74" s="83">
        <f>[36]GERAL!$K$42+[36]GERAL!$K$59</f>
        <v>0</v>
      </c>
      <c r="DN74" s="83">
        <f>[36]GERAL!$K$43+[36]GERAL!$K$60</f>
        <v>149463.85999999999</v>
      </c>
      <c r="DO74" s="83">
        <f>[36]GERAL!$K$44+[36]GERAL!$K$61</f>
        <v>0</v>
      </c>
      <c r="DP74" s="83">
        <f>[36]GERAL!$K$45+[36]GERAL!$K$62</f>
        <v>67310.06</v>
      </c>
      <c r="DQ74" s="83">
        <f>SUM(DK74:DP74)</f>
        <v>1706280.73</v>
      </c>
      <c r="DR74" s="83">
        <f>[36]GERAL!$K$47+[36]GERAL!$K$64</f>
        <v>1089306</v>
      </c>
      <c r="DS74" s="83">
        <f>[36]GERAL!$K$48+[36]GERAL!$K$65</f>
        <v>128417.64</v>
      </c>
      <c r="DT74" s="83">
        <f>[36]GERAL!$K$49+[36]GERAL!$K$66</f>
        <v>0</v>
      </c>
      <c r="DU74" s="83">
        <f>[36]GERAL!$K$50+[36]GERAL!$K$67</f>
        <v>152489.75</v>
      </c>
      <c r="DV74" s="83">
        <f>[36]GERAL!$K$51+[36]GERAL!$K$68</f>
        <v>0</v>
      </c>
      <c r="DW74" s="83">
        <f>[36]GERAL!$K$52+[36]GERAL!$K$69</f>
        <v>60555.360000000001</v>
      </c>
      <c r="DX74" s="83">
        <f>SUM(DR74:DW74)</f>
        <v>1430768.75</v>
      </c>
      <c r="DY74" s="83">
        <f>'[37]ANO 2022'!$E$38+'[37]ANO 2022'!$E$55</f>
        <v>1424544.19</v>
      </c>
      <c r="DZ74" s="83">
        <f>'[37]ANO 2022'!$E$39+'[37]ANO 2022'!$E$56</f>
        <v>158523.20000000001</v>
      </c>
      <c r="EA74" s="83">
        <f>'[37]ANO 2022'!$E$40+'[37]ANO 2022'!$E$57</f>
        <v>0</v>
      </c>
      <c r="EB74" s="83">
        <f>'[37]ANO 2022'!$E$41+'[37]ANO 2022'!$E$58</f>
        <v>140115.64000000001</v>
      </c>
      <c r="EC74" s="83">
        <f>'[37]ANO 2022'!$E$42+'[37]ANO 2022'!$E$59</f>
        <v>0</v>
      </c>
      <c r="ED74" s="83">
        <f>'[37]ANO 2022'!$E$43+'[37]ANO 2022'!$E$60</f>
        <v>138473.87</v>
      </c>
      <c r="EE74" s="83">
        <f>SUM(DY74:ED74)</f>
        <v>1861656.9</v>
      </c>
      <c r="EF74" s="83">
        <f>'[37]ANO 2022'!$E$45+'[37]ANO 2022'!$E$62</f>
        <v>1575713.7999999998</v>
      </c>
      <c r="EG74" s="83">
        <f>'[37]ANO 2022'!$E$46+'[37]ANO 2022'!$E$63</f>
        <v>181421.2</v>
      </c>
      <c r="EH74" s="83">
        <f>'[37]ANO 2022'!$E$47+'[37]ANO 2022'!$E$64</f>
        <v>0</v>
      </c>
      <c r="EI74" s="83">
        <f>'[37]ANO 2022'!$E$48+'[37]ANO 2022'!$E$65</f>
        <v>133946.48000000001</v>
      </c>
      <c r="EJ74" s="83">
        <f>'[37]ANO 2022'!$E$49+'[37]ANO 2022'!$E$66</f>
        <v>0</v>
      </c>
      <c r="EK74" s="83">
        <f>'[37]ANO 2022'!$E$50+'[37]ANO 2022'!$E$67</f>
        <v>70954.41</v>
      </c>
      <c r="EL74" s="83">
        <f>SUM(EF74:EK74)</f>
        <v>1962035.8899999997</v>
      </c>
      <c r="EM74" s="83">
        <f>AQ74+AY74+BM74+CA74+CO74+DC74+DQ74+EE74</f>
        <v>10183688.6</v>
      </c>
      <c r="EN74" s="83">
        <f>AR74+BF74+BT74+CH74+CV74+DJ74+DX74+EL74</f>
        <v>9899707.8399999999</v>
      </c>
      <c r="EO74" s="193" t="s">
        <v>95</v>
      </c>
      <c r="EQ74" s="36"/>
      <c r="ER74" s="36"/>
      <c r="ES74" s="36"/>
      <c r="ET74" s="36"/>
    </row>
    <row r="75" spans="1:150" s="5" customFormat="1" ht="12.75" x14ac:dyDescent="0.2">
      <c r="A75" s="209"/>
      <c r="B75" s="15" t="s">
        <v>100</v>
      </c>
      <c r="C75" s="1" t="s">
        <v>99</v>
      </c>
      <c r="D75" s="18">
        <v>42005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149">
        <v>2084055.09</v>
      </c>
      <c r="AR75" s="149">
        <v>141033.24</v>
      </c>
      <c r="AS75" s="128">
        <v>960184.46</v>
      </c>
      <c r="AT75" s="128">
        <v>31949.42</v>
      </c>
      <c r="AU75" s="50"/>
      <c r="AV75" s="128">
        <v>169967.12</v>
      </c>
      <c r="AW75" s="82"/>
      <c r="AX75" s="128">
        <v>89473.36</v>
      </c>
      <c r="AY75" s="10">
        <f>SUM(AS75:AX75)</f>
        <v>1251574.3600000001</v>
      </c>
      <c r="AZ75" s="128">
        <v>0</v>
      </c>
      <c r="BA75" s="128">
        <v>38023.269999999997</v>
      </c>
      <c r="BB75" s="50"/>
      <c r="BC75" s="128">
        <v>116123.86</v>
      </c>
      <c r="BD75" s="82"/>
      <c r="BE75" s="128">
        <v>86372.03</v>
      </c>
      <c r="BF75" s="10">
        <f>SUM(AZ75:BE75)</f>
        <v>240519.16</v>
      </c>
      <c r="BG75" s="83">
        <v>0</v>
      </c>
      <c r="BH75" s="83">
        <v>67415.44</v>
      </c>
      <c r="BI75" s="83">
        <v>0</v>
      </c>
      <c r="BJ75" s="83">
        <v>221577.08</v>
      </c>
      <c r="BK75" s="83">
        <v>0</v>
      </c>
      <c r="BL75" s="83">
        <v>1485600.71</v>
      </c>
      <c r="BM75" s="10">
        <f t="shared" ref="BM75:BM79" si="202">SUM(BG75:BL75)</f>
        <v>1774593.23</v>
      </c>
      <c r="BN75" s="83">
        <v>0</v>
      </c>
      <c r="BO75" s="83">
        <v>57811.89</v>
      </c>
      <c r="BP75" s="83">
        <v>0</v>
      </c>
      <c r="BQ75" s="83">
        <v>176868.89</v>
      </c>
      <c r="BR75" s="83">
        <v>0</v>
      </c>
      <c r="BS75" s="83">
        <v>115053.64</v>
      </c>
      <c r="BT75" s="10">
        <f t="shared" ref="BT75:BT79" si="203">SUM(BN75:BS75)</f>
        <v>349734.42000000004</v>
      </c>
      <c r="BU75" s="83">
        <v>39682.800000000003</v>
      </c>
      <c r="BV75" s="83">
        <v>42800.76</v>
      </c>
      <c r="BW75" s="83">
        <v>0</v>
      </c>
      <c r="BX75" s="83">
        <v>219081.54</v>
      </c>
      <c r="BY75" s="83">
        <v>0</v>
      </c>
      <c r="BZ75" s="83">
        <v>90068.01</v>
      </c>
      <c r="CA75" s="10">
        <f t="shared" si="200"/>
        <v>391633.11</v>
      </c>
      <c r="CB75" s="83">
        <v>0</v>
      </c>
      <c r="CC75" s="83">
        <v>38540.75</v>
      </c>
      <c r="CD75" s="83">
        <v>0</v>
      </c>
      <c r="CE75" s="83">
        <v>175134.67</v>
      </c>
      <c r="CF75" s="83">
        <v>0</v>
      </c>
      <c r="CG75" s="83">
        <v>69353.210000000006</v>
      </c>
      <c r="CH75" s="10">
        <f t="shared" si="201"/>
        <v>283028.63</v>
      </c>
      <c r="CI75" s="83">
        <v>1071394.25</v>
      </c>
      <c r="CJ75" s="83">
        <v>51651.35</v>
      </c>
      <c r="CK75" s="83">
        <v>0</v>
      </c>
      <c r="CL75" s="83">
        <v>220120.48</v>
      </c>
      <c r="CM75" s="83">
        <v>0</v>
      </c>
      <c r="CN75" s="83">
        <v>289684.84000000003</v>
      </c>
      <c r="CO75" s="83">
        <f t="shared" ref="CO75:CO79" si="204">SUM(CI75:CN75)</f>
        <v>1632850.9200000002</v>
      </c>
      <c r="CP75" s="83">
        <v>4737589.0199999996</v>
      </c>
      <c r="CQ75" s="83">
        <v>37408.639999999999</v>
      </c>
      <c r="CR75" s="83">
        <v>0</v>
      </c>
      <c r="CS75" s="83">
        <v>242013.16</v>
      </c>
      <c r="CT75" s="83">
        <v>0</v>
      </c>
      <c r="CU75" s="83">
        <v>167021.14000000001</v>
      </c>
      <c r="CV75" s="83">
        <f t="shared" ref="CV75:CV79" si="205">SUM(CP75:CU75)</f>
        <v>5184031.959999999</v>
      </c>
      <c r="CW75" s="83">
        <v>1286216.31</v>
      </c>
      <c r="CX75" s="83">
        <v>29871.78</v>
      </c>
      <c r="CY75" s="83">
        <v>0</v>
      </c>
      <c r="CZ75" s="83">
        <v>188351.29</v>
      </c>
      <c r="DA75" s="83">
        <v>0</v>
      </c>
      <c r="DB75" s="83">
        <v>152832.68</v>
      </c>
      <c r="DC75" s="83">
        <f t="shared" ref="DC75:DC79" si="206">SUM(CW75:DB75)</f>
        <v>1657272.06</v>
      </c>
      <c r="DD75" s="83">
        <v>1656738.04</v>
      </c>
      <c r="DE75" s="83">
        <v>35769.629999999997</v>
      </c>
      <c r="DF75" s="83">
        <v>0</v>
      </c>
      <c r="DG75" s="83">
        <v>228623.99</v>
      </c>
      <c r="DH75" s="83">
        <v>0</v>
      </c>
      <c r="DI75" s="83">
        <v>142765.79999999999</v>
      </c>
      <c r="DJ75" s="83">
        <f t="shared" ref="DJ75:DJ79" si="207">SUM(DD75:DI75)</f>
        <v>2063897.46</v>
      </c>
      <c r="DK75" s="83">
        <f>[36]GERAL!$K$23</f>
        <v>1298958.6100000001</v>
      </c>
      <c r="DL75" s="83">
        <f>[36]GERAL!$K$24</f>
        <v>37247.589999999997</v>
      </c>
      <c r="DM75" s="83">
        <f>[36]GERAL!$K$25</f>
        <v>0</v>
      </c>
      <c r="DN75" s="83">
        <f>[36]GERAL!$K$26</f>
        <v>300485.11</v>
      </c>
      <c r="DO75" s="83">
        <f>[36]GERAL!$K$27</f>
        <v>0</v>
      </c>
      <c r="DP75" s="83">
        <f>[36]GERAL!$K$28</f>
        <v>189515.9</v>
      </c>
      <c r="DQ75" s="83">
        <f t="shared" ref="DQ75:DQ79" si="208">SUM(DK75:DP75)</f>
        <v>1826207.21</v>
      </c>
      <c r="DR75" s="83">
        <f>[36]GERAL!$K$30</f>
        <v>1035072.62</v>
      </c>
      <c r="DS75" s="83">
        <f>[36]GERAL!$K$31</f>
        <v>34077.24</v>
      </c>
      <c r="DT75" s="83">
        <f>[36]GERAL!$K$32</f>
        <v>0</v>
      </c>
      <c r="DU75" s="83">
        <f>[36]GERAL!$K$33</f>
        <v>285607.46000000002</v>
      </c>
      <c r="DV75" s="83">
        <f>[36]GERAL!$K$34</f>
        <v>0</v>
      </c>
      <c r="DW75" s="83">
        <f>[36]GERAL!$K$35</f>
        <v>162796.51</v>
      </c>
      <c r="DX75" s="83">
        <f t="shared" ref="DX75:DX79" si="209">SUM(DR75:DW75)</f>
        <v>1517553.83</v>
      </c>
      <c r="DY75" s="83">
        <f>'[37]ANO 2022'!$E$21</f>
        <v>1805101.31</v>
      </c>
      <c r="DZ75" s="83">
        <f>'[37]ANO 2022'!$E$22</f>
        <v>45509.84</v>
      </c>
      <c r="EA75" s="83">
        <f>'[37]ANO 2022'!$E$23</f>
        <v>0</v>
      </c>
      <c r="EB75" s="83">
        <f>'[37]ANO 2022'!$E$24</f>
        <v>317287.73</v>
      </c>
      <c r="EC75" s="83">
        <f>'[37]ANO 2022'!$E$25</f>
        <v>0</v>
      </c>
      <c r="ED75" s="83">
        <f>'[37]ANO 2022'!$E$26</f>
        <v>817954.83</v>
      </c>
      <c r="EE75" s="83">
        <f t="shared" ref="EE75:EE79" si="210">SUM(DY75:ED75)</f>
        <v>2985853.71</v>
      </c>
      <c r="EF75" s="83">
        <f>'[37]ANO 2022'!$E$28</f>
        <v>1511204.26</v>
      </c>
      <c r="EG75" s="83">
        <f>'[37]ANO 2022'!$E$29</f>
        <v>40810.61</v>
      </c>
      <c r="EH75" s="83">
        <f>'[37]ANO 2022'!$E$30</f>
        <v>0</v>
      </c>
      <c r="EI75" s="83">
        <f>'[37]ANO 2022'!$E$31</f>
        <v>272508.39</v>
      </c>
      <c r="EJ75" s="83">
        <f>'[37]ANO 2022'!$E$32</f>
        <v>0</v>
      </c>
      <c r="EK75" s="83">
        <f>'[37]ANO 2022'!$E$33</f>
        <v>206485.99</v>
      </c>
      <c r="EL75" s="83">
        <f t="shared" ref="EL75:EL79" si="211">SUM(EF75:EK75)</f>
        <v>2031009.2500000002</v>
      </c>
      <c r="EM75" s="83">
        <f t="shared" ref="EM75:EM79" si="212">AQ75+AY75+BM75+CA75+CO75+DC75+DQ75+EE75</f>
        <v>13604039.690000001</v>
      </c>
      <c r="EN75" s="83">
        <f t="shared" ref="EN75:EN79" si="213">AR75+BF75+BT75+CH75+CV75+DJ75+DX75+EL75</f>
        <v>11810807.949999999</v>
      </c>
      <c r="EO75" s="194"/>
      <c r="EQ75" s="36"/>
      <c r="ER75" s="36"/>
      <c r="ES75" s="36"/>
      <c r="ET75" s="36"/>
    </row>
    <row r="76" spans="1:150" s="5" customFormat="1" ht="12.75" x14ac:dyDescent="0.2">
      <c r="A76" s="209"/>
      <c r="B76" s="15" t="s">
        <v>164</v>
      </c>
      <c r="C76" s="1" t="s">
        <v>7</v>
      </c>
      <c r="D76" s="159" t="s">
        <v>162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3">
        <f>'[38]ANO 2022'!$E$6</f>
        <v>519663.87</v>
      </c>
      <c r="DZ76" s="83">
        <f>'[38]ANO 2022'!$E$7</f>
        <v>0</v>
      </c>
      <c r="EA76" s="83">
        <f>'[38]ANO 2022'!$E$8</f>
        <v>0</v>
      </c>
      <c r="EB76" s="83">
        <f>'[38]ANO 2022'!$E$9</f>
        <v>0</v>
      </c>
      <c r="EC76" s="83">
        <f>'[38]ANO 2022'!$E$10</f>
        <v>0</v>
      </c>
      <c r="ED76" s="83">
        <f>'[38]ANO 2022'!$E$11</f>
        <v>794.71</v>
      </c>
      <c r="EE76" s="83">
        <f t="shared" si="210"/>
        <v>520458.58</v>
      </c>
      <c r="EF76" s="83">
        <f>[38]GERAL!$E$15</f>
        <v>433053.2</v>
      </c>
      <c r="EG76" s="83">
        <f>[38]GERAL!$E$16</f>
        <v>0</v>
      </c>
      <c r="EH76" s="83">
        <f>[38]GERAL!$E$17</f>
        <v>0</v>
      </c>
      <c r="EI76" s="83">
        <f>[38]GERAL!$E$18</f>
        <v>0</v>
      </c>
      <c r="EJ76" s="83">
        <f>[38]GERAL!$E$19</f>
        <v>0</v>
      </c>
      <c r="EK76" s="83">
        <f>[38]GERAL!$E$20</f>
        <v>0</v>
      </c>
      <c r="EL76" s="83">
        <f t="shared" si="211"/>
        <v>433053.2</v>
      </c>
      <c r="EM76" s="83">
        <f t="shared" si="212"/>
        <v>520458.58</v>
      </c>
      <c r="EN76" s="83">
        <f t="shared" si="213"/>
        <v>433053.2</v>
      </c>
      <c r="EO76" s="194"/>
      <c r="EQ76" s="36"/>
      <c r="ER76" s="36"/>
      <c r="ES76" s="36"/>
      <c r="ET76" s="36"/>
    </row>
    <row r="77" spans="1:150" s="5" customFormat="1" ht="12.75" x14ac:dyDescent="0.2">
      <c r="A77" s="209"/>
      <c r="B77" s="15" t="s">
        <v>156</v>
      </c>
      <c r="C77" s="1" t="s">
        <v>99</v>
      </c>
      <c r="D77" s="18">
        <v>42005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149">
        <v>466210.77999999997</v>
      </c>
      <c r="AR77" s="149">
        <v>82838.509999999995</v>
      </c>
      <c r="AS77" s="128">
        <v>211353.56</v>
      </c>
      <c r="AT77" s="128">
        <v>52105.5</v>
      </c>
      <c r="AU77" s="50"/>
      <c r="AV77" s="128">
        <v>200466.7</v>
      </c>
      <c r="AW77" s="82"/>
      <c r="AX77" s="10">
        <v>67663.38</v>
      </c>
      <c r="AY77" s="10">
        <f>SUM(AS77:AX77)</f>
        <v>531589.14</v>
      </c>
      <c r="AZ77" s="128">
        <v>0</v>
      </c>
      <c r="BA77" s="10">
        <v>57497.21</v>
      </c>
      <c r="BB77" s="50"/>
      <c r="BC77" s="128">
        <v>137906.41</v>
      </c>
      <c r="BD77" s="82"/>
      <c r="BE77" s="10">
        <v>48836.3</v>
      </c>
      <c r="BF77" s="10">
        <f>SUM(AZ77:BE77)</f>
        <v>244239.91999999998</v>
      </c>
      <c r="BG77" s="83">
        <v>0</v>
      </c>
      <c r="BH77" s="83">
        <v>52944.81</v>
      </c>
      <c r="BI77" s="83">
        <v>0</v>
      </c>
      <c r="BJ77" s="83">
        <v>155232.17000000001</v>
      </c>
      <c r="BK77" s="83">
        <v>0</v>
      </c>
      <c r="BL77" s="83">
        <v>294857.38</v>
      </c>
      <c r="BM77" s="10">
        <f t="shared" si="202"/>
        <v>503034.36</v>
      </c>
      <c r="BN77" s="83">
        <v>0</v>
      </c>
      <c r="BO77" s="83">
        <v>66961.350000000006</v>
      </c>
      <c r="BP77" s="83">
        <v>0</v>
      </c>
      <c r="BQ77" s="83">
        <v>139602.39000000001</v>
      </c>
      <c r="BR77" s="83">
        <v>0</v>
      </c>
      <c r="BS77" s="83">
        <v>28295.68</v>
      </c>
      <c r="BT77" s="10">
        <f t="shared" si="203"/>
        <v>234859.42</v>
      </c>
      <c r="BU77" s="83"/>
      <c r="BV77" s="83">
        <v>821.25</v>
      </c>
      <c r="BW77" s="83">
        <v>0</v>
      </c>
      <c r="BX77" s="83">
        <v>155963.56</v>
      </c>
      <c r="BY77" s="83">
        <v>0</v>
      </c>
      <c r="BZ77" s="83">
        <v>47661.120000000003</v>
      </c>
      <c r="CA77" s="10">
        <f t="shared" si="200"/>
        <v>204445.93</v>
      </c>
      <c r="CB77" s="83">
        <v>0</v>
      </c>
      <c r="CC77" s="83">
        <v>39375.51</v>
      </c>
      <c r="CD77" s="83">
        <v>0</v>
      </c>
      <c r="CE77" s="83">
        <v>151297.89000000001</v>
      </c>
      <c r="CF77" s="83">
        <v>0</v>
      </c>
      <c r="CG77" s="83">
        <v>33549.14</v>
      </c>
      <c r="CH77" s="10">
        <f t="shared" si="201"/>
        <v>224222.54000000004</v>
      </c>
      <c r="CI77" s="83">
        <v>117469.23</v>
      </c>
      <c r="CJ77" s="83">
        <v>51892.56</v>
      </c>
      <c r="CK77" s="83">
        <v>0</v>
      </c>
      <c r="CL77" s="83">
        <v>273927.18</v>
      </c>
      <c r="CM77" s="83">
        <v>0</v>
      </c>
      <c r="CN77" s="83">
        <v>121164.64</v>
      </c>
      <c r="CO77" s="83">
        <f t="shared" si="204"/>
        <v>564453.61</v>
      </c>
      <c r="CP77" s="83">
        <v>933541.27</v>
      </c>
      <c r="CQ77" s="83">
        <v>40527.230000000003</v>
      </c>
      <c r="CR77" s="83">
        <v>0</v>
      </c>
      <c r="CS77" s="83">
        <v>230329.87</v>
      </c>
      <c r="CT77" s="83">
        <v>0</v>
      </c>
      <c r="CU77" s="83">
        <v>89671.35</v>
      </c>
      <c r="CV77" s="83">
        <f t="shared" si="205"/>
        <v>1294069.7200000002</v>
      </c>
      <c r="CW77" s="83">
        <v>251118.56999999998</v>
      </c>
      <c r="CX77" s="83">
        <v>56769.53</v>
      </c>
      <c r="CY77" s="83">
        <v>0</v>
      </c>
      <c r="CZ77" s="83">
        <v>283514.43</v>
      </c>
      <c r="DA77" s="83">
        <v>0</v>
      </c>
      <c r="DB77" s="83">
        <v>109080.56999999999</v>
      </c>
      <c r="DC77" s="83">
        <f t="shared" si="206"/>
        <v>700483.1</v>
      </c>
      <c r="DD77" s="83">
        <v>241892.97</v>
      </c>
      <c r="DE77" s="83">
        <v>47972.04</v>
      </c>
      <c r="DF77" s="83">
        <v>0</v>
      </c>
      <c r="DG77" s="83">
        <v>261229.13</v>
      </c>
      <c r="DH77" s="83">
        <v>0</v>
      </c>
      <c r="DI77" s="83">
        <v>96447.150000000009</v>
      </c>
      <c r="DJ77" s="83">
        <f t="shared" si="207"/>
        <v>647541.29</v>
      </c>
      <c r="DK77" s="83">
        <f>[36]GERAL!$K$74+[36]GERAL!$K$91+[36]GERAL!$K$108</f>
        <v>309862.78999999998</v>
      </c>
      <c r="DL77" s="83">
        <f>[36]GERAL!$K$75+[36]GERAL!$K$92+[36]GERAL!$K$109</f>
        <v>52667.67</v>
      </c>
      <c r="DM77" s="83">
        <f>[36]GERAL!$K$76+[36]GERAL!$K$93+[36]GERAL!$K$110</f>
        <v>0</v>
      </c>
      <c r="DN77" s="83">
        <f>[36]GERAL!$K$77+[36]GERAL!$K$94+[36]GERAL!$K$111</f>
        <v>320750.09999999998</v>
      </c>
      <c r="DO77" s="83">
        <f>[36]GERAL!$K$78+[36]GERAL!$K$95+[36]GERAL!$K$112</f>
        <v>0</v>
      </c>
      <c r="DP77" s="83">
        <f>[36]GERAL!$K$79+[36]GERAL!$K$96+[36]GERAL!$K$113</f>
        <v>111819.24</v>
      </c>
      <c r="DQ77" s="83">
        <f t="shared" si="208"/>
        <v>795099.79999999993</v>
      </c>
      <c r="DR77" s="83">
        <f>[36]GERAL!$K$81+[36]GERAL!$K$98+[36]GERAL!$K$115</f>
        <v>177750.36</v>
      </c>
      <c r="DS77" s="83">
        <f>[36]GERAL!$K$82+[36]GERAL!$K$99+[36]GERAL!$K$116</f>
        <v>58494.36</v>
      </c>
      <c r="DT77" s="83">
        <f>[36]GERAL!$K$83+[36]GERAL!$K$100+[36]GERAL!$K$117</f>
        <v>0</v>
      </c>
      <c r="DU77" s="83">
        <f>[36]GERAL!$K$84+[36]GERAL!$K$101+[36]GERAL!$K$118</f>
        <v>326653.15000000002</v>
      </c>
      <c r="DV77" s="83">
        <f>[36]GERAL!$K$85+[36]GERAL!$K$102+[36]GERAL!$K$119</f>
        <v>0</v>
      </c>
      <c r="DW77" s="83">
        <f>[36]GERAL!$K$86+[36]GERAL!$K$103+[36]GERAL!$K$120</f>
        <v>115999.82999999999</v>
      </c>
      <c r="DX77" s="83">
        <f t="shared" si="209"/>
        <v>678897.7</v>
      </c>
      <c r="DY77" s="83">
        <f>'[37]ANO 2022'!$E$72+'[37]ANO 2022'!$E$89+'[37]ANO 2022'!$E$106</f>
        <v>329437.92</v>
      </c>
      <c r="DZ77" s="83">
        <f>'[37]ANO 2022'!$E$73+'[37]ANO 2022'!$E$90+'[37]ANO 2022'!$E$107</f>
        <v>55923.100000000006</v>
      </c>
      <c r="EA77" s="83">
        <f>'[37]ANO 2022'!$E$74+'[37]ANO 2022'!$E$91+'[37]ANO 2022'!$E$108</f>
        <v>0</v>
      </c>
      <c r="EB77" s="83">
        <f>'[37]ANO 2022'!$E$75+'[37]ANO 2022'!$E$92+'[37]ANO 2022'!$E$109</f>
        <v>353402.11</v>
      </c>
      <c r="EC77" s="83">
        <f>'[37]ANO 2022'!$E$76+'[37]ANO 2022'!$E$93+'[37]ANO 2022'!$E$110</f>
        <v>0</v>
      </c>
      <c r="ED77" s="83">
        <f>'[37]ANO 2022'!$E$77+'[37]ANO 2022'!$E$94+'[37]ANO 2022'!$E$111</f>
        <v>171256.03000000003</v>
      </c>
      <c r="EE77" s="83">
        <f t="shared" si="210"/>
        <v>910019.16</v>
      </c>
      <c r="EF77" s="83">
        <f>'[37]ANO 2022'!$E$79+'[37]ANO 2022'!$E$96+'[37]ANO 2022'!$E$113</f>
        <v>322965</v>
      </c>
      <c r="EG77" s="83">
        <f>'[37]ANO 2022'!$E$80+'[37]ANO 2022'!$E$97+'[37]ANO 2022'!$E$114</f>
        <v>53040.04</v>
      </c>
      <c r="EH77" s="83">
        <f>'[37]ANO 2022'!$E$81+'[37]ANO 2022'!$E$98+'[37]ANO 2022'!$E$115</f>
        <v>0</v>
      </c>
      <c r="EI77" s="83">
        <f>'[37]ANO 2022'!$E$82+'[37]ANO 2022'!$E$99+'[37]ANO 2022'!$E$116</f>
        <v>385742.57000000007</v>
      </c>
      <c r="EJ77" s="83">
        <f>'[37]ANO 2022'!$E$83+'[37]ANO 2022'!$E$100+'[37]ANO 2022'!$E$117</f>
        <v>0</v>
      </c>
      <c r="EK77" s="83">
        <f>'[37]ANO 2022'!$E$84+'[37]ANO 2022'!$E$101+'[37]ANO 2022'!$E$118</f>
        <v>98958.59</v>
      </c>
      <c r="EL77" s="83">
        <f t="shared" si="211"/>
        <v>860706.20000000007</v>
      </c>
      <c r="EM77" s="83">
        <f t="shared" si="212"/>
        <v>4675335.88</v>
      </c>
      <c r="EN77" s="83">
        <f t="shared" si="213"/>
        <v>4267375.3000000007</v>
      </c>
      <c r="EO77" s="194"/>
      <c r="EQ77" s="36"/>
      <c r="ER77" s="36"/>
      <c r="ES77" s="36"/>
      <c r="ET77" s="36"/>
    </row>
    <row r="78" spans="1:150" s="5" customFormat="1" ht="12.75" x14ac:dyDescent="0.2">
      <c r="A78" s="209"/>
      <c r="B78" s="15" t="s">
        <v>151</v>
      </c>
      <c r="C78" s="1" t="s">
        <v>99</v>
      </c>
      <c r="D78" s="18">
        <v>42005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149">
        <v>174676.56</v>
      </c>
      <c r="AR78" s="149">
        <v>0</v>
      </c>
      <c r="AS78" s="128">
        <v>0</v>
      </c>
      <c r="AT78" s="128">
        <v>0</v>
      </c>
      <c r="AU78" s="132"/>
      <c r="AV78" s="128">
        <v>0</v>
      </c>
      <c r="AW78" s="82"/>
      <c r="AX78" s="128">
        <v>0</v>
      </c>
      <c r="AY78" s="10">
        <f>SUM(AS78:AX78)</f>
        <v>0</v>
      </c>
      <c r="AZ78" s="128">
        <v>0</v>
      </c>
      <c r="BA78" s="128">
        <v>0</v>
      </c>
      <c r="BB78" s="132"/>
      <c r="BC78" s="128">
        <v>0</v>
      </c>
      <c r="BD78" s="82"/>
      <c r="BE78" s="128">
        <v>0</v>
      </c>
      <c r="BF78" s="10">
        <f>SUM(AZ78:BE78)</f>
        <v>0</v>
      </c>
      <c r="BG78" s="83">
        <v>0</v>
      </c>
      <c r="BH78" s="150">
        <v>1314</v>
      </c>
      <c r="BI78" s="83">
        <v>0</v>
      </c>
      <c r="BJ78" s="83">
        <v>0</v>
      </c>
      <c r="BK78" s="83">
        <v>0</v>
      </c>
      <c r="BL78" s="83">
        <v>115005.4</v>
      </c>
      <c r="BM78" s="10">
        <f t="shared" si="202"/>
        <v>116319.4</v>
      </c>
      <c r="BN78" s="83">
        <v>0</v>
      </c>
      <c r="BO78" s="83">
        <v>0</v>
      </c>
      <c r="BP78" s="83">
        <v>0</v>
      </c>
      <c r="BQ78" s="83">
        <v>0</v>
      </c>
      <c r="BR78" s="83">
        <v>0</v>
      </c>
      <c r="BS78" s="83">
        <v>0</v>
      </c>
      <c r="BT78" s="10">
        <f t="shared" si="203"/>
        <v>0</v>
      </c>
      <c r="BU78" s="83">
        <v>8729.59</v>
      </c>
      <c r="BV78" s="83">
        <v>2859.91</v>
      </c>
      <c r="BW78" s="83">
        <v>0</v>
      </c>
      <c r="BX78" s="83">
        <v>0</v>
      </c>
      <c r="BY78" s="83">
        <v>0</v>
      </c>
      <c r="BZ78" s="83">
        <v>1930.81</v>
      </c>
      <c r="CA78" s="10">
        <f t="shared" si="200"/>
        <v>13520.31</v>
      </c>
      <c r="CB78" s="83">
        <v>0</v>
      </c>
      <c r="CC78" s="150">
        <v>2156.31</v>
      </c>
      <c r="CD78" s="83">
        <v>0</v>
      </c>
      <c r="CE78" s="83">
        <v>0</v>
      </c>
      <c r="CF78" s="83">
        <v>0</v>
      </c>
      <c r="CG78" s="150">
        <v>1220.92</v>
      </c>
      <c r="CH78" s="10">
        <f t="shared" si="201"/>
        <v>3377.23</v>
      </c>
      <c r="CI78" s="83">
        <v>92447.57</v>
      </c>
      <c r="CJ78" s="83">
        <v>9941.57</v>
      </c>
      <c r="CK78" s="83">
        <v>0</v>
      </c>
      <c r="CL78" s="83">
        <v>0</v>
      </c>
      <c r="CM78" s="83">
        <v>0</v>
      </c>
      <c r="CN78" s="83">
        <v>9356.64</v>
      </c>
      <c r="CO78" s="83">
        <f t="shared" si="204"/>
        <v>111745.78000000001</v>
      </c>
      <c r="CP78" s="83">
        <v>160932.03</v>
      </c>
      <c r="CQ78" s="83">
        <v>8025.66</v>
      </c>
      <c r="CR78" s="83">
        <v>0</v>
      </c>
      <c r="CS78" s="83">
        <v>0</v>
      </c>
      <c r="CT78" s="83">
        <v>0</v>
      </c>
      <c r="CU78" s="83">
        <v>4392.5600000000004</v>
      </c>
      <c r="CV78" s="83">
        <f t="shared" si="205"/>
        <v>173350.25</v>
      </c>
      <c r="CW78" s="83">
        <v>102301.43</v>
      </c>
      <c r="CX78" s="83">
        <v>9693.7000000000007</v>
      </c>
      <c r="CY78" s="83">
        <v>0</v>
      </c>
      <c r="CZ78" s="83">
        <v>0</v>
      </c>
      <c r="DA78" s="83">
        <v>0</v>
      </c>
      <c r="DB78" s="83">
        <v>8217.82</v>
      </c>
      <c r="DC78" s="83">
        <f t="shared" si="206"/>
        <v>120212.94999999998</v>
      </c>
      <c r="DD78" s="83">
        <v>133273.60999999999</v>
      </c>
      <c r="DE78" s="83">
        <v>9946.11</v>
      </c>
      <c r="DF78" s="83">
        <v>0</v>
      </c>
      <c r="DG78" s="83">
        <v>0</v>
      </c>
      <c r="DH78" s="83"/>
      <c r="DI78" s="83">
        <v>4339.97</v>
      </c>
      <c r="DJ78" s="83">
        <f t="shared" si="207"/>
        <v>147559.68999999997</v>
      </c>
      <c r="DK78" s="83">
        <f>[36]GERAL!$K$5</f>
        <v>267577.37</v>
      </c>
      <c r="DL78" s="83">
        <f>[36]GERAL!$K$6</f>
        <v>18076.099999999999</v>
      </c>
      <c r="DM78" s="83">
        <f>[36]GERAL!$K$7</f>
        <v>0</v>
      </c>
      <c r="DN78" s="83">
        <f>[36]GERAL!$K$8</f>
        <v>0</v>
      </c>
      <c r="DO78" s="83">
        <f>[36]GERAL!$K$9</f>
        <v>0</v>
      </c>
      <c r="DP78" s="83">
        <f>[36]GERAL!$K$10</f>
        <v>3154.89</v>
      </c>
      <c r="DQ78" s="83">
        <f t="shared" si="208"/>
        <v>288808.36</v>
      </c>
      <c r="DR78" s="83">
        <f>[36]GERAL!$K$12</f>
        <v>83608.88</v>
      </c>
      <c r="DS78" s="83">
        <f>[36]GERAL!$K$13</f>
        <v>19198.07</v>
      </c>
      <c r="DT78" s="83">
        <f>[36]GERAL!$K$14</f>
        <v>0</v>
      </c>
      <c r="DU78" s="83">
        <f>[36]GERAL!$K$15</f>
        <v>0</v>
      </c>
      <c r="DV78" s="83">
        <f>[36]GERAL!$K$16</f>
        <v>0</v>
      </c>
      <c r="DW78" s="83">
        <f>[36]GERAL!$K$17</f>
        <v>3454.49</v>
      </c>
      <c r="DX78" s="83">
        <f t="shared" si="209"/>
        <v>106261.44000000002</v>
      </c>
      <c r="DY78" s="83">
        <f>'[37]ANO 2022'!$E$4</f>
        <v>306077.84000000003</v>
      </c>
      <c r="DZ78" s="83">
        <f>'[37]ANO 2022'!$E$5</f>
        <v>30113.46</v>
      </c>
      <c r="EA78" s="83">
        <f>'[37]ANO 2022'!$E$6</f>
        <v>0</v>
      </c>
      <c r="EB78" s="83">
        <f>'[37]ANO 2022'!$E$7</f>
        <v>0</v>
      </c>
      <c r="EC78" s="83">
        <f>'[37]ANO 2022'!$E$8</f>
        <v>0</v>
      </c>
      <c r="ED78" s="83">
        <f>'[37]ANO 2022'!$E$9</f>
        <v>64561.79</v>
      </c>
      <c r="EE78" s="83">
        <f t="shared" si="210"/>
        <v>400753.09</v>
      </c>
      <c r="EF78" s="83">
        <f>'[37]ANO 2022'!$E$11</f>
        <v>245641.08</v>
      </c>
      <c r="EG78" s="83">
        <f>'[37]ANO 2022'!$E$12</f>
        <v>29984.79</v>
      </c>
      <c r="EH78" s="83">
        <f>'[37]ANO 2022'!$E$13</f>
        <v>0</v>
      </c>
      <c r="EI78" s="83">
        <f>'[37]ANO 2022'!$E$14</f>
        <v>0</v>
      </c>
      <c r="EJ78" s="83">
        <f>'[37]ANO 2022'!$E$15</f>
        <v>0</v>
      </c>
      <c r="EK78" s="83">
        <f>'[37]ANO 2022'!$E$16</f>
        <v>6739.7</v>
      </c>
      <c r="EL78" s="83">
        <f>SUM(EF78:EK78)</f>
        <v>282365.57</v>
      </c>
      <c r="EM78" s="83">
        <f t="shared" si="212"/>
        <v>1226036.45</v>
      </c>
      <c r="EN78" s="83">
        <f t="shared" si="213"/>
        <v>712914.17999999993</v>
      </c>
      <c r="EO78" s="194"/>
      <c r="EQ78" s="36"/>
      <c r="ER78" s="36"/>
      <c r="ES78" s="36"/>
      <c r="ET78" s="36"/>
    </row>
    <row r="79" spans="1:150" s="5" customFormat="1" ht="12.75" x14ac:dyDescent="0.2">
      <c r="A79" s="209"/>
      <c r="B79" s="15" t="s">
        <v>157</v>
      </c>
      <c r="C79" s="1" t="s">
        <v>99</v>
      </c>
      <c r="D79" s="18">
        <v>42036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149">
        <v>8876.9500000000007</v>
      </c>
      <c r="AR79" s="149">
        <v>7073.71</v>
      </c>
      <c r="AS79" s="128">
        <v>0</v>
      </c>
      <c r="AT79" s="128">
        <v>0</v>
      </c>
      <c r="AU79" s="132"/>
      <c r="AV79" s="128">
        <v>0</v>
      </c>
      <c r="AW79" s="82"/>
      <c r="AX79" s="128">
        <v>0</v>
      </c>
      <c r="AY79" s="83">
        <v>0</v>
      </c>
      <c r="AZ79" s="128">
        <v>0</v>
      </c>
      <c r="BA79" s="128">
        <v>0</v>
      </c>
      <c r="BB79" s="132"/>
      <c r="BC79" s="128">
        <v>0</v>
      </c>
      <c r="BD79" s="82"/>
      <c r="BE79" s="128">
        <v>0</v>
      </c>
      <c r="BF79" s="83">
        <v>0</v>
      </c>
      <c r="BG79" s="83">
        <v>0</v>
      </c>
      <c r="BH79" s="10">
        <v>25.23</v>
      </c>
      <c r="BI79" s="83">
        <v>0</v>
      </c>
      <c r="BJ79" s="83">
        <v>0</v>
      </c>
      <c r="BK79" s="83">
        <v>0</v>
      </c>
      <c r="BL79" s="83">
        <v>4227.0499999999993</v>
      </c>
      <c r="BM79" s="10">
        <f t="shared" si="202"/>
        <v>4252.2799999999988</v>
      </c>
      <c r="BN79" s="83">
        <v>0</v>
      </c>
      <c r="BO79" s="83">
        <v>0</v>
      </c>
      <c r="BP79" s="83">
        <v>0</v>
      </c>
      <c r="BQ79" s="83">
        <v>3947.9</v>
      </c>
      <c r="BR79" s="83">
        <v>0</v>
      </c>
      <c r="BS79" s="83">
        <v>593.96</v>
      </c>
      <c r="BT79" s="10">
        <f t="shared" si="203"/>
        <v>4541.8600000000006</v>
      </c>
      <c r="BU79" s="83"/>
      <c r="BV79" s="83">
        <v>339.57</v>
      </c>
      <c r="BW79" s="83">
        <v>0</v>
      </c>
      <c r="BX79" s="83">
        <v>6131.35</v>
      </c>
      <c r="BY79" s="83">
        <v>0</v>
      </c>
      <c r="BZ79" s="83">
        <v>1707.5</v>
      </c>
      <c r="CA79" s="10">
        <f>SUM(BU79:BZ79)</f>
        <v>8178.42</v>
      </c>
      <c r="CB79" s="83">
        <v>0</v>
      </c>
      <c r="CC79" s="10">
        <v>25.23</v>
      </c>
      <c r="CD79" s="83">
        <v>0</v>
      </c>
      <c r="CE79" s="83">
        <v>274.05</v>
      </c>
      <c r="CF79" s="83">
        <v>0</v>
      </c>
      <c r="CG79" s="10">
        <v>1611.02</v>
      </c>
      <c r="CH79" s="10">
        <f>SUM(CB79:CG79)</f>
        <v>1910.3</v>
      </c>
      <c r="CI79" s="83">
        <v>0</v>
      </c>
      <c r="CJ79" s="83">
        <v>0</v>
      </c>
      <c r="CK79" s="83">
        <v>0</v>
      </c>
      <c r="CL79" s="83">
        <v>21611.35</v>
      </c>
      <c r="CM79" s="83">
        <v>0</v>
      </c>
      <c r="CN79" s="83">
        <v>5588.6</v>
      </c>
      <c r="CO79" s="83">
        <f t="shared" si="204"/>
        <v>27199.949999999997</v>
      </c>
      <c r="CP79" s="83">
        <v>6591.84</v>
      </c>
      <c r="CQ79" s="83">
        <v>0</v>
      </c>
      <c r="CR79" s="83">
        <v>0</v>
      </c>
      <c r="CS79" s="83">
        <v>18446.46</v>
      </c>
      <c r="CT79" s="83">
        <v>0</v>
      </c>
      <c r="CU79" s="83">
        <v>3237.61</v>
      </c>
      <c r="CV79" s="83">
        <f t="shared" si="205"/>
        <v>28275.91</v>
      </c>
      <c r="CW79" s="83">
        <v>6226.9</v>
      </c>
      <c r="CX79" s="83">
        <v>274.05</v>
      </c>
      <c r="CY79" s="83">
        <v>0</v>
      </c>
      <c r="CZ79" s="83">
        <v>6931.35</v>
      </c>
      <c r="DA79" s="83">
        <v>0</v>
      </c>
      <c r="DB79" s="83">
        <v>4116.3</v>
      </c>
      <c r="DC79" s="83">
        <f t="shared" si="206"/>
        <v>17548.599999999999</v>
      </c>
      <c r="DD79" s="83">
        <v>1533</v>
      </c>
      <c r="DE79" s="83">
        <v>273.72000000000003</v>
      </c>
      <c r="DF79" s="83">
        <v>0</v>
      </c>
      <c r="DG79" s="83">
        <v>14661.51</v>
      </c>
      <c r="DH79" s="83">
        <v>0</v>
      </c>
      <c r="DI79" s="83">
        <v>2037.26</v>
      </c>
      <c r="DJ79" s="83">
        <f t="shared" si="207"/>
        <v>18505.489999999998</v>
      </c>
      <c r="DK79" s="83">
        <f>[36]GERAL!$K$125+[36]GERAL!$K$142+[36]GERAL!$K$159+[36]GERAL!$K$176</f>
        <v>6226.89</v>
      </c>
      <c r="DL79" s="83">
        <f>[36]GERAL!$K$126+[36]GERAL!$K$143+[36]GERAL!$K$160+[36]GERAL!$K$177</f>
        <v>679.78</v>
      </c>
      <c r="DM79" s="83">
        <f>[36]GERAL!$K$127+[36]GERAL!$K$144+[36]GERAL!$K$161+[36]GERAL!$K$178</f>
        <v>0</v>
      </c>
      <c r="DN79" s="83">
        <f>[36]GERAL!$K$128+[36]GERAL!$K$145+[36]GERAL!$K$162+[36]GERAL!$K$179</f>
        <v>6931.35</v>
      </c>
      <c r="DO79" s="83">
        <f>[36]GERAL!$K$129+[36]GERAL!$K$146+[36]GERAL!$K$163+[36]GERAL!$K$180</f>
        <v>0</v>
      </c>
      <c r="DP79" s="83">
        <f>[36]GERAL!$K$130+[36]GERAL!$K$147+[36]GERAL!$K$164+[36]GERAL!$K$181</f>
        <v>4103.0800000000008</v>
      </c>
      <c r="DQ79" s="83">
        <f t="shared" si="208"/>
        <v>17941.100000000002</v>
      </c>
      <c r="DR79" s="83">
        <f>[36]GERAL!$K$132+[36]GERAL!$K$149+[36]GERAL!$K$166+[36]GERAL!$K$183</f>
        <v>4151.28</v>
      </c>
      <c r="DS79" s="83">
        <f>[36]GERAL!$K$133+[36]GERAL!$K$150+[36]GERAL!$K$167+[36]GERAL!$K$184</f>
        <v>339.75</v>
      </c>
      <c r="DT79" s="83">
        <f>[36]GERAL!$K$134+[36]GERAL!$K$151+[36]GERAL!$K$168+[36]GERAL!$K$185</f>
        <v>0</v>
      </c>
      <c r="DU79" s="83">
        <f>[36]GERAL!$K$135+[36]GERAL!$K$152+[36]GERAL!$K$169+[36]GERAL!$K$186</f>
        <v>8165.8200000000006</v>
      </c>
      <c r="DV79" s="83">
        <f>[36]GERAL!$K$136+[36]GERAL!$K$153+[36]GERAL!$K$170+[36]GERAL!$K$187</f>
        <v>0</v>
      </c>
      <c r="DW79" s="83">
        <f>[36]GERAL!$K$137+[36]GERAL!$K$154+[36]GERAL!$K$171+[36]GERAL!$K$188</f>
        <v>2371.42</v>
      </c>
      <c r="DX79" s="83">
        <f t="shared" si="209"/>
        <v>15028.27</v>
      </c>
      <c r="DY79" s="83">
        <f>'[37]ANO 2022'!$E$123+'[37]ANO 2022'!$E$140+'[37]ANO 2022'!$E$158+'[37]ANO 2022'!$E$175</f>
        <v>11640.83</v>
      </c>
      <c r="DZ79" s="83">
        <f>'[37]ANO 2022'!$E$124+'[37]ANO 2022'!$E$141+'[37]ANO 2022'!$E$159+'[37]ANO 2022'!$E$176</f>
        <v>274.05</v>
      </c>
      <c r="EA79" s="83">
        <f>'[37]ANO 2022'!$E$125+'[37]ANO 2022'!$E$142+'[37]ANO 2022'!$E$160+'[37]ANO 2022'!$E$177</f>
        <v>0</v>
      </c>
      <c r="EB79" s="83">
        <f>'[37]ANO 2022'!$E$126+'[37]ANO 2022'!$E$143+'[37]ANO 2022'!$E$161+'[37]ANO 2022'!$E$178</f>
        <v>7010.1900000000005</v>
      </c>
      <c r="EC79" s="83">
        <f>'[37]ANO 2022'!$E$127+'[37]ANO 2022'!$E$144+'[37]ANO 2022'!$E$162+'[37]ANO 2022'!$E$179</f>
        <v>8766.82</v>
      </c>
      <c r="ED79" s="83">
        <f>'[37]ANO 2022'!$E$128+'[37]ANO 2022'!$E$145+'[37]ANO 2022'!$E$163+'[37]ANO 2022'!$E$180</f>
        <v>1346.29</v>
      </c>
      <c r="EE79" s="83">
        <f t="shared" si="210"/>
        <v>29038.18</v>
      </c>
      <c r="EF79" s="83">
        <f>'[37]ANO 2022'!$E$130+'[37]ANO 2022'!$E$147+'[37]ANO 2022'!$E$165+'[37]ANO 2022'!$E$182</f>
        <v>7264.74</v>
      </c>
      <c r="EG79" s="83">
        <f>'[37]ANO 2022'!$E$131+'[37]ANO 2022'!$E$148+'[37]ANO 2022'!$E$166+'[37]ANO 2022'!$E$183</f>
        <v>871.97</v>
      </c>
      <c r="EH79" s="83">
        <f>'[37]ANO 2022'!$E$132+'[37]ANO 2022'!$E$149+'[37]ANO 2022'!$E$167+'[37]ANO 2022'!$E$184</f>
        <v>0</v>
      </c>
      <c r="EI79" s="83">
        <f>'[37]ANO 2022'!$E$133+'[37]ANO 2022'!$E$150+'[37]ANO 2022'!$E$168+'[37]ANO 2022'!$E$185</f>
        <v>7679.75</v>
      </c>
      <c r="EJ79" s="83">
        <f>'[37]ANO 2022'!$E$134+'[37]ANO 2022'!$E$151+'[37]ANO 2022'!$E$169+'[37]ANO 2022'!$E$186</f>
        <v>0</v>
      </c>
      <c r="EK79" s="83">
        <f>'[37]ANO 2022'!$E$135+'[37]ANO 2022'!$E$152+'[37]ANO 2022'!$E$170+'[37]ANO 2022'!$E$187</f>
        <v>5116.67</v>
      </c>
      <c r="EL79" s="83">
        <f t="shared" si="211"/>
        <v>20933.129999999997</v>
      </c>
      <c r="EM79" s="83">
        <f t="shared" si="212"/>
        <v>113035.48000000001</v>
      </c>
      <c r="EN79" s="83">
        <f t="shared" si="213"/>
        <v>96268.669999999984</v>
      </c>
      <c r="EO79" s="195"/>
      <c r="EQ79" s="36"/>
      <c r="ER79" s="36"/>
      <c r="ES79" s="36"/>
      <c r="ET79" s="36"/>
    </row>
    <row r="80" spans="1:150" s="5" customFormat="1" ht="12.75" x14ac:dyDescent="0.2">
      <c r="A80" s="210"/>
      <c r="B80" s="211" t="s">
        <v>98</v>
      </c>
      <c r="C80" s="211"/>
      <c r="D80" s="20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>
        <f t="shared" ref="AQ80:EN80" si="214">SUM(AQ74:AQ79)</f>
        <v>4124055.88</v>
      </c>
      <c r="AR80" s="57">
        <f t="shared" si="214"/>
        <v>408643.84000000003</v>
      </c>
      <c r="AS80" s="57">
        <f t="shared" si="214"/>
        <v>1196220.2</v>
      </c>
      <c r="AT80" s="57">
        <f t="shared" si="214"/>
        <v>212575.34</v>
      </c>
      <c r="AU80" s="57">
        <f t="shared" si="214"/>
        <v>0</v>
      </c>
      <c r="AV80" s="57">
        <f t="shared" si="214"/>
        <v>471404.11</v>
      </c>
      <c r="AW80" s="57">
        <f t="shared" si="214"/>
        <v>0</v>
      </c>
      <c r="AX80" s="57">
        <f t="shared" si="214"/>
        <v>197639.86000000002</v>
      </c>
      <c r="AY80" s="57">
        <f t="shared" si="214"/>
        <v>2077839.5100000002</v>
      </c>
      <c r="AZ80" s="57">
        <f t="shared" si="214"/>
        <v>0</v>
      </c>
      <c r="BA80" s="57">
        <f t="shared" si="214"/>
        <v>196824.62</v>
      </c>
      <c r="BB80" s="57">
        <f t="shared" si="214"/>
        <v>0</v>
      </c>
      <c r="BC80" s="57">
        <f t="shared" si="214"/>
        <v>354429.17000000004</v>
      </c>
      <c r="BD80" s="57">
        <f t="shared" si="214"/>
        <v>0</v>
      </c>
      <c r="BE80" s="57">
        <f t="shared" si="214"/>
        <v>173492.97999999998</v>
      </c>
      <c r="BF80" s="57">
        <f t="shared" si="214"/>
        <v>724746.77</v>
      </c>
      <c r="BG80" s="57">
        <f t="shared" si="214"/>
        <v>0</v>
      </c>
      <c r="BH80" s="57">
        <f t="shared" si="214"/>
        <v>266186.32999999996</v>
      </c>
      <c r="BI80" s="57">
        <f t="shared" si="214"/>
        <v>0</v>
      </c>
      <c r="BJ80" s="57">
        <f t="shared" si="214"/>
        <v>525841.80000000005</v>
      </c>
      <c r="BK80" s="57">
        <f t="shared" si="214"/>
        <v>0</v>
      </c>
      <c r="BL80" s="57">
        <f t="shared" si="214"/>
        <v>3080727.0599999996</v>
      </c>
      <c r="BM80" s="57">
        <f t="shared" si="214"/>
        <v>3872755.1899999995</v>
      </c>
      <c r="BN80" s="57">
        <f t="shared" si="214"/>
        <v>0</v>
      </c>
      <c r="BO80" s="57">
        <f t="shared" si="214"/>
        <v>239894.36000000002</v>
      </c>
      <c r="BP80" s="57">
        <f t="shared" si="214"/>
        <v>0</v>
      </c>
      <c r="BQ80" s="57">
        <f t="shared" si="214"/>
        <v>387770.68000000005</v>
      </c>
      <c r="BR80" s="57">
        <f t="shared" si="214"/>
        <v>0</v>
      </c>
      <c r="BS80" s="57">
        <f t="shared" si="214"/>
        <v>159725.22999999998</v>
      </c>
      <c r="BT80" s="57">
        <f t="shared" si="214"/>
        <v>787390.27</v>
      </c>
      <c r="BU80" s="57">
        <f t="shared" si="214"/>
        <v>48412.39</v>
      </c>
      <c r="BV80" s="57">
        <f t="shared" si="214"/>
        <v>109448.96000000002</v>
      </c>
      <c r="BW80" s="57">
        <f t="shared" si="214"/>
        <v>0</v>
      </c>
      <c r="BX80" s="57">
        <f t="shared" si="214"/>
        <v>465395.74</v>
      </c>
      <c r="BY80" s="57">
        <f t="shared" si="214"/>
        <v>0</v>
      </c>
      <c r="BZ80" s="57">
        <f t="shared" si="214"/>
        <v>152644.16</v>
      </c>
      <c r="CA80" s="57">
        <f t="shared" si="214"/>
        <v>775901.25000000012</v>
      </c>
      <c r="CB80" s="57">
        <f t="shared" si="214"/>
        <v>0</v>
      </c>
      <c r="CC80" s="57">
        <f t="shared" si="214"/>
        <v>166296.69</v>
      </c>
      <c r="CD80" s="57">
        <f t="shared" si="214"/>
        <v>0</v>
      </c>
      <c r="CE80" s="57">
        <f t="shared" si="214"/>
        <v>450924.67</v>
      </c>
      <c r="CF80" s="57">
        <f t="shared" si="214"/>
        <v>0</v>
      </c>
      <c r="CG80" s="57">
        <f t="shared" si="214"/>
        <v>130086.52</v>
      </c>
      <c r="CH80" s="57">
        <f t="shared" si="214"/>
        <v>747307.88000000012</v>
      </c>
      <c r="CI80" s="57">
        <f t="shared" si="214"/>
        <v>2588478.25</v>
      </c>
      <c r="CJ80" s="57">
        <f t="shared" si="214"/>
        <v>232446.53</v>
      </c>
      <c r="CK80" s="57">
        <f t="shared" si="214"/>
        <v>0</v>
      </c>
      <c r="CL80" s="57">
        <f t="shared" si="214"/>
        <v>695011.25999999989</v>
      </c>
      <c r="CM80" s="57">
        <f t="shared" si="214"/>
        <v>0</v>
      </c>
      <c r="CN80" s="57">
        <f t="shared" si="214"/>
        <v>474513.23000000004</v>
      </c>
      <c r="CO80" s="57">
        <f t="shared" si="214"/>
        <v>3990449.27</v>
      </c>
      <c r="CP80" s="57">
        <f t="shared" si="214"/>
        <v>9064848.3999999985</v>
      </c>
      <c r="CQ80" s="57">
        <f t="shared" si="214"/>
        <v>260295.89</v>
      </c>
      <c r="CR80" s="57">
        <f t="shared" si="214"/>
        <v>0</v>
      </c>
      <c r="CS80" s="57">
        <f t="shared" si="214"/>
        <v>638564.27</v>
      </c>
      <c r="CT80" s="57">
        <f t="shared" si="214"/>
        <v>0</v>
      </c>
      <c r="CU80" s="57">
        <f t="shared" si="214"/>
        <v>342907.64999999997</v>
      </c>
      <c r="CV80" s="57">
        <f t="shared" si="214"/>
        <v>10306616.209999999</v>
      </c>
      <c r="CW80" s="57">
        <f t="shared" si="214"/>
        <v>2953030.4099999997</v>
      </c>
      <c r="CX80" s="57">
        <f t="shared" si="214"/>
        <v>225391.7</v>
      </c>
      <c r="CY80" s="57">
        <f t="shared" si="214"/>
        <v>0</v>
      </c>
      <c r="CZ80" s="57">
        <f t="shared" si="214"/>
        <v>628056.20000000007</v>
      </c>
      <c r="DA80" s="57">
        <f t="shared" si="214"/>
        <v>0</v>
      </c>
      <c r="DB80" s="57">
        <f t="shared" si="214"/>
        <v>332998.45</v>
      </c>
      <c r="DC80" s="57">
        <f t="shared" si="214"/>
        <v>4139476.7600000002</v>
      </c>
      <c r="DD80" s="57">
        <f t="shared" si="214"/>
        <v>3773042.2199999997</v>
      </c>
      <c r="DE80" s="57">
        <f t="shared" si="214"/>
        <v>176194.32000000004</v>
      </c>
      <c r="DF80" s="57">
        <f t="shared" si="214"/>
        <v>0</v>
      </c>
      <c r="DG80" s="57">
        <f t="shared" si="214"/>
        <v>662020.07000000007</v>
      </c>
      <c r="DH80" s="57">
        <f t="shared" si="214"/>
        <v>0</v>
      </c>
      <c r="DI80" s="57">
        <f t="shared" si="214"/>
        <v>295552.32999999996</v>
      </c>
      <c r="DJ80" s="57">
        <f t="shared" si="214"/>
        <v>4906808.9400000004</v>
      </c>
      <c r="DK80" s="57">
        <f t="shared" si="214"/>
        <v>3250615.2900000005</v>
      </c>
      <c r="DL80" s="57">
        <f t="shared" si="214"/>
        <v>230188.32</v>
      </c>
      <c r="DM80" s="57">
        <f t="shared" si="214"/>
        <v>0</v>
      </c>
      <c r="DN80" s="57">
        <f t="shared" si="214"/>
        <v>777630.41999999993</v>
      </c>
      <c r="DO80" s="57">
        <f t="shared" si="214"/>
        <v>0</v>
      </c>
      <c r="DP80" s="57">
        <f t="shared" si="214"/>
        <v>375903.17000000004</v>
      </c>
      <c r="DQ80" s="57">
        <f>SUM(DQ74:DQ79)</f>
        <v>4634337.2</v>
      </c>
      <c r="DR80" s="57">
        <f t="shared" ref="DR80:DW80" si="215">SUM(DR74:DR79)</f>
        <v>2389889.1399999997</v>
      </c>
      <c r="DS80" s="57">
        <f t="shared" si="215"/>
        <v>240527.06</v>
      </c>
      <c r="DT80" s="57">
        <f t="shared" si="215"/>
        <v>0</v>
      </c>
      <c r="DU80" s="57">
        <f t="shared" si="215"/>
        <v>772916.18</v>
      </c>
      <c r="DV80" s="57">
        <f t="shared" si="215"/>
        <v>0</v>
      </c>
      <c r="DW80" s="57">
        <f t="shared" si="215"/>
        <v>345177.60999999993</v>
      </c>
      <c r="DX80" s="57">
        <f t="shared" ref="DX80:EE80" si="216">SUM(DX74:DX79)</f>
        <v>3748509.99</v>
      </c>
      <c r="DY80" s="57">
        <f t="shared" si="216"/>
        <v>4396465.96</v>
      </c>
      <c r="DZ80" s="57">
        <f t="shared" si="216"/>
        <v>290343.65000000002</v>
      </c>
      <c r="EA80" s="57">
        <f t="shared" si="216"/>
        <v>0</v>
      </c>
      <c r="EB80" s="57">
        <f t="shared" si="216"/>
        <v>817815.66999999993</v>
      </c>
      <c r="EC80" s="57">
        <f t="shared" si="216"/>
        <v>8766.82</v>
      </c>
      <c r="ED80" s="57">
        <f t="shared" si="216"/>
        <v>1194387.52</v>
      </c>
      <c r="EE80" s="57">
        <f t="shared" si="216"/>
        <v>6707779.6199999992</v>
      </c>
      <c r="EF80" s="57">
        <f t="shared" ref="EF80:EL80" si="217">SUM(EF74:EF79)</f>
        <v>4095842.08</v>
      </c>
      <c r="EG80" s="57">
        <f t="shared" si="217"/>
        <v>306128.60999999993</v>
      </c>
      <c r="EH80" s="57">
        <f t="shared" si="217"/>
        <v>0</v>
      </c>
      <c r="EI80" s="57">
        <f t="shared" si="217"/>
        <v>799877.19000000006</v>
      </c>
      <c r="EJ80" s="57">
        <f t="shared" si="217"/>
        <v>0</v>
      </c>
      <c r="EK80" s="57">
        <f t="shared" si="217"/>
        <v>388255.36</v>
      </c>
      <c r="EL80" s="57">
        <f t="shared" si="217"/>
        <v>5590103.2400000002</v>
      </c>
      <c r="EM80" s="57">
        <f t="shared" si="214"/>
        <v>30322594.679999996</v>
      </c>
      <c r="EN80" s="57">
        <f t="shared" si="214"/>
        <v>27220127.140000001</v>
      </c>
      <c r="EO80" s="81"/>
      <c r="EQ80" s="36"/>
      <c r="ER80" s="36"/>
    </row>
    <row r="81" spans="1:148" ht="15" customHeight="1" x14ac:dyDescent="0.25">
      <c r="A81" s="219" t="s">
        <v>124</v>
      </c>
      <c r="B81" s="220"/>
      <c r="C81" s="220"/>
      <c r="D81" s="221"/>
      <c r="E81" s="23">
        <f t="shared" ref="E81:AJ81" si="218">E11+E26+E37+E58+E71+E73+E80</f>
        <v>268410</v>
      </c>
      <c r="F81" s="23">
        <f t="shared" si="218"/>
        <v>268410</v>
      </c>
      <c r="G81" s="23">
        <f t="shared" si="218"/>
        <v>2470181.7799999998</v>
      </c>
      <c r="H81" s="23">
        <f t="shared" si="218"/>
        <v>2214215.56</v>
      </c>
      <c r="I81" s="23">
        <f t="shared" si="218"/>
        <v>3519212.05</v>
      </c>
      <c r="J81" s="23">
        <f t="shared" si="218"/>
        <v>3511912.83</v>
      </c>
      <c r="K81" s="23">
        <f t="shared" si="218"/>
        <v>5066229.42</v>
      </c>
      <c r="L81" s="23">
        <f t="shared" si="218"/>
        <v>4731586.53</v>
      </c>
      <c r="M81" s="23">
        <f t="shared" si="218"/>
        <v>7752867.96</v>
      </c>
      <c r="N81" s="23">
        <f t="shared" si="218"/>
        <v>6276712.0999999996</v>
      </c>
      <c r="O81" s="23">
        <f t="shared" si="218"/>
        <v>9707824.8599999994</v>
      </c>
      <c r="P81" s="23">
        <f t="shared" si="218"/>
        <v>7952960.5700000003</v>
      </c>
      <c r="Q81" s="23">
        <f t="shared" si="218"/>
        <v>10032037.59</v>
      </c>
      <c r="R81" s="23">
        <f t="shared" si="218"/>
        <v>10649416.25</v>
      </c>
      <c r="S81" s="23">
        <f t="shared" si="218"/>
        <v>20411828.27</v>
      </c>
      <c r="T81" s="23">
        <f t="shared" si="218"/>
        <v>14194776.600000001</v>
      </c>
      <c r="U81" s="23">
        <f t="shared" si="218"/>
        <v>29538670.359999999</v>
      </c>
      <c r="V81" s="23">
        <f t="shared" si="218"/>
        <v>25676951.75</v>
      </c>
      <c r="W81" s="23">
        <f t="shared" si="218"/>
        <v>32499813.77</v>
      </c>
      <c r="X81" s="23">
        <f t="shared" si="218"/>
        <v>27302175.109999999</v>
      </c>
      <c r="Y81" s="23">
        <f t="shared" si="218"/>
        <v>48984957.909999996</v>
      </c>
      <c r="Z81" s="23">
        <f t="shared" si="218"/>
        <v>41959744.629999995</v>
      </c>
      <c r="AA81" s="23">
        <f t="shared" si="218"/>
        <v>64188429.969999999</v>
      </c>
      <c r="AB81" s="23">
        <f t="shared" si="218"/>
        <v>68449086.879999995</v>
      </c>
      <c r="AC81" s="23">
        <f t="shared" si="218"/>
        <v>102656261.91999999</v>
      </c>
      <c r="AD81" s="23">
        <f t="shared" si="218"/>
        <v>75395958.60999997</v>
      </c>
      <c r="AE81" s="23">
        <f t="shared" si="218"/>
        <v>115327221.02000001</v>
      </c>
      <c r="AF81" s="23">
        <f t="shared" si="218"/>
        <v>87077614.569999993</v>
      </c>
      <c r="AG81" s="23">
        <f t="shared" si="218"/>
        <v>149204694.42000002</v>
      </c>
      <c r="AH81" s="23">
        <f t="shared" si="218"/>
        <v>146869058.97999999</v>
      </c>
      <c r="AI81" s="23">
        <f t="shared" si="218"/>
        <v>167334766.52000004</v>
      </c>
      <c r="AJ81" s="23">
        <f t="shared" si="218"/>
        <v>176339975.90000004</v>
      </c>
      <c r="AK81" s="23">
        <f t="shared" ref="AK81:BP81" si="219">AK11+AK26+AK37+AK58+AK71+AK73+AK80</f>
        <v>207573043.04359996</v>
      </c>
      <c r="AL81" s="23">
        <f t="shared" si="219"/>
        <v>198105079.66000003</v>
      </c>
      <c r="AM81" s="23">
        <f t="shared" si="219"/>
        <v>238352486.64000005</v>
      </c>
      <c r="AN81" s="23">
        <f t="shared" si="219"/>
        <v>221084807.76300004</v>
      </c>
      <c r="AO81" s="23">
        <f t="shared" si="219"/>
        <v>264969808.84000006</v>
      </c>
      <c r="AP81" s="23">
        <f t="shared" si="219"/>
        <v>234812014.25999996</v>
      </c>
      <c r="AQ81" s="23">
        <f t="shared" si="219"/>
        <v>284373891.05000001</v>
      </c>
      <c r="AR81" s="23">
        <f t="shared" si="219"/>
        <v>294786760.74000001</v>
      </c>
      <c r="AS81" s="23">
        <f t="shared" si="219"/>
        <v>209890471.48999998</v>
      </c>
      <c r="AT81" s="23">
        <f t="shared" si="219"/>
        <v>84208428.210000008</v>
      </c>
      <c r="AU81" s="23">
        <f t="shared" si="219"/>
        <v>10811489.359999998</v>
      </c>
      <c r="AV81" s="23">
        <f t="shared" si="219"/>
        <v>6900834.7300000051</v>
      </c>
      <c r="AW81" s="23">
        <f t="shared" si="219"/>
        <v>1201046.45</v>
      </c>
      <c r="AX81" s="23">
        <f t="shared" si="219"/>
        <v>7887337.870000001</v>
      </c>
      <c r="AY81" s="23">
        <f t="shared" si="219"/>
        <v>328619015.11000001</v>
      </c>
      <c r="AZ81" s="23">
        <f t="shared" si="219"/>
        <v>163974141.84490007</v>
      </c>
      <c r="BA81" s="23">
        <f t="shared" si="219"/>
        <v>78012684.845100135</v>
      </c>
      <c r="BB81" s="23">
        <f t="shared" si="219"/>
        <v>10525019.969999999</v>
      </c>
      <c r="BC81" s="23">
        <f t="shared" si="219"/>
        <v>2680899.9300000016</v>
      </c>
      <c r="BD81" s="23">
        <f t="shared" si="219"/>
        <v>1026066.7999999999</v>
      </c>
      <c r="BE81" s="23">
        <f t="shared" si="219"/>
        <v>5599674.0100000054</v>
      </c>
      <c r="BF81" s="23">
        <f t="shared" si="219"/>
        <v>295735475.81</v>
      </c>
      <c r="BG81" s="23">
        <f t="shared" si="219"/>
        <v>258214957.01000002</v>
      </c>
      <c r="BH81" s="23">
        <f t="shared" si="219"/>
        <v>77706894.258000001</v>
      </c>
      <c r="BI81" s="23">
        <f t="shared" si="219"/>
        <v>12267596.730000002</v>
      </c>
      <c r="BJ81" s="23">
        <f t="shared" si="219"/>
        <v>6193995.7399999844</v>
      </c>
      <c r="BK81" s="23">
        <f t="shared" si="219"/>
        <v>93365231.230000004</v>
      </c>
      <c r="BL81" s="23">
        <f t="shared" si="219"/>
        <v>11168025.869999997</v>
      </c>
      <c r="BM81" s="23">
        <f t="shared" si="219"/>
        <v>458916700.838</v>
      </c>
      <c r="BN81" s="23">
        <f t="shared" si="219"/>
        <v>182815982.69</v>
      </c>
      <c r="BO81" s="23">
        <f t="shared" si="219"/>
        <v>59487109.060000002</v>
      </c>
      <c r="BP81" s="23">
        <f t="shared" si="219"/>
        <v>10534277.18</v>
      </c>
      <c r="BQ81" s="23">
        <f t="shared" ref="BQ81:CV81" si="220">BQ11+BQ26+BQ37+BQ58+BQ71+BQ73+BQ80</f>
        <v>5054081.1799999932</v>
      </c>
      <c r="BR81" s="23">
        <f t="shared" si="220"/>
        <v>93288250.280000001</v>
      </c>
      <c r="BS81" s="23">
        <f t="shared" si="220"/>
        <v>2982272.6399999983</v>
      </c>
      <c r="BT81" s="23">
        <f t="shared" si="220"/>
        <v>432394557.83999991</v>
      </c>
      <c r="BU81" s="23">
        <f t="shared" si="220"/>
        <v>296577570.92000008</v>
      </c>
      <c r="BV81" s="23">
        <f t="shared" si="220"/>
        <v>91164749.499999985</v>
      </c>
      <c r="BW81" s="23">
        <f t="shared" si="220"/>
        <v>11602676</v>
      </c>
      <c r="BX81" s="23">
        <f t="shared" si="220"/>
        <v>7473944.1700000009</v>
      </c>
      <c r="BY81" s="23">
        <f t="shared" si="220"/>
        <v>69945460.069999993</v>
      </c>
      <c r="BZ81" s="23">
        <f t="shared" si="220"/>
        <v>11034320.309999967</v>
      </c>
      <c r="CA81" s="23">
        <f t="shared" si="220"/>
        <v>487798720.96999997</v>
      </c>
      <c r="CB81" s="23">
        <f t="shared" si="220"/>
        <v>192145673.93206728</v>
      </c>
      <c r="CC81" s="23">
        <f t="shared" si="220"/>
        <v>60193553.982272111</v>
      </c>
      <c r="CD81" s="23">
        <f t="shared" si="220"/>
        <v>12949597.994411835</v>
      </c>
      <c r="CE81" s="23">
        <f t="shared" si="220"/>
        <v>6464773.6636506366</v>
      </c>
      <c r="CF81" s="23">
        <f t="shared" si="220"/>
        <v>69919330.689999998</v>
      </c>
      <c r="CG81" s="23">
        <f t="shared" si="220"/>
        <v>3798067.0958872638</v>
      </c>
      <c r="CH81" s="23">
        <f t="shared" si="220"/>
        <v>471161363.29828912</v>
      </c>
      <c r="CI81" s="23">
        <f t="shared" si="220"/>
        <v>267822871.53829569</v>
      </c>
      <c r="CJ81" s="23">
        <f t="shared" si="220"/>
        <v>104705142.67397402</v>
      </c>
      <c r="CK81" s="23">
        <f t="shared" si="220"/>
        <v>9090407.8096272815</v>
      </c>
      <c r="CL81" s="23">
        <f t="shared" si="220"/>
        <v>3460420.4450279982</v>
      </c>
      <c r="CM81" s="23">
        <f t="shared" si="220"/>
        <v>41596657.398575999</v>
      </c>
      <c r="CN81" s="23">
        <f t="shared" si="220"/>
        <v>13737153.10358125</v>
      </c>
      <c r="CO81" s="23">
        <f t="shared" si="220"/>
        <v>537603851.83908236</v>
      </c>
      <c r="CP81" s="23">
        <f t="shared" si="220"/>
        <v>200606844.24623024</v>
      </c>
      <c r="CQ81" s="23">
        <f t="shared" si="220"/>
        <v>74748953.832815558</v>
      </c>
      <c r="CR81" s="23">
        <f t="shared" si="220"/>
        <v>9048836.877160728</v>
      </c>
      <c r="CS81" s="23">
        <f t="shared" si="220"/>
        <v>3006522.8039850458</v>
      </c>
      <c r="CT81" s="23">
        <f t="shared" si="220"/>
        <v>41527599.700000003</v>
      </c>
      <c r="CU81" s="23">
        <f t="shared" si="220"/>
        <v>7997479.6732568527</v>
      </c>
      <c r="CV81" s="23">
        <f t="shared" si="220"/>
        <v>513960237.84344852</v>
      </c>
      <c r="CW81" s="23">
        <f>CW11+CW26+CW37+CW58+CW71+CW73+CW80</f>
        <v>183109449.6291118</v>
      </c>
      <c r="CX81" s="23">
        <f t="shared" ref="CX81:DW81" si="221">CX11+CX26+CX37+CX58+CX71+CX73+CX80</f>
        <v>74898169.413230672</v>
      </c>
      <c r="CY81" s="23">
        <f t="shared" si="221"/>
        <v>8504310.5965780839</v>
      </c>
      <c r="CZ81" s="23">
        <f t="shared" si="221"/>
        <v>3274251.5319603421</v>
      </c>
      <c r="DA81" s="23">
        <f t="shared" si="221"/>
        <v>23741034.74154783</v>
      </c>
      <c r="DB81" s="23">
        <f t="shared" si="221"/>
        <v>9600909.9202974588</v>
      </c>
      <c r="DC81" s="23">
        <f t="shared" si="221"/>
        <v>533905604.38272589</v>
      </c>
      <c r="DD81" s="23">
        <f t="shared" si="221"/>
        <v>159520029.83870333</v>
      </c>
      <c r="DE81" s="23">
        <f t="shared" si="221"/>
        <v>67085832.029402837</v>
      </c>
      <c r="DF81" s="23">
        <f t="shared" si="221"/>
        <v>8639298.2715558931</v>
      </c>
      <c r="DG81" s="23">
        <f t="shared" si="221"/>
        <v>2894929.6258567348</v>
      </c>
      <c r="DH81" s="23">
        <f t="shared" si="221"/>
        <v>23811682.510000002</v>
      </c>
      <c r="DI81" s="23">
        <f t="shared" si="221"/>
        <v>4533094.8809614293</v>
      </c>
      <c r="DJ81" s="23">
        <f t="shared" si="221"/>
        <v>490900715.72648031</v>
      </c>
      <c r="DK81" s="23">
        <f t="shared" si="221"/>
        <v>190580073.08093747</v>
      </c>
      <c r="DL81" s="23">
        <f t="shared" si="221"/>
        <v>59282248.285311677</v>
      </c>
      <c r="DM81" s="23">
        <f t="shared" si="221"/>
        <v>6265267.6487626079</v>
      </c>
      <c r="DN81" s="23">
        <f t="shared" si="221"/>
        <v>4536446.9574594405</v>
      </c>
      <c r="DO81" s="23">
        <f t="shared" si="221"/>
        <v>76800174.748265505</v>
      </c>
      <c r="DP81" s="23">
        <f t="shared" si="221"/>
        <v>14619099.184156084</v>
      </c>
      <c r="DQ81" s="23">
        <f t="shared" si="221"/>
        <v>616097983.28489304</v>
      </c>
      <c r="DR81" s="23">
        <f t="shared" si="221"/>
        <v>157993165.68039542</v>
      </c>
      <c r="DS81" s="23">
        <f t="shared" si="221"/>
        <v>51046274.221388541</v>
      </c>
      <c r="DT81" s="23">
        <f t="shared" si="221"/>
        <v>3966951.537373805</v>
      </c>
      <c r="DU81" s="23">
        <f t="shared" si="221"/>
        <v>2919066.4</v>
      </c>
      <c r="DV81" s="23">
        <f t="shared" si="221"/>
        <v>76701880.039999992</v>
      </c>
      <c r="DW81" s="23">
        <f t="shared" si="221"/>
        <v>5806470.7505105538</v>
      </c>
      <c r="DX81" s="23">
        <f>DX11+DX26+DX37+DX58+DX71+DX73+DX80</f>
        <v>572926724.42966843</v>
      </c>
      <c r="DY81" s="23">
        <f t="shared" ref="DY81:EE81" si="222">DY11+DY26+DY37+DY58+DY71+DY73+DY80</f>
        <v>219553956.67999998</v>
      </c>
      <c r="DZ81" s="23">
        <f t="shared" si="222"/>
        <v>96790973.170000002</v>
      </c>
      <c r="EA81" s="23">
        <f t="shared" si="222"/>
        <v>7768842.1700000018</v>
      </c>
      <c r="EB81" s="23">
        <f t="shared" si="222"/>
        <v>9468436.4099999908</v>
      </c>
      <c r="EC81" s="23">
        <f t="shared" si="222"/>
        <v>2711110.82</v>
      </c>
      <c r="ED81" s="23">
        <f t="shared" si="222"/>
        <v>13724999.009999998</v>
      </c>
      <c r="EE81" s="23">
        <f t="shared" si="222"/>
        <v>636099682.59527647</v>
      </c>
      <c r="EF81" s="23">
        <f t="shared" ref="EF81" si="223">EF11+EF26+EF37+EF58+EF71+EF73+EF80</f>
        <v>198989324.56999999</v>
      </c>
      <c r="EG81" s="23">
        <f t="shared" ref="EG81" si="224">EG11+EG26+EG37+EG58+EG71+EG73+EG80</f>
        <v>91294557.13000001</v>
      </c>
      <c r="EH81" s="23">
        <f t="shared" ref="EH81" si="225">EH11+EH26+EH37+EH58+EH71+EH73+EH80</f>
        <v>7748611.9700000016</v>
      </c>
      <c r="EI81" s="23">
        <f t="shared" ref="EI81" si="226">EI11+EI26+EI37+EI58+EI71+EI73+EI80</f>
        <v>4641700.1600000029</v>
      </c>
      <c r="EJ81" s="23">
        <f t="shared" ref="EJ81" si="227">EJ11+EJ26+EJ37+EJ58+EJ71+EJ73+EJ80</f>
        <v>2610428</v>
      </c>
      <c r="EK81" s="23">
        <f t="shared" ref="EK81" si="228">EK11+EK26+EK37+EK58+EK71+EK73+EK80</f>
        <v>9575487.0500000007</v>
      </c>
      <c r="EL81" s="23">
        <f t="shared" ref="EL81" si="229">EL11+EL26+EL37+EL58+EL71+EL73+EL80</f>
        <v>585565752.12000012</v>
      </c>
      <c r="EM81" s="23">
        <f>EM11+EM26+EM37+EM58+EM71+EM73+EM80</f>
        <v>5363274196.4135771</v>
      </c>
      <c r="EN81" s="23">
        <f>EN11+EN26+EN37+EN58+EN71+EN73+EN80</f>
        <v>5010304046.3608866</v>
      </c>
      <c r="EO81" s="24"/>
      <c r="EQ81" s="157">
        <f>E81+G81+I81+K81++M81+O81+Q81+S81+U81+W81+Y81+AA81+AC81+AE81+AG81+AI81+AK81+AM81+AO81+AQ81+AY81+BM81+CA81+CO81+DC81+DQ81+EE81</f>
        <v>5363274196.4135771</v>
      </c>
      <c r="ER81" s="157">
        <f>F81+H81+J81+L81++N81+P81+R81+T81+V81+X81+Z81+AB81+AD81+AF81+AH81+AJ81+AL81+AN81+AP81+AR81+BF81+BT81+CH81+CV81+DJ81+DX81+EL81</f>
        <v>5010304046.3608866</v>
      </c>
    </row>
    <row r="82" spans="1:148" s="29" customFormat="1" ht="9" thickBot="1" x14ac:dyDescent="0.2">
      <c r="A82" s="25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8"/>
    </row>
    <row r="83" spans="1:148" x14ac:dyDescent="0.25">
      <c r="A83" s="5" t="s">
        <v>126</v>
      </c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123"/>
      <c r="AT83" s="123"/>
      <c r="AU83" s="123"/>
      <c r="AV83" s="123"/>
      <c r="AW83" s="123"/>
      <c r="AX83" s="123"/>
      <c r="AY83" s="123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2"/>
      <c r="EQ83" s="157">
        <f>EQ81-EM81</f>
        <v>0</v>
      </c>
      <c r="ER83" s="157">
        <f>ER81-EN81</f>
        <v>0</v>
      </c>
    </row>
    <row r="84" spans="1:148" x14ac:dyDescent="0.25">
      <c r="A84" s="5" t="s">
        <v>137</v>
      </c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123"/>
      <c r="AT84" s="123"/>
      <c r="AU84" s="123"/>
      <c r="AV84" s="123"/>
      <c r="AW84" s="123"/>
      <c r="AX84" s="123"/>
      <c r="AY84" s="123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2"/>
    </row>
    <row r="85" spans="1:148" s="43" customFormat="1" ht="12.75" x14ac:dyDescent="0.2">
      <c r="A85" s="5" t="s">
        <v>135</v>
      </c>
      <c r="B85" s="45"/>
      <c r="C85" s="45"/>
      <c r="D85" s="4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124"/>
      <c r="AU85" s="124"/>
      <c r="AV85" s="46"/>
      <c r="AW85" s="46"/>
      <c r="AX85" s="46"/>
      <c r="AY85" s="46"/>
      <c r="AZ85" s="124"/>
      <c r="BA85" s="124"/>
      <c r="BB85" s="124"/>
      <c r="BC85" s="124"/>
      <c r="BD85" s="124"/>
      <c r="BE85" s="124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7"/>
    </row>
    <row r="86" spans="1:148" s="43" customFormat="1" x14ac:dyDescent="0.25">
      <c r="A86" s="60" t="s">
        <v>136</v>
      </c>
      <c r="B86" s="45"/>
      <c r="C86" s="45"/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7"/>
    </row>
    <row r="87" spans="1:148" s="43" customFormat="1" x14ac:dyDescent="0.25">
      <c r="A87" s="5" t="s">
        <v>163</v>
      </c>
      <c r="B87" s="61"/>
      <c r="C87" s="61"/>
      <c r="D87" s="61"/>
      <c r="E87" s="62"/>
      <c r="F87" s="46"/>
      <c r="G87" s="46"/>
      <c r="H87" s="46"/>
      <c r="I87" s="46"/>
      <c r="J87" s="46"/>
      <c r="K87" s="46"/>
      <c r="L87" s="46"/>
      <c r="M87" s="46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</row>
    <row r="88" spans="1:148" s="43" customFormat="1" ht="15.75" thickBot="1" x14ac:dyDescent="0.3">
      <c r="B88" s="61"/>
      <c r="C88" s="61"/>
      <c r="D88" s="61"/>
      <c r="E88" s="62"/>
      <c r="F88" s="46"/>
      <c r="G88" s="46"/>
      <c r="H88" s="46"/>
      <c r="I88" s="46"/>
      <c r="J88" s="46"/>
      <c r="K88" s="46"/>
      <c r="L88" s="46"/>
      <c r="M88" s="46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</row>
    <row r="89" spans="1:148" ht="18" x14ac:dyDescent="0.25">
      <c r="A89" s="186" t="s">
        <v>69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8"/>
    </row>
    <row r="90" spans="1:148" s="5" customFormat="1" ht="12.75" x14ac:dyDescent="0.2">
      <c r="A90" s="204" t="s">
        <v>77</v>
      </c>
      <c r="B90" s="190" t="s">
        <v>76</v>
      </c>
      <c r="C90" s="190"/>
      <c r="D90" s="190" t="s">
        <v>2</v>
      </c>
      <c r="E90" s="182">
        <v>1996</v>
      </c>
      <c r="F90" s="182"/>
      <c r="G90" s="182">
        <v>1997</v>
      </c>
      <c r="H90" s="182"/>
      <c r="I90" s="182">
        <v>1998</v>
      </c>
      <c r="J90" s="182"/>
      <c r="K90" s="182">
        <v>1999</v>
      </c>
      <c r="L90" s="182"/>
      <c r="M90" s="182">
        <v>2000</v>
      </c>
      <c r="N90" s="182"/>
      <c r="O90" s="182">
        <v>2001</v>
      </c>
      <c r="P90" s="182"/>
      <c r="Q90" s="182">
        <v>2002</v>
      </c>
      <c r="R90" s="182"/>
      <c r="S90" s="182">
        <v>2003</v>
      </c>
      <c r="T90" s="182"/>
      <c r="U90" s="182">
        <v>2004</v>
      </c>
      <c r="V90" s="182"/>
      <c r="W90" s="182">
        <v>2005</v>
      </c>
      <c r="X90" s="182"/>
      <c r="Y90" s="182">
        <v>2006</v>
      </c>
      <c r="Z90" s="182"/>
      <c r="AA90" s="182">
        <v>2007</v>
      </c>
      <c r="AB90" s="182"/>
      <c r="AC90" s="182">
        <v>2008</v>
      </c>
      <c r="AD90" s="182"/>
      <c r="AE90" s="182">
        <v>2009</v>
      </c>
      <c r="AF90" s="182"/>
      <c r="AG90" s="182">
        <v>2010</v>
      </c>
      <c r="AH90" s="182"/>
      <c r="AI90" s="182">
        <v>2011</v>
      </c>
      <c r="AJ90" s="182"/>
      <c r="AK90" s="182">
        <v>2012</v>
      </c>
      <c r="AL90" s="182"/>
      <c r="AM90" s="182">
        <v>2013</v>
      </c>
      <c r="AN90" s="182"/>
      <c r="AO90" s="173">
        <v>2014</v>
      </c>
      <c r="AP90" s="174"/>
      <c r="AQ90" s="173">
        <v>2015</v>
      </c>
      <c r="AR90" s="175"/>
      <c r="AS90" s="173">
        <v>2016</v>
      </c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5"/>
      <c r="BG90" s="173">
        <v>2017</v>
      </c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5"/>
      <c r="BU90" s="173">
        <v>2018</v>
      </c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5"/>
      <c r="CI90" s="173">
        <v>2019</v>
      </c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5"/>
      <c r="CW90" s="173">
        <v>2020</v>
      </c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5"/>
      <c r="DK90" s="173">
        <v>2021</v>
      </c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5"/>
      <c r="DY90" s="173">
        <v>2022</v>
      </c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5"/>
      <c r="EM90" s="182" t="s">
        <v>3</v>
      </c>
      <c r="EN90" s="182"/>
      <c r="EO90" s="227" t="s">
        <v>4</v>
      </c>
    </row>
    <row r="91" spans="1:148" s="5" customFormat="1" ht="12.75" x14ac:dyDescent="0.2">
      <c r="A91" s="205"/>
      <c r="B91" s="190"/>
      <c r="C91" s="190"/>
      <c r="D91" s="190"/>
      <c r="E91" s="37" t="s">
        <v>5</v>
      </c>
      <c r="F91" s="37" t="s">
        <v>6</v>
      </c>
      <c r="G91" s="37" t="s">
        <v>5</v>
      </c>
      <c r="H91" s="37" t="s">
        <v>6</v>
      </c>
      <c r="I91" s="37" t="s">
        <v>5</v>
      </c>
      <c r="J91" s="37" t="s">
        <v>6</v>
      </c>
      <c r="K91" s="37" t="s">
        <v>5</v>
      </c>
      <c r="L91" s="37" t="s">
        <v>6</v>
      </c>
      <c r="M91" s="37" t="s">
        <v>5</v>
      </c>
      <c r="N91" s="37" t="s">
        <v>6</v>
      </c>
      <c r="O91" s="37" t="s">
        <v>5</v>
      </c>
      <c r="P91" s="37" t="s">
        <v>6</v>
      </c>
      <c r="Q91" s="37" t="s">
        <v>5</v>
      </c>
      <c r="R91" s="37" t="s">
        <v>6</v>
      </c>
      <c r="S91" s="37" t="s">
        <v>5</v>
      </c>
      <c r="T91" s="37" t="s">
        <v>6</v>
      </c>
      <c r="U91" s="37" t="s">
        <v>5</v>
      </c>
      <c r="V91" s="37" t="s">
        <v>6</v>
      </c>
      <c r="W91" s="37" t="s">
        <v>5</v>
      </c>
      <c r="X91" s="37" t="s">
        <v>6</v>
      </c>
      <c r="Y91" s="37" t="s">
        <v>5</v>
      </c>
      <c r="Z91" s="37" t="s">
        <v>6</v>
      </c>
      <c r="AA91" s="37" t="s">
        <v>5</v>
      </c>
      <c r="AB91" s="37" t="s">
        <v>6</v>
      </c>
      <c r="AC91" s="37" t="s">
        <v>5</v>
      </c>
      <c r="AD91" s="37" t="s">
        <v>6</v>
      </c>
      <c r="AE91" s="37" t="s">
        <v>5</v>
      </c>
      <c r="AF91" s="37" t="s">
        <v>6</v>
      </c>
      <c r="AG91" s="37" t="s">
        <v>5</v>
      </c>
      <c r="AH91" s="37" t="s">
        <v>6</v>
      </c>
      <c r="AI91" s="37" t="s">
        <v>5</v>
      </c>
      <c r="AJ91" s="37" t="s">
        <v>6</v>
      </c>
      <c r="AK91" s="37" t="s">
        <v>5</v>
      </c>
      <c r="AL91" s="37" t="s">
        <v>6</v>
      </c>
      <c r="AM91" s="37" t="s">
        <v>5</v>
      </c>
      <c r="AN91" s="37" t="s">
        <v>6</v>
      </c>
      <c r="AO91" s="37" t="s">
        <v>5</v>
      </c>
      <c r="AP91" s="84" t="s">
        <v>6</v>
      </c>
      <c r="AQ91" s="84" t="s">
        <v>5</v>
      </c>
      <c r="AR91" s="37" t="s">
        <v>6</v>
      </c>
      <c r="AS91" s="84"/>
      <c r="AT91" s="84"/>
      <c r="AU91" s="84"/>
      <c r="AV91" s="84"/>
      <c r="AW91" s="84"/>
      <c r="AX91" s="84"/>
      <c r="AY91" s="84" t="s">
        <v>5</v>
      </c>
      <c r="AZ91" s="84"/>
      <c r="BA91" s="84"/>
      <c r="BB91" s="84"/>
      <c r="BC91" s="84"/>
      <c r="BD91" s="84"/>
      <c r="BE91" s="84"/>
      <c r="BF91" s="37" t="s">
        <v>6</v>
      </c>
      <c r="BG91" s="84"/>
      <c r="BH91" s="84"/>
      <c r="BI91" s="84"/>
      <c r="BJ91" s="84"/>
      <c r="BK91" s="84"/>
      <c r="BL91" s="84"/>
      <c r="BM91" s="84" t="s">
        <v>5</v>
      </c>
      <c r="BN91" s="84"/>
      <c r="BO91" s="84"/>
      <c r="BP91" s="84"/>
      <c r="BQ91" s="84"/>
      <c r="BR91" s="84"/>
      <c r="BS91" s="84"/>
      <c r="BT91" s="37" t="s">
        <v>6</v>
      </c>
      <c r="BU91" s="37"/>
      <c r="BV91" s="37"/>
      <c r="BW91" s="37"/>
      <c r="BX91" s="37"/>
      <c r="BY91" s="37"/>
      <c r="BZ91" s="37"/>
      <c r="CA91" s="84" t="s">
        <v>5</v>
      </c>
      <c r="CB91" s="37"/>
      <c r="CC91" s="37"/>
      <c r="CD91" s="37"/>
      <c r="CE91" s="37"/>
      <c r="CF91" s="37"/>
      <c r="CG91" s="37"/>
      <c r="CH91" s="37" t="s">
        <v>6</v>
      </c>
      <c r="CI91" s="37"/>
      <c r="CJ91" s="37"/>
      <c r="CK91" s="37"/>
      <c r="CL91" s="37"/>
      <c r="CM91" s="37"/>
      <c r="CN91" s="37"/>
      <c r="CO91" s="37" t="s">
        <v>5</v>
      </c>
      <c r="CP91" s="37"/>
      <c r="CQ91" s="37"/>
      <c r="CR91" s="37"/>
      <c r="CS91" s="37"/>
      <c r="CT91" s="37"/>
      <c r="CU91" s="37"/>
      <c r="CV91" s="37" t="s">
        <v>6</v>
      </c>
      <c r="CW91" s="37"/>
      <c r="CX91" s="37"/>
      <c r="CY91" s="37"/>
      <c r="CZ91" s="37"/>
      <c r="DA91" s="37"/>
      <c r="DB91" s="37"/>
      <c r="DC91" s="37" t="s">
        <v>5</v>
      </c>
      <c r="DD91" s="37"/>
      <c r="DE91" s="37"/>
      <c r="DF91" s="37"/>
      <c r="DG91" s="37"/>
      <c r="DH91" s="37"/>
      <c r="DI91" s="37"/>
      <c r="DJ91" s="37" t="s">
        <v>6</v>
      </c>
      <c r="DK91" s="37"/>
      <c r="DL91" s="37"/>
      <c r="DM91" s="37"/>
      <c r="DN91" s="37"/>
      <c r="DO91" s="37"/>
      <c r="DP91" s="37"/>
      <c r="DQ91" s="37" t="s">
        <v>5</v>
      </c>
      <c r="DR91" s="37"/>
      <c r="DS91" s="37"/>
      <c r="DT91" s="37"/>
      <c r="DU91" s="37"/>
      <c r="DV91" s="37"/>
      <c r="DW91" s="37"/>
      <c r="DX91" s="37" t="s">
        <v>6</v>
      </c>
      <c r="DY91" s="37"/>
      <c r="DZ91" s="37"/>
      <c r="EA91" s="37"/>
      <c r="EB91" s="37"/>
      <c r="EC91" s="37"/>
      <c r="ED91" s="37"/>
      <c r="EE91" s="37" t="s">
        <v>5</v>
      </c>
      <c r="EF91" s="37"/>
      <c r="EG91" s="37"/>
      <c r="EH91" s="37"/>
      <c r="EI91" s="37"/>
      <c r="EJ91" s="37"/>
      <c r="EK91" s="37"/>
      <c r="EL91" s="37" t="s">
        <v>6</v>
      </c>
      <c r="EM91" s="37" t="s">
        <v>5</v>
      </c>
      <c r="EN91" s="37" t="s">
        <v>6</v>
      </c>
      <c r="EO91" s="227"/>
    </row>
    <row r="92" spans="1:148" s="5" customFormat="1" ht="14.25" customHeight="1" x14ac:dyDescent="0.2">
      <c r="A92" s="205"/>
      <c r="B92" s="223" t="s">
        <v>45</v>
      </c>
      <c r="C92" s="224"/>
      <c r="D92" s="51">
        <v>2001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 t="s">
        <v>11</v>
      </c>
      <c r="P92" s="11">
        <v>47533949.270000003</v>
      </c>
      <c r="Q92" s="55" t="s">
        <v>11</v>
      </c>
      <c r="R92" s="11">
        <v>55799829.979999997</v>
      </c>
      <c r="S92" s="55" t="s">
        <v>11</v>
      </c>
      <c r="T92" s="11">
        <v>73256572.459999993</v>
      </c>
      <c r="U92" s="55" t="s">
        <v>11</v>
      </c>
      <c r="V92" s="11">
        <v>86621383.219999999</v>
      </c>
      <c r="W92" s="55" t="s">
        <v>11</v>
      </c>
      <c r="X92" s="11">
        <v>111521747.95</v>
      </c>
      <c r="Y92" s="55" t="s">
        <v>11</v>
      </c>
      <c r="Z92" s="11">
        <v>122305644.95999999</v>
      </c>
      <c r="AA92" s="55" t="s">
        <v>11</v>
      </c>
      <c r="AB92" s="11">
        <v>138254569.37</v>
      </c>
      <c r="AC92" s="55" t="s">
        <v>11</v>
      </c>
      <c r="AD92" s="11">
        <v>139210280.53</v>
      </c>
      <c r="AE92" s="55" t="s">
        <v>11</v>
      </c>
      <c r="AF92" s="11">
        <v>148726171.81999999</v>
      </c>
      <c r="AG92" s="55" t="s">
        <v>11</v>
      </c>
      <c r="AH92" s="11">
        <v>168326646.47</v>
      </c>
      <c r="AI92" s="55" t="s">
        <v>11</v>
      </c>
      <c r="AJ92" s="11">
        <v>181755543.87</v>
      </c>
      <c r="AK92" s="55" t="s">
        <v>11</v>
      </c>
      <c r="AL92" s="11">
        <v>191885880.74000001</v>
      </c>
      <c r="AM92" s="55" t="s">
        <v>11</v>
      </c>
      <c r="AN92" s="73">
        <v>176768958.25</v>
      </c>
      <c r="AO92" s="55" t="s">
        <v>11</v>
      </c>
      <c r="AP92" s="73">
        <v>185527627.58000001</v>
      </c>
      <c r="AQ92" s="88" t="s">
        <v>11</v>
      </c>
      <c r="AR92" s="85">
        <v>185261103</v>
      </c>
      <c r="AS92" s="183" t="s">
        <v>11</v>
      </c>
      <c r="AT92" s="184"/>
      <c r="AU92" s="184"/>
      <c r="AV92" s="184"/>
      <c r="AW92" s="184"/>
      <c r="AX92" s="184"/>
      <c r="AY92" s="185"/>
      <c r="AZ92" s="183">
        <v>208797580.81999999</v>
      </c>
      <c r="BA92" s="184"/>
      <c r="BB92" s="184"/>
      <c r="BC92" s="184"/>
      <c r="BD92" s="184"/>
      <c r="BE92" s="184"/>
      <c r="BF92" s="185"/>
      <c r="BG92" s="183" t="s">
        <v>11</v>
      </c>
      <c r="BH92" s="184"/>
      <c r="BI92" s="184"/>
      <c r="BJ92" s="184"/>
      <c r="BK92" s="184"/>
      <c r="BL92" s="184"/>
      <c r="BM92" s="185"/>
      <c r="BN92" s="183">
        <v>172810014.94</v>
      </c>
      <c r="BO92" s="184"/>
      <c r="BP92" s="184"/>
      <c r="BQ92" s="184"/>
      <c r="BR92" s="184"/>
      <c r="BS92" s="184"/>
      <c r="BT92" s="185"/>
      <c r="BU92" s="183" t="s">
        <v>11</v>
      </c>
      <c r="BV92" s="184"/>
      <c r="BW92" s="184"/>
      <c r="BX92" s="184"/>
      <c r="BY92" s="184"/>
      <c r="BZ92" s="184"/>
      <c r="CA92" s="185"/>
      <c r="CB92" s="183">
        <v>164933921.86000001</v>
      </c>
      <c r="CC92" s="184"/>
      <c r="CD92" s="184"/>
      <c r="CE92" s="184"/>
      <c r="CF92" s="184"/>
      <c r="CG92" s="184"/>
      <c r="CH92" s="185"/>
      <c r="CI92" s="183" t="s">
        <v>11</v>
      </c>
      <c r="CJ92" s="184"/>
      <c r="CK92" s="184"/>
      <c r="CL92" s="184"/>
      <c r="CM92" s="184"/>
      <c r="CN92" s="184"/>
      <c r="CO92" s="185"/>
      <c r="CP92" s="183">
        <v>194755926.77000001</v>
      </c>
      <c r="CQ92" s="184"/>
      <c r="CR92" s="184"/>
      <c r="CS92" s="184"/>
      <c r="CT92" s="184"/>
      <c r="CU92" s="184"/>
      <c r="CV92" s="185"/>
      <c r="CW92" s="183" t="s">
        <v>11</v>
      </c>
      <c r="CX92" s="184"/>
      <c r="CY92" s="184"/>
      <c r="CZ92" s="184"/>
      <c r="DA92" s="184"/>
      <c r="DB92" s="184"/>
      <c r="DC92" s="185"/>
      <c r="DD92" s="183">
        <v>197686918.80000001</v>
      </c>
      <c r="DE92" s="184"/>
      <c r="DF92" s="184"/>
      <c r="DG92" s="184"/>
      <c r="DH92" s="184"/>
      <c r="DI92" s="184"/>
      <c r="DJ92" s="185"/>
      <c r="DK92" s="183" t="s">
        <v>11</v>
      </c>
      <c r="DL92" s="184"/>
      <c r="DM92" s="184"/>
      <c r="DN92" s="184"/>
      <c r="DO92" s="184"/>
      <c r="DP92" s="184"/>
      <c r="DQ92" s="185"/>
      <c r="DR92" s="183">
        <v>163834315.33000001</v>
      </c>
      <c r="DS92" s="184"/>
      <c r="DT92" s="184"/>
      <c r="DU92" s="184"/>
      <c r="DV92" s="184"/>
      <c r="DW92" s="184"/>
      <c r="DX92" s="185"/>
      <c r="DY92" s="183" t="s">
        <v>11</v>
      </c>
      <c r="DZ92" s="184"/>
      <c r="EA92" s="184"/>
      <c r="EB92" s="184"/>
      <c r="EC92" s="184"/>
      <c r="ED92" s="184"/>
      <c r="EE92" s="185"/>
      <c r="EF92" s="183">
        <v>217420981.78</v>
      </c>
      <c r="EG92" s="184"/>
      <c r="EH92" s="184"/>
      <c r="EI92" s="184"/>
      <c r="EJ92" s="184"/>
      <c r="EK92" s="184"/>
      <c r="EL92" s="185"/>
      <c r="EM92" s="55" t="s">
        <v>11</v>
      </c>
      <c r="EN92" s="11">
        <f>F92+H92+J92+L92+N92+P92+R92+T92+V92+X92+Z92+AB92+AD92+AF92+AH92+AJ92+AL92+AN92+AP92+AR92+AZ92+BN92+CB92+CP92+DD92+DX92+EF92</f>
        <v>3169161254.4400005</v>
      </c>
      <c r="EO92" s="53" t="s">
        <v>35</v>
      </c>
    </row>
    <row r="93" spans="1:148" s="29" customFormat="1" ht="9" thickBot="1" x14ac:dyDescent="0.2">
      <c r="A93" s="30"/>
      <c r="B93" s="31"/>
      <c r="C93" s="31"/>
      <c r="D93" s="3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86"/>
      <c r="AR93" s="86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3"/>
    </row>
    <row r="94" spans="1:148" s="43" customFormat="1" ht="12.75" x14ac:dyDescent="0.2">
      <c r="A94" s="5" t="s">
        <v>46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/>
      <c r="AC94" s="5"/>
      <c r="AD94" s="6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5"/>
      <c r="EN94" s="36"/>
    </row>
    <row r="95" spans="1:148" s="43" customFormat="1" ht="12.75" x14ac:dyDescent="0.2">
      <c r="A95" s="5" t="s">
        <v>163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"/>
      <c r="AC95" s="5"/>
      <c r="AD95" s="6"/>
      <c r="AE95" s="5"/>
      <c r="AF95" s="5"/>
      <c r="AG95" s="5"/>
      <c r="AH95" s="5"/>
      <c r="AI95" s="5"/>
      <c r="AJ95" s="5"/>
      <c r="AK95" s="5"/>
      <c r="AL95" s="36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</row>
    <row r="96" spans="1:148" ht="15.75" thickBot="1" x14ac:dyDescent="0.3"/>
    <row r="97" spans="1:145" ht="18" x14ac:dyDescent="0.25">
      <c r="A97" s="186" t="s">
        <v>74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7"/>
      <c r="DT97" s="187"/>
      <c r="DU97" s="187"/>
      <c r="DV97" s="187"/>
      <c r="DW97" s="187"/>
      <c r="DX97" s="187"/>
      <c r="DY97" s="187"/>
      <c r="DZ97" s="187"/>
      <c r="EA97" s="187"/>
      <c r="EB97" s="187"/>
      <c r="EC97" s="187"/>
      <c r="ED97" s="187"/>
      <c r="EE97" s="187"/>
      <c r="EF97" s="187"/>
      <c r="EG97" s="187"/>
      <c r="EH97" s="187"/>
      <c r="EI97" s="187"/>
      <c r="EJ97" s="187"/>
      <c r="EK97" s="187"/>
      <c r="EL97" s="187"/>
      <c r="EM97" s="187"/>
      <c r="EN97" s="187"/>
      <c r="EO97" s="188"/>
    </row>
    <row r="98" spans="1:145" s="5" customFormat="1" ht="12.75" x14ac:dyDescent="0.2">
      <c r="A98" s="222" t="s">
        <v>78</v>
      </c>
      <c r="B98" s="44" t="s">
        <v>0</v>
      </c>
      <c r="C98" s="37" t="s">
        <v>1</v>
      </c>
      <c r="D98" s="37" t="s">
        <v>2</v>
      </c>
      <c r="E98" s="182">
        <v>1996</v>
      </c>
      <c r="F98" s="182"/>
      <c r="G98" s="182">
        <v>1997</v>
      </c>
      <c r="H98" s="182"/>
      <c r="I98" s="182">
        <v>1998</v>
      </c>
      <c r="J98" s="182"/>
      <c r="K98" s="182">
        <v>1999</v>
      </c>
      <c r="L98" s="182"/>
      <c r="M98" s="182">
        <v>2000</v>
      </c>
      <c r="N98" s="182"/>
      <c r="O98" s="182">
        <v>2001</v>
      </c>
      <c r="P98" s="182"/>
      <c r="Q98" s="182">
        <v>2002</v>
      </c>
      <c r="R98" s="182"/>
      <c r="S98" s="182">
        <v>2003</v>
      </c>
      <c r="T98" s="182"/>
      <c r="U98" s="182">
        <v>2004</v>
      </c>
      <c r="V98" s="182"/>
      <c r="W98" s="182">
        <v>2005</v>
      </c>
      <c r="X98" s="182"/>
      <c r="Y98" s="182">
        <v>2006</v>
      </c>
      <c r="Z98" s="182"/>
      <c r="AA98" s="182">
        <v>2007</v>
      </c>
      <c r="AB98" s="182"/>
      <c r="AC98" s="182">
        <v>2008</v>
      </c>
      <c r="AD98" s="182"/>
      <c r="AE98" s="182">
        <v>2009</v>
      </c>
      <c r="AF98" s="182"/>
      <c r="AG98" s="182">
        <v>2010</v>
      </c>
      <c r="AH98" s="182"/>
      <c r="AI98" s="182">
        <v>2011</v>
      </c>
      <c r="AJ98" s="182"/>
      <c r="AK98" s="182">
        <v>2012</v>
      </c>
      <c r="AL98" s="182"/>
      <c r="AM98" s="182">
        <v>2013</v>
      </c>
      <c r="AN98" s="182"/>
      <c r="AO98" s="173">
        <v>2014</v>
      </c>
      <c r="AP98" s="175"/>
      <c r="AQ98" s="173">
        <v>2015</v>
      </c>
      <c r="AR98" s="175"/>
      <c r="AS98" s="173">
        <v>2016</v>
      </c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5"/>
      <c r="BG98" s="173">
        <v>2017</v>
      </c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5"/>
      <c r="BU98" s="173">
        <v>2018</v>
      </c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5"/>
      <c r="CI98" s="173">
        <v>2019</v>
      </c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5"/>
      <c r="CW98" s="173">
        <v>2020</v>
      </c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5"/>
      <c r="DK98" s="173">
        <v>2021</v>
      </c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5"/>
      <c r="DY98" s="173">
        <v>2022</v>
      </c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5"/>
      <c r="EM98" s="182" t="s">
        <v>3</v>
      </c>
      <c r="EN98" s="182"/>
      <c r="EO98" s="38" t="s">
        <v>4</v>
      </c>
    </row>
    <row r="99" spans="1:145" x14ac:dyDescent="0.25">
      <c r="A99" s="205"/>
      <c r="B99" s="56" t="s">
        <v>79</v>
      </c>
      <c r="C99" s="51" t="s">
        <v>7</v>
      </c>
      <c r="D99" s="52">
        <v>39083</v>
      </c>
      <c r="E99" s="225"/>
      <c r="F99" s="226"/>
      <c r="G99" s="225"/>
      <c r="H99" s="226"/>
      <c r="I99" s="225"/>
      <c r="J99" s="226"/>
      <c r="K99" s="225"/>
      <c r="L99" s="226"/>
      <c r="M99" s="225"/>
      <c r="N99" s="226"/>
      <c r="O99" s="225"/>
      <c r="P99" s="226"/>
      <c r="Q99" s="225"/>
      <c r="R99" s="226"/>
      <c r="S99" s="225"/>
      <c r="T99" s="226"/>
      <c r="U99" s="225"/>
      <c r="V99" s="226"/>
      <c r="W99" s="225"/>
      <c r="X99" s="226"/>
      <c r="Y99" s="225"/>
      <c r="Z99" s="226"/>
      <c r="AA99" s="228">
        <v>84221.23</v>
      </c>
      <c r="AB99" s="229"/>
      <c r="AC99" s="228">
        <v>37618.5</v>
      </c>
      <c r="AD99" s="229"/>
      <c r="AE99" s="228">
        <v>160956.51</v>
      </c>
      <c r="AF99" s="229"/>
      <c r="AG99" s="228">
        <v>346245.19</v>
      </c>
      <c r="AH99" s="229"/>
      <c r="AI99" s="228">
        <v>556083.81000000006</v>
      </c>
      <c r="AJ99" s="229"/>
      <c r="AK99" s="228">
        <v>221694.7</v>
      </c>
      <c r="AL99" s="229"/>
      <c r="AM99" s="228">
        <v>76029.95</v>
      </c>
      <c r="AN99" s="229"/>
      <c r="AO99" s="228">
        <v>2124.9</v>
      </c>
      <c r="AP99" s="229"/>
      <c r="AQ99" s="228">
        <v>2535.6</v>
      </c>
      <c r="AR99" s="229"/>
      <c r="AS99" s="228">
        <v>0</v>
      </c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29"/>
      <c r="BG99" s="228">
        <v>0</v>
      </c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29"/>
      <c r="BU99" s="228">
        <v>0</v>
      </c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29"/>
      <c r="CI99" s="228">
        <v>0</v>
      </c>
      <c r="CJ99" s="230"/>
      <c r="CK99" s="230"/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29"/>
      <c r="CW99" s="228">
        <v>0</v>
      </c>
      <c r="CX99" s="230"/>
      <c r="CY99" s="230"/>
      <c r="CZ99" s="230"/>
      <c r="DA99" s="230"/>
      <c r="DB99" s="230"/>
      <c r="DC99" s="230"/>
      <c r="DD99" s="230"/>
      <c r="DE99" s="230"/>
      <c r="DF99" s="230"/>
      <c r="DG99" s="230"/>
      <c r="DH99" s="230"/>
      <c r="DI99" s="230"/>
      <c r="DJ99" s="229"/>
      <c r="DK99" s="228">
        <v>0</v>
      </c>
      <c r="DL99" s="230"/>
      <c r="DM99" s="230"/>
      <c r="DN99" s="230"/>
      <c r="DO99" s="230"/>
      <c r="DP99" s="230"/>
      <c r="DQ99" s="230"/>
      <c r="DR99" s="230"/>
      <c r="DS99" s="230"/>
      <c r="DT99" s="230"/>
      <c r="DU99" s="230"/>
      <c r="DV99" s="230"/>
      <c r="DW99" s="230"/>
      <c r="DX99" s="229"/>
      <c r="DY99" s="228">
        <v>0</v>
      </c>
      <c r="DZ99" s="230"/>
      <c r="EA99" s="230"/>
      <c r="EB99" s="230"/>
      <c r="EC99" s="230"/>
      <c r="ED99" s="230"/>
      <c r="EE99" s="230"/>
      <c r="EF99" s="230"/>
      <c r="EG99" s="230"/>
      <c r="EH99" s="230"/>
      <c r="EI99" s="230"/>
      <c r="EJ99" s="230"/>
      <c r="EK99" s="230"/>
      <c r="EL99" s="229"/>
      <c r="EM99" s="228">
        <f>E99+G99+I99+K99+M99+O99+Q99+S99+U99+W99+Y99+AA99+AC99+AE99+AG99+AI99+AK99+AM99+AO99+AQ99+AS99+BG99+CI99+CW99+DK99+DY99</f>
        <v>1487510.39</v>
      </c>
      <c r="EN99" s="229"/>
      <c r="EO99" s="53" t="s">
        <v>15</v>
      </c>
    </row>
    <row r="100" spans="1:145" s="29" customFormat="1" ht="9" thickBot="1" x14ac:dyDescent="0.2">
      <c r="A100" s="39"/>
      <c r="B100" s="40"/>
      <c r="C100" s="40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87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2"/>
    </row>
    <row r="101" spans="1:145" s="43" customFormat="1" ht="12.75" x14ac:dyDescent="0.2">
      <c r="A101" s="5" t="s">
        <v>75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</row>
    <row r="102" spans="1:145" s="43" customFormat="1" ht="12.75" x14ac:dyDescent="0.2">
      <c r="A102" s="5" t="s">
        <v>80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</row>
    <row r="103" spans="1:145" s="43" customFormat="1" ht="12.75" x14ac:dyDescent="0.2">
      <c r="A103" s="5" t="s">
        <v>163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</row>
    <row r="104" spans="1:145" ht="15.75" thickBot="1" x14ac:dyDescent="0.3"/>
    <row r="105" spans="1:145" s="43" customFormat="1" ht="18" x14ac:dyDescent="0.25">
      <c r="A105" s="186" t="s">
        <v>127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S105" s="187"/>
      <c r="DT105" s="187"/>
      <c r="DU105" s="187"/>
      <c r="DV105" s="187"/>
      <c r="DW105" s="187"/>
      <c r="DX105" s="187"/>
      <c r="DY105" s="187"/>
      <c r="DZ105" s="187"/>
      <c r="EA105" s="187"/>
      <c r="EB105" s="187"/>
      <c r="EC105" s="187"/>
      <c r="ED105" s="187"/>
      <c r="EE105" s="187"/>
      <c r="EF105" s="187"/>
      <c r="EG105" s="187"/>
      <c r="EH105" s="187"/>
      <c r="EI105" s="187"/>
      <c r="EJ105" s="187"/>
      <c r="EK105" s="187"/>
      <c r="EL105" s="187"/>
      <c r="EM105" s="187"/>
      <c r="EN105" s="187"/>
      <c r="EO105" s="188"/>
    </row>
    <row r="106" spans="1:145" s="43" customFormat="1" ht="12.75" x14ac:dyDescent="0.2">
      <c r="A106" s="117"/>
      <c r="B106" s="118"/>
      <c r="C106" s="119"/>
      <c r="D106" s="120"/>
      <c r="E106" s="182">
        <v>1996</v>
      </c>
      <c r="F106" s="182"/>
      <c r="G106" s="182">
        <v>1997</v>
      </c>
      <c r="H106" s="182"/>
      <c r="I106" s="182">
        <v>1998</v>
      </c>
      <c r="J106" s="182"/>
      <c r="K106" s="182">
        <v>1999</v>
      </c>
      <c r="L106" s="182"/>
      <c r="M106" s="182">
        <v>2000</v>
      </c>
      <c r="N106" s="182"/>
      <c r="O106" s="182">
        <v>2001</v>
      </c>
      <c r="P106" s="182"/>
      <c r="Q106" s="182">
        <v>2002</v>
      </c>
      <c r="R106" s="182"/>
      <c r="S106" s="182">
        <v>2003</v>
      </c>
      <c r="T106" s="182"/>
      <c r="U106" s="182">
        <v>2004</v>
      </c>
      <c r="V106" s="182"/>
      <c r="W106" s="182">
        <v>2005</v>
      </c>
      <c r="X106" s="182"/>
      <c r="Y106" s="182">
        <v>2006</v>
      </c>
      <c r="Z106" s="182"/>
      <c r="AA106" s="182">
        <v>2007</v>
      </c>
      <c r="AB106" s="182"/>
      <c r="AC106" s="182">
        <v>2008</v>
      </c>
      <c r="AD106" s="182"/>
      <c r="AE106" s="182">
        <v>2009</v>
      </c>
      <c r="AF106" s="182"/>
      <c r="AG106" s="182">
        <v>2010</v>
      </c>
      <c r="AH106" s="182"/>
      <c r="AI106" s="182">
        <v>2011</v>
      </c>
      <c r="AJ106" s="182"/>
      <c r="AK106" s="182">
        <v>2012</v>
      </c>
      <c r="AL106" s="182"/>
      <c r="AM106" s="182">
        <v>2013</v>
      </c>
      <c r="AN106" s="182"/>
      <c r="AO106" s="173">
        <v>2014</v>
      </c>
      <c r="AP106" s="174"/>
      <c r="AQ106" s="173">
        <v>2015</v>
      </c>
      <c r="AR106" s="175"/>
      <c r="AS106" s="173">
        <v>2016</v>
      </c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5"/>
      <c r="BG106" s="173">
        <v>2017</v>
      </c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5"/>
      <c r="BU106" s="173">
        <v>2018</v>
      </c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5"/>
      <c r="CI106" s="173">
        <v>2019</v>
      </c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5"/>
      <c r="CW106" s="173">
        <v>2020</v>
      </c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5"/>
      <c r="DK106" s="173">
        <v>2021</v>
      </c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5"/>
      <c r="DY106" s="173">
        <v>2022</v>
      </c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5"/>
      <c r="EM106" s="182" t="s">
        <v>3</v>
      </c>
      <c r="EN106" s="182"/>
      <c r="EO106" s="116"/>
    </row>
    <row r="107" spans="1:145" s="43" customFormat="1" ht="15" customHeight="1" thickBot="1" x14ac:dyDescent="0.25">
      <c r="A107" s="233" t="s">
        <v>129</v>
      </c>
      <c r="B107" s="234"/>
      <c r="C107" s="235"/>
      <c r="D107" s="122">
        <v>39083</v>
      </c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5"/>
      <c r="V107" s="115"/>
      <c r="W107" s="115"/>
      <c r="X107" s="115"/>
      <c r="Y107" s="115"/>
      <c r="Z107" s="115"/>
      <c r="AA107" s="231">
        <v>266492.77</v>
      </c>
      <c r="AB107" s="232"/>
      <c r="AC107" s="231">
        <v>165551.75</v>
      </c>
      <c r="AD107" s="232"/>
      <c r="AE107" s="231">
        <v>407980.7</v>
      </c>
      <c r="AF107" s="232"/>
      <c r="AG107" s="231">
        <v>3443949.75</v>
      </c>
      <c r="AH107" s="232"/>
      <c r="AI107" s="231">
        <v>3443416.8</v>
      </c>
      <c r="AJ107" s="232"/>
      <c r="AK107" s="231">
        <v>2957794.44</v>
      </c>
      <c r="AL107" s="232"/>
      <c r="AM107" s="231">
        <v>2234467.2599999998</v>
      </c>
      <c r="AN107" s="232"/>
      <c r="AO107" s="231">
        <v>1243162</v>
      </c>
      <c r="AP107" s="232"/>
      <c r="AQ107" s="231">
        <v>5631801.5099999998</v>
      </c>
      <c r="AR107" s="232"/>
      <c r="AS107" s="176">
        <v>2594500.8854999999</v>
      </c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8"/>
      <c r="BG107" s="176">
        <v>7071628.8799999999</v>
      </c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/>
      <c r="BU107" s="176">
        <v>7634864.8600000003</v>
      </c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8"/>
      <c r="CI107" s="176">
        <v>7599653.6500000004</v>
      </c>
      <c r="CJ107" s="177"/>
      <c r="CK107" s="177"/>
      <c r="CL107" s="177"/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8"/>
      <c r="CW107" s="176">
        <v>7887413.6200000001</v>
      </c>
      <c r="CX107" s="177"/>
      <c r="CY107" s="177"/>
      <c r="CZ107" s="177"/>
      <c r="DA107" s="177"/>
      <c r="DB107" s="177"/>
      <c r="DC107" s="177"/>
      <c r="DD107" s="177"/>
      <c r="DE107" s="177"/>
      <c r="DF107" s="177"/>
      <c r="DG107" s="177"/>
      <c r="DH107" s="177"/>
      <c r="DI107" s="177"/>
      <c r="DJ107" s="178"/>
      <c r="DK107" s="176">
        <v>7443937.4000000004</v>
      </c>
      <c r="DL107" s="177"/>
      <c r="DM107" s="177"/>
      <c r="DN107" s="177"/>
      <c r="DO107" s="177"/>
      <c r="DP107" s="177"/>
      <c r="DQ107" s="177"/>
      <c r="DR107" s="177"/>
      <c r="DS107" s="177"/>
      <c r="DT107" s="177"/>
      <c r="DU107" s="177"/>
      <c r="DV107" s="177"/>
      <c r="DW107" s="177"/>
      <c r="DX107" s="178"/>
      <c r="DY107" s="176">
        <v>9466752.2400000002</v>
      </c>
      <c r="DZ107" s="177"/>
      <c r="EA107" s="177"/>
      <c r="EB107" s="177"/>
      <c r="EC107" s="177"/>
      <c r="ED107" s="177"/>
      <c r="EE107" s="177"/>
      <c r="EF107" s="177"/>
      <c r="EG107" s="177"/>
      <c r="EH107" s="177"/>
      <c r="EI107" s="177"/>
      <c r="EJ107" s="177"/>
      <c r="EK107" s="177"/>
      <c r="EL107" s="178"/>
      <c r="EM107" s="231">
        <f>AA107+AC107+AE107+AG107+AI107+AK107+AM107+AO107+AQ107+AS107+BG107+BU107+CI107+CW107+DK107+DY107</f>
        <v>69493368.515499994</v>
      </c>
      <c r="EN107" s="232"/>
      <c r="EO107" s="121" t="s">
        <v>9</v>
      </c>
    </row>
    <row r="108" spans="1:145" s="43" customFormat="1" x14ac:dyDescent="0.25">
      <c r="A108" s="5" t="s">
        <v>130</v>
      </c>
      <c r="B108" s="61"/>
      <c r="C108" s="61"/>
      <c r="D108" s="61"/>
      <c r="E108" s="62"/>
      <c r="F108" s="46"/>
      <c r="G108" s="46"/>
      <c r="H108" s="46"/>
      <c r="I108" s="46"/>
      <c r="J108" s="46"/>
      <c r="K108" s="46"/>
      <c r="L108" s="46"/>
      <c r="M108" s="46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</row>
    <row r="109" spans="1:145" x14ac:dyDescent="0.25">
      <c r="A109" s="5" t="s">
        <v>163</v>
      </c>
    </row>
  </sheetData>
  <mergeCells count="221">
    <mergeCell ref="DY98:EL98"/>
    <mergeCell ref="DY99:EL99"/>
    <mergeCell ref="DY106:EL106"/>
    <mergeCell ref="DY107:EL107"/>
    <mergeCell ref="DY90:EL90"/>
    <mergeCell ref="DY92:EE92"/>
    <mergeCell ref="EF92:EL92"/>
    <mergeCell ref="A107:C107"/>
    <mergeCell ref="E106:F106"/>
    <mergeCell ref="G106:H106"/>
    <mergeCell ref="I106:J106"/>
    <mergeCell ref="K106:L106"/>
    <mergeCell ref="M106:N106"/>
    <mergeCell ref="AZ92:BF92"/>
    <mergeCell ref="AS92:AY92"/>
    <mergeCell ref="AS99:BF99"/>
    <mergeCell ref="AS98:BF98"/>
    <mergeCell ref="AK107:AL107"/>
    <mergeCell ref="AM107:AN107"/>
    <mergeCell ref="AO107:AP107"/>
    <mergeCell ref="AQ107:AR107"/>
    <mergeCell ref="AS107:BF107"/>
    <mergeCell ref="AQ98:AR98"/>
    <mergeCell ref="AQ99:AR99"/>
    <mergeCell ref="AA107:AB107"/>
    <mergeCell ref="AC107:AD107"/>
    <mergeCell ref="AE107:AF107"/>
    <mergeCell ref="AG107:AH107"/>
    <mergeCell ref="AI107:AJ107"/>
    <mergeCell ref="AO106:AP106"/>
    <mergeCell ref="AO99:AP99"/>
    <mergeCell ref="EM107:EN107"/>
    <mergeCell ref="AE106:AF106"/>
    <mergeCell ref="AG106:AH106"/>
    <mergeCell ref="AI106:AJ106"/>
    <mergeCell ref="AK106:AL106"/>
    <mergeCell ref="AM106:AN106"/>
    <mergeCell ref="BG107:BT107"/>
    <mergeCell ref="BU107:CH107"/>
    <mergeCell ref="CI106:CV106"/>
    <mergeCell ref="CI107:CV107"/>
    <mergeCell ref="BU106:CH106"/>
    <mergeCell ref="CW107:DJ107"/>
    <mergeCell ref="DK99:DX99"/>
    <mergeCell ref="O106:P106"/>
    <mergeCell ref="Q106:R106"/>
    <mergeCell ref="S106:T106"/>
    <mergeCell ref="U106:V106"/>
    <mergeCell ref="W106:X106"/>
    <mergeCell ref="Y106:Z106"/>
    <mergeCell ref="AA106:AB106"/>
    <mergeCell ref="AC106:AD106"/>
    <mergeCell ref="Q99:R99"/>
    <mergeCell ref="S99:T99"/>
    <mergeCell ref="O99:P99"/>
    <mergeCell ref="A105:EO105"/>
    <mergeCell ref="U99:V99"/>
    <mergeCell ref="I99:J99"/>
    <mergeCell ref="K99:L99"/>
    <mergeCell ref="BG99:BT99"/>
    <mergeCell ref="CW106:DJ106"/>
    <mergeCell ref="BG106:BT106"/>
    <mergeCell ref="AQ106:AR106"/>
    <mergeCell ref="EM106:EN106"/>
    <mergeCell ref="AS106:BF106"/>
    <mergeCell ref="BU99:CH99"/>
    <mergeCell ref="CW99:DJ99"/>
    <mergeCell ref="CI99:CV99"/>
    <mergeCell ref="G98:H98"/>
    <mergeCell ref="I98:J98"/>
    <mergeCell ref="K98:L98"/>
    <mergeCell ref="EM99:EN99"/>
    <mergeCell ref="W99:X99"/>
    <mergeCell ref="Y99:Z99"/>
    <mergeCell ref="AA99:AB99"/>
    <mergeCell ref="AC99:AD99"/>
    <mergeCell ref="AE99:AF99"/>
    <mergeCell ref="M99:N99"/>
    <mergeCell ref="AA98:AB98"/>
    <mergeCell ref="AC98:AD98"/>
    <mergeCell ref="AE98:AF98"/>
    <mergeCell ref="AG99:AH99"/>
    <mergeCell ref="AI99:AJ99"/>
    <mergeCell ref="AK99:AL99"/>
    <mergeCell ref="AM99:AN99"/>
    <mergeCell ref="Y98:Z98"/>
    <mergeCell ref="EM98:EN98"/>
    <mergeCell ref="CW98:DJ98"/>
    <mergeCell ref="CI98:CV98"/>
    <mergeCell ref="W98:X98"/>
    <mergeCell ref="M98:N98"/>
    <mergeCell ref="O98:P98"/>
    <mergeCell ref="A98:A99"/>
    <mergeCell ref="B92:C92"/>
    <mergeCell ref="D90:D91"/>
    <mergeCell ref="E90:F90"/>
    <mergeCell ref="E98:F98"/>
    <mergeCell ref="E99:F99"/>
    <mergeCell ref="G99:H99"/>
    <mergeCell ref="AO90:AP90"/>
    <mergeCell ref="S98:T98"/>
    <mergeCell ref="AM90:AN90"/>
    <mergeCell ref="AA90:AB90"/>
    <mergeCell ref="AK90:AL90"/>
    <mergeCell ref="W90:X90"/>
    <mergeCell ref="Y90:Z90"/>
    <mergeCell ref="M90:N90"/>
    <mergeCell ref="AG98:AH98"/>
    <mergeCell ref="AI98:AJ98"/>
    <mergeCell ref="AK98:AL98"/>
    <mergeCell ref="AM98:AN98"/>
    <mergeCell ref="A97:EO97"/>
    <mergeCell ref="Q98:R98"/>
    <mergeCell ref="U98:V98"/>
    <mergeCell ref="EM90:EN90"/>
    <mergeCell ref="EO90:EO91"/>
    <mergeCell ref="A90:A92"/>
    <mergeCell ref="B71:D71"/>
    <mergeCell ref="A74:A80"/>
    <mergeCell ref="U90:V90"/>
    <mergeCell ref="O90:P90"/>
    <mergeCell ref="Q90:R90"/>
    <mergeCell ref="S90:T90"/>
    <mergeCell ref="A12:A26"/>
    <mergeCell ref="S2:T2"/>
    <mergeCell ref="G90:H90"/>
    <mergeCell ref="I90:J90"/>
    <mergeCell ref="K90:L90"/>
    <mergeCell ref="B80:D80"/>
    <mergeCell ref="B37:D37"/>
    <mergeCell ref="A27:A37"/>
    <mergeCell ref="U2:V2"/>
    <mergeCell ref="B26:D26"/>
    <mergeCell ref="B58:D58"/>
    <mergeCell ref="A38:A58"/>
    <mergeCell ref="A81:D81"/>
    <mergeCell ref="B90:C91"/>
    <mergeCell ref="BU98:CH98"/>
    <mergeCell ref="BU92:CA92"/>
    <mergeCell ref="CB92:CH92"/>
    <mergeCell ref="CI3:CO3"/>
    <mergeCell ref="CP3:CV3"/>
    <mergeCell ref="CW3:DC3"/>
    <mergeCell ref="DD3:DJ3"/>
    <mergeCell ref="EO5:EO10"/>
    <mergeCell ref="BU3:CA3"/>
    <mergeCell ref="DK3:DQ3"/>
    <mergeCell ref="EO38:EO57"/>
    <mergeCell ref="EO74:EO79"/>
    <mergeCell ref="CI92:CO92"/>
    <mergeCell ref="CP92:CV92"/>
    <mergeCell ref="DK92:DQ92"/>
    <mergeCell ref="DK90:DX90"/>
    <mergeCell ref="A89:EO89"/>
    <mergeCell ref="A59:A71"/>
    <mergeCell ref="B73:D73"/>
    <mergeCell ref="A72:A73"/>
    <mergeCell ref="AQ90:AR90"/>
    <mergeCell ref="AS90:BF90"/>
    <mergeCell ref="A5:A11"/>
    <mergeCell ref="B11:D11"/>
    <mergeCell ref="CW90:DJ90"/>
    <mergeCell ref="CW92:DC92"/>
    <mergeCell ref="DD92:DJ92"/>
    <mergeCell ref="Y2:Z2"/>
    <mergeCell ref="EO12:EO25"/>
    <mergeCell ref="DR92:DX92"/>
    <mergeCell ref="EO27:EO36"/>
    <mergeCell ref="EO59:EO70"/>
    <mergeCell ref="BU90:CH90"/>
    <mergeCell ref="DY2:EL2"/>
    <mergeCell ref="DY3:EE3"/>
    <mergeCell ref="EF3:EL3"/>
    <mergeCell ref="A1:EO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AM2:AN2"/>
    <mergeCell ref="EO2:EO3"/>
    <mergeCell ref="AK2:AL2"/>
    <mergeCell ref="EM2:EN2"/>
    <mergeCell ref="AI2:AJ2"/>
    <mergeCell ref="Q2:R2"/>
    <mergeCell ref="AC2:AD2"/>
    <mergeCell ref="BG2:BT2"/>
    <mergeCell ref="BG3:BM3"/>
    <mergeCell ref="BN3:BT3"/>
    <mergeCell ref="BU2:CH2"/>
    <mergeCell ref="CI2:CV2"/>
    <mergeCell ref="W2:X2"/>
    <mergeCell ref="CB3:CH3"/>
    <mergeCell ref="DK98:DX98"/>
    <mergeCell ref="DK106:DX106"/>
    <mergeCell ref="DK107:DX107"/>
    <mergeCell ref="DR3:DX3"/>
    <mergeCell ref="AA2:AB2"/>
    <mergeCell ref="AC90:AD90"/>
    <mergeCell ref="AE90:AF90"/>
    <mergeCell ref="AG90:AH90"/>
    <mergeCell ref="AI90:AJ90"/>
    <mergeCell ref="CI90:CV90"/>
    <mergeCell ref="BG98:BT98"/>
    <mergeCell ref="AO98:AP98"/>
    <mergeCell ref="CW2:DJ2"/>
    <mergeCell ref="DK2:DX2"/>
    <mergeCell ref="BG92:BM92"/>
    <mergeCell ref="BN92:BT92"/>
    <mergeCell ref="BG90:BT90"/>
    <mergeCell ref="AS3:AY3"/>
    <mergeCell ref="AZ3:BF3"/>
    <mergeCell ref="AS2:BF2"/>
    <mergeCell ref="AQ2:AR2"/>
    <mergeCell ref="AE2:AF2"/>
    <mergeCell ref="AG2:AH2"/>
    <mergeCell ref="AO2:AP2"/>
  </mergeCells>
  <hyperlinks>
    <hyperlink ref="A95" r:id="rId1" display="3- Sobre os valores cobrados 2004/2007 e arrecadados 2004/2006, ver Nota Técnica nº 001/2008/DGRH." xr:uid="{6D424AB1-E61C-4D54-9B32-1670211F60AC}"/>
    <hyperlink ref="A103" r:id="rId2" display="3- Sobre os valores cobrados 2004/2007 e arrecadados 2004/2006, ver Nota Técnica nº 001/2008/DGRH." xr:uid="{01E95CE8-D3E6-468C-B3EB-0DBC91DD4C07}"/>
    <hyperlink ref="A109" r:id="rId3" display="3- Sobre os valores cobrados 2004/2007 e arrecadados 2004/2006, ver Nota Técnica nº 001/2008/DGRH." xr:uid="{18CC4CA7-357D-43E7-9916-CAEDF3F739DF}"/>
    <hyperlink ref="A87" r:id="rId4" display="3- Sobre os valores cobrados 2004/2007 e arrecadados 2004/2006, ver Nota Técnica nº 001/2008/DGRH." xr:uid="{4F30F3C2-4FA7-4430-AD9D-93B78EF94E5A}"/>
  </hyperlinks>
  <printOptions horizontalCentered="1" verticalCentered="1"/>
  <pageMargins left="0" right="0" top="0.78740157480314965" bottom="0.78740157480314965" header="0.31496062992125984" footer="0.31496062992125984"/>
  <pageSetup paperSize="8" scale="24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workbookViewId="0">
      <selection sqref="A1:F1"/>
    </sheetView>
  </sheetViews>
  <sheetFormatPr defaultRowHeight="12.75" x14ac:dyDescent="0.2"/>
  <cols>
    <col min="1" max="1" width="39" style="5" bestFit="1" customWidth="1"/>
    <col min="2" max="2" width="8.140625" style="5" customWidth="1"/>
    <col min="3" max="4" width="14" style="5" bestFit="1" customWidth="1"/>
    <col min="5" max="6" width="15.7109375" style="5" bestFit="1" customWidth="1"/>
    <col min="7" max="8" width="9.140625" style="5"/>
    <col min="9" max="12" width="14.85546875" style="5" customWidth="1"/>
    <col min="13" max="13" width="9.140625" style="5"/>
    <col min="14" max="17" width="17.7109375" style="5" customWidth="1"/>
    <col min="18" max="16384" width="9.140625" style="5"/>
  </cols>
  <sheetData>
    <row r="1" spans="1:9" x14ac:dyDescent="0.2">
      <c r="A1" s="236" t="s">
        <v>106</v>
      </c>
      <c r="B1" s="237"/>
      <c r="C1" s="237"/>
      <c r="D1" s="237"/>
      <c r="E1" s="237"/>
      <c r="F1" s="238"/>
    </row>
    <row r="2" spans="1:9" x14ac:dyDescent="0.2">
      <c r="A2" s="189" t="s">
        <v>64</v>
      </c>
      <c r="B2" s="190" t="s">
        <v>2</v>
      </c>
      <c r="C2" s="182">
        <v>2022</v>
      </c>
      <c r="D2" s="182"/>
      <c r="E2" s="182" t="s">
        <v>67</v>
      </c>
      <c r="F2" s="239"/>
    </row>
    <row r="3" spans="1:9" x14ac:dyDescent="0.2">
      <c r="A3" s="189"/>
      <c r="B3" s="190"/>
      <c r="C3" s="37" t="s">
        <v>5</v>
      </c>
      <c r="D3" s="37" t="s">
        <v>6</v>
      </c>
      <c r="E3" s="37" t="s">
        <v>5</v>
      </c>
      <c r="F3" s="38" t="s">
        <v>6</v>
      </c>
    </row>
    <row r="4" spans="1:9" x14ac:dyDescent="0.2">
      <c r="A4" s="189" t="s">
        <v>65</v>
      </c>
      <c r="B4" s="190"/>
      <c r="C4" s="190"/>
      <c r="D4" s="190"/>
      <c r="E4" s="190"/>
      <c r="F4" s="227"/>
    </row>
    <row r="5" spans="1:9" x14ac:dyDescent="0.2">
      <c r="A5" s="16" t="s">
        <v>12</v>
      </c>
      <c r="B5" s="2">
        <f>cobranças!D5</f>
        <v>37681</v>
      </c>
      <c r="C5" s="91">
        <f>cobranças!EE5/1000000</f>
        <v>28.220682090000022</v>
      </c>
      <c r="D5" s="91">
        <f>cobranças!EL5/1000000</f>
        <v>27.93713571</v>
      </c>
      <c r="E5" s="91">
        <f>cobranças!EM5/1000000</f>
        <v>258.31731982000002</v>
      </c>
      <c r="F5" s="98">
        <f>cobranças!EN5/1000000</f>
        <v>250.44554234999998</v>
      </c>
    </row>
    <row r="6" spans="1:9" x14ac:dyDescent="0.2">
      <c r="A6" s="16" t="s">
        <v>63</v>
      </c>
      <c r="B6" s="2">
        <f>cobranças!D6</f>
        <v>38718</v>
      </c>
      <c r="C6" s="91">
        <f>cobranças!EE6/1000000</f>
        <v>27.138245299999994</v>
      </c>
      <c r="D6" s="91">
        <f>cobranças!EL6/1000000</f>
        <v>22.056836100000002</v>
      </c>
      <c r="E6" s="91">
        <f>cobranças!EM6/1000000</f>
        <v>318.64997450999999</v>
      </c>
      <c r="F6" s="98">
        <f>cobranças!EN6/1000000</f>
        <v>279.74554236300003</v>
      </c>
    </row>
    <row r="7" spans="1:9" x14ac:dyDescent="0.2">
      <c r="A7" s="16" t="s">
        <v>55</v>
      </c>
      <c r="B7" s="2">
        <f>cobranças!D7</f>
        <v>40360</v>
      </c>
      <c r="C7" s="91">
        <f>cobranças!EE7/1000000</f>
        <v>48.57531301999957</v>
      </c>
      <c r="D7" s="91">
        <f>cobranças!EL7/1000000</f>
        <v>41.064596389999998</v>
      </c>
      <c r="E7" s="91">
        <f>cobranças!EM7/1000000</f>
        <v>367.36597175999981</v>
      </c>
      <c r="F7" s="98">
        <f>cobranças!EN7/1000000</f>
        <v>324.40461404999996</v>
      </c>
    </row>
    <row r="8" spans="1:9" x14ac:dyDescent="0.2">
      <c r="A8" s="16" t="s">
        <v>56</v>
      </c>
      <c r="B8" s="2">
        <f>cobranças!D8</f>
        <v>40848</v>
      </c>
      <c r="C8" s="91">
        <f>cobranças!EE8/1000000</f>
        <v>17.419166809999997</v>
      </c>
      <c r="D8" s="91">
        <f>cobranças!EL8/1000000</f>
        <v>15.819982320000001</v>
      </c>
      <c r="E8" s="91">
        <f>cobranças!EM8/1000000</f>
        <v>130.68367835999999</v>
      </c>
      <c r="F8" s="98">
        <f>cobranças!EN8/1000000</f>
        <v>116.92489309999999</v>
      </c>
    </row>
    <row r="9" spans="1:9" x14ac:dyDescent="0.2">
      <c r="A9" s="133" t="s">
        <v>152</v>
      </c>
      <c r="B9" s="131">
        <v>42795</v>
      </c>
      <c r="C9" s="91">
        <f>cobranças!EE9/1000000</f>
        <v>17.222178499999981</v>
      </c>
      <c r="D9" s="91">
        <f>cobranças!EL9/1000000</f>
        <v>17.50061797</v>
      </c>
      <c r="E9" s="91">
        <f>cobranças!EM9/1000000</f>
        <v>56.715608509999974</v>
      </c>
      <c r="F9" s="98">
        <f>cobranças!EN9/1000000</f>
        <v>53.956052719999995</v>
      </c>
    </row>
    <row r="10" spans="1:9" x14ac:dyDescent="0.2">
      <c r="A10" s="15" t="s">
        <v>153</v>
      </c>
      <c r="B10" s="131">
        <v>42826</v>
      </c>
      <c r="C10" s="91">
        <f>cobranças!EE10/1000000</f>
        <v>0.12781837000000001</v>
      </c>
      <c r="D10" s="91">
        <f>cobranças!EL10/1000000</f>
        <v>0.10647475000000001</v>
      </c>
      <c r="E10" s="91">
        <f>cobranças!EM10/1000000</f>
        <v>0.72217884999999993</v>
      </c>
      <c r="F10" s="98">
        <f>cobranças!EN10/1000000</f>
        <v>0.62191976999999998</v>
      </c>
    </row>
    <row r="11" spans="1:9" x14ac:dyDescent="0.2">
      <c r="A11" s="196" t="s">
        <v>67</v>
      </c>
      <c r="B11" s="207"/>
      <c r="C11" s="93">
        <f>SUM(C5:C10)</f>
        <v>138.70340408999957</v>
      </c>
      <c r="D11" s="93">
        <f>SUM(D5:D10)</f>
        <v>124.48564324000002</v>
      </c>
      <c r="E11" s="93">
        <f>SUM(E5:E10)</f>
        <v>1132.4547318099999</v>
      </c>
      <c r="F11" s="99">
        <f>SUM(F5:F10)</f>
        <v>1026.0985643529998</v>
      </c>
      <c r="H11" s="6"/>
      <c r="I11" s="36"/>
    </row>
    <row r="12" spans="1:9" x14ac:dyDescent="0.2">
      <c r="A12" s="189" t="s">
        <v>66</v>
      </c>
      <c r="B12" s="190"/>
      <c r="C12" s="190"/>
      <c r="D12" s="190"/>
      <c r="E12" s="190"/>
      <c r="F12" s="227"/>
    </row>
    <row r="13" spans="1:9" x14ac:dyDescent="0.2">
      <c r="A13" s="17" t="s">
        <v>57</v>
      </c>
      <c r="B13" s="102">
        <f>cobranças!D12</f>
        <v>35370</v>
      </c>
      <c r="C13" s="91">
        <f>cobranças!EE26/1000000</f>
        <v>175.45463378999997</v>
      </c>
      <c r="D13" s="91">
        <f>cobranças!EL26/1000000</f>
        <v>165.48610279000002</v>
      </c>
      <c r="E13" s="91">
        <f>cobranças!EM26/1000000</f>
        <v>1762.6876485</v>
      </c>
      <c r="F13" s="98">
        <f>cobranças!EN26/1000000</f>
        <v>1721.7296736800001</v>
      </c>
    </row>
    <row r="14" spans="1:9" ht="12.75" customHeight="1" x14ac:dyDescent="0.2">
      <c r="A14" s="16" t="s">
        <v>58</v>
      </c>
      <c r="B14" s="2">
        <f>cobranças!D27</f>
        <v>37987</v>
      </c>
      <c r="C14" s="91">
        <f>cobranças!EE37/1000000</f>
        <v>75.146816999999999</v>
      </c>
      <c r="D14" s="91">
        <f>cobranças!EL37/1000000</f>
        <v>76.008763000000002</v>
      </c>
      <c r="E14" s="91">
        <f>cobranças!EM37/1000000</f>
        <v>645.66626073470115</v>
      </c>
      <c r="F14" s="98">
        <f>cobranças!EN37/1000000</f>
        <v>601.37121576000004</v>
      </c>
    </row>
    <row r="15" spans="1:9" x14ac:dyDescent="0.2">
      <c r="A15" s="16" t="s">
        <v>59</v>
      </c>
      <c r="B15" s="2">
        <f>cobranças!D38</f>
        <v>39083</v>
      </c>
      <c r="C15" s="171">
        <f>cobranças!EE58/1000000</f>
        <v>186.6476460852769</v>
      </c>
      <c r="D15" s="91">
        <f>cobranças!EL58/1000000</f>
        <v>173.46534852000002</v>
      </c>
      <c r="E15" s="91">
        <f>cobranças!EM58/1000000</f>
        <v>1298.6812367952766</v>
      </c>
      <c r="F15" s="98">
        <f>cobranças!EN58/1000000</f>
        <v>1210.7920963399999</v>
      </c>
    </row>
    <row r="16" spans="1:9" x14ac:dyDescent="0.2">
      <c r="A16" s="16" t="s">
        <v>60</v>
      </c>
      <c r="B16" s="2">
        <f>cobranças!D59</f>
        <v>40179</v>
      </c>
      <c r="C16" s="91">
        <f>cobranças!EE71/1000000</f>
        <v>48.725069279999985</v>
      </c>
      <c r="D16" s="91">
        <f>cobranças!EL71/1000000</f>
        <v>38.89192331000001</v>
      </c>
      <c r="E16" s="91">
        <f>cobranças!EM71/1000000</f>
        <v>460.21263624360006</v>
      </c>
      <c r="F16" s="98">
        <f>cobranças!EN71/1000000</f>
        <v>394.26680591788619</v>
      </c>
    </row>
    <row r="17" spans="1:12" x14ac:dyDescent="0.2">
      <c r="A17" s="16" t="s">
        <v>61</v>
      </c>
      <c r="B17" s="2">
        <f>cobranças!D72</f>
        <v>41518</v>
      </c>
      <c r="C17" s="100">
        <f>cobranças!EE73/1000000</f>
        <v>4.7143327300000006</v>
      </c>
      <c r="D17" s="100">
        <f>cobranças!EL73/1000000</f>
        <v>1.63786802</v>
      </c>
      <c r="E17" s="91">
        <f>cobranças!EM73/1000000</f>
        <v>33.24908765</v>
      </c>
      <c r="F17" s="98">
        <f>cobranças!EN73/1000000</f>
        <v>28.825563169999999</v>
      </c>
    </row>
    <row r="18" spans="1:12" x14ac:dyDescent="0.2">
      <c r="A18" s="16" t="s">
        <v>100</v>
      </c>
      <c r="B18" s="2">
        <v>42005</v>
      </c>
      <c r="C18" s="91">
        <f>cobranças!EE80/1000000</f>
        <v>6.7077796199999993</v>
      </c>
      <c r="D18" s="91">
        <f>cobranças!EL80/1000000</f>
        <v>5.5901032400000004</v>
      </c>
      <c r="E18" s="91">
        <f>cobranças!EM80/1000000</f>
        <v>30.322594679999995</v>
      </c>
      <c r="F18" s="98">
        <f>cobranças!EN80/1000000</f>
        <v>27.220127139999999</v>
      </c>
    </row>
    <row r="19" spans="1:12" x14ac:dyDescent="0.2">
      <c r="A19" s="196" t="s">
        <v>67</v>
      </c>
      <c r="B19" s="207"/>
      <c r="C19" s="93">
        <f>SUM(C13:C18)</f>
        <v>497.39627850527688</v>
      </c>
      <c r="D19" s="93">
        <f>SUM(D13:D18)</f>
        <v>461.08010888000001</v>
      </c>
      <c r="E19" s="93">
        <f>SUM(E13:E18)</f>
        <v>4230.8194646035772</v>
      </c>
      <c r="F19" s="99">
        <f>SUM(F13:F18)</f>
        <v>3984.2054820078865</v>
      </c>
    </row>
    <row r="20" spans="1:12" ht="15.75" customHeight="1" thickBot="1" x14ac:dyDescent="0.3">
      <c r="A20" s="240" t="s">
        <v>128</v>
      </c>
      <c r="B20" s="241"/>
      <c r="C20" s="97">
        <f>C19+C11</f>
        <v>636.09968259527648</v>
      </c>
      <c r="D20" s="97">
        <f>D19+D11</f>
        <v>585.56575212000007</v>
      </c>
      <c r="E20" s="97">
        <f>E19+E11</f>
        <v>5363.2741964135766</v>
      </c>
      <c r="F20" s="101">
        <f>F19+F11</f>
        <v>5010.3040463608868</v>
      </c>
    </row>
    <row r="21" spans="1:12" x14ac:dyDescent="0.2">
      <c r="C21" s="6"/>
      <c r="D21" s="6"/>
      <c r="E21" s="6"/>
      <c r="F21" s="6"/>
    </row>
    <row r="22" spans="1:12" ht="13.5" thickBot="1" x14ac:dyDescent="0.25"/>
    <row r="23" spans="1:12" ht="15.75" customHeight="1" x14ac:dyDescent="0.2">
      <c r="I23" s="236" t="s">
        <v>108</v>
      </c>
      <c r="J23" s="237"/>
      <c r="K23" s="237"/>
      <c r="L23" s="238"/>
    </row>
    <row r="24" spans="1:12" ht="15" customHeight="1" x14ac:dyDescent="0.2">
      <c r="C24" s="6"/>
      <c r="D24" s="6"/>
      <c r="E24" s="6"/>
      <c r="F24" s="6"/>
      <c r="I24" s="90" t="s">
        <v>68</v>
      </c>
      <c r="J24" s="37" t="s">
        <v>2</v>
      </c>
      <c r="K24" s="37">
        <v>2022</v>
      </c>
      <c r="L24" s="38" t="s">
        <v>67</v>
      </c>
    </row>
    <row r="25" spans="1:12" ht="13.5" thickBot="1" x14ac:dyDescent="0.25">
      <c r="I25" s="19" t="s">
        <v>45</v>
      </c>
      <c r="J25" s="35">
        <f>cobranças!D92</f>
        <v>2001</v>
      </c>
      <c r="K25" s="103">
        <f>cobranças!EF92/1000000</f>
        <v>217.42098178000001</v>
      </c>
      <c r="L25" s="104">
        <f>cobranças!EN92/1000000</f>
        <v>3169.1612544400004</v>
      </c>
    </row>
    <row r="26" spans="1:12" ht="13.5" thickBot="1" x14ac:dyDescent="0.25"/>
    <row r="27" spans="1:12" x14ac:dyDescent="0.2">
      <c r="I27" s="236" t="s">
        <v>109</v>
      </c>
      <c r="J27" s="237"/>
      <c r="K27" s="237"/>
      <c r="L27" s="238"/>
    </row>
    <row r="28" spans="1:12" x14ac:dyDescent="0.2">
      <c r="I28" s="90" t="s">
        <v>68</v>
      </c>
      <c r="J28" s="37" t="s">
        <v>2</v>
      </c>
      <c r="K28" s="37">
        <v>2022</v>
      </c>
      <c r="L28" s="38" t="s">
        <v>67</v>
      </c>
    </row>
    <row r="29" spans="1:12" ht="13.5" thickBot="1" x14ac:dyDescent="0.25">
      <c r="I29" s="19" t="s">
        <v>102</v>
      </c>
      <c r="J29" s="35">
        <v>2007</v>
      </c>
      <c r="K29" s="103">
        <f>cobranças!DY99</f>
        <v>0</v>
      </c>
      <c r="L29" s="104">
        <f>cobranças!EM99/1000000</f>
        <v>1.48751039</v>
      </c>
    </row>
    <row r="30" spans="1:12" ht="13.5" thickBot="1" x14ac:dyDescent="0.25"/>
    <row r="31" spans="1:12" ht="25.5" customHeight="1" x14ac:dyDescent="0.2">
      <c r="I31" s="236" t="s">
        <v>132</v>
      </c>
      <c r="J31" s="237"/>
      <c r="K31" s="237"/>
      <c r="L31" s="238"/>
    </row>
    <row r="32" spans="1:12" x14ac:dyDescent="0.2">
      <c r="I32" s="90"/>
      <c r="J32" s="37" t="s">
        <v>2</v>
      </c>
      <c r="K32" s="37">
        <v>2022</v>
      </c>
      <c r="L32" s="38" t="s">
        <v>67</v>
      </c>
    </row>
    <row r="33" spans="9:12" ht="26.25" thickBot="1" x14ac:dyDescent="0.25">
      <c r="I33" s="19" t="s">
        <v>131</v>
      </c>
      <c r="J33" s="113">
        <v>39083</v>
      </c>
      <c r="K33" s="125">
        <f>cobranças!DY107</f>
        <v>9466752.2400000002</v>
      </c>
      <c r="L33" s="142">
        <f>cobranças!EM107/1000000</f>
        <v>69.493368515499995</v>
      </c>
    </row>
    <row r="37" spans="9:12" ht="15" customHeight="1" x14ac:dyDescent="0.2"/>
  </sheetData>
  <mergeCells count="13">
    <mergeCell ref="I31:L31"/>
    <mergeCell ref="A1:F1"/>
    <mergeCell ref="A4:F4"/>
    <mergeCell ref="A12:F12"/>
    <mergeCell ref="B2:B3"/>
    <mergeCell ref="A11:B11"/>
    <mergeCell ref="I27:L27"/>
    <mergeCell ref="I23:L23"/>
    <mergeCell ref="A19:B19"/>
    <mergeCell ref="E2:F2"/>
    <mergeCell ref="C2:D2"/>
    <mergeCell ref="A2:A3"/>
    <mergeCell ref="A20:B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9"/>
  <sheetViews>
    <sheetView workbookViewId="0">
      <selection sqref="A1:H1"/>
    </sheetView>
  </sheetViews>
  <sheetFormatPr defaultRowHeight="15" x14ac:dyDescent="0.25"/>
  <cols>
    <col min="1" max="1" width="18.140625" style="5" customWidth="1"/>
    <col min="2" max="2" width="39" style="5" bestFit="1" customWidth="1"/>
    <col min="3" max="3" width="8.5703125" style="5" bestFit="1" customWidth="1"/>
    <col min="4" max="4" width="6.7109375" style="5" bestFit="1" customWidth="1"/>
    <col min="5" max="8" width="12.28515625" style="5" customWidth="1"/>
    <col min="9" max="9" width="10.140625" bestFit="1" customWidth="1"/>
    <col min="10" max="10" width="15.140625" customWidth="1"/>
    <col min="11" max="11" width="14" bestFit="1" customWidth="1"/>
    <col min="12" max="12" width="15.28515625" customWidth="1"/>
    <col min="13" max="14" width="12.140625" customWidth="1"/>
    <col min="15" max="15" width="15.7109375" customWidth="1"/>
    <col min="16" max="17" width="12.140625" customWidth="1"/>
  </cols>
  <sheetData>
    <row r="1" spans="1:14" s="43" customFormat="1" ht="12.75" x14ac:dyDescent="0.2">
      <c r="A1" s="236" t="s">
        <v>110</v>
      </c>
      <c r="B1" s="237"/>
      <c r="C1" s="237"/>
      <c r="D1" s="237"/>
      <c r="E1" s="237"/>
      <c r="F1" s="237"/>
      <c r="G1" s="237"/>
      <c r="H1" s="238"/>
    </row>
    <row r="2" spans="1:14" s="5" customFormat="1" ht="12.75" x14ac:dyDescent="0.2">
      <c r="A2" s="189" t="s">
        <v>0</v>
      </c>
      <c r="B2" s="190"/>
      <c r="C2" s="190" t="s">
        <v>1</v>
      </c>
      <c r="D2" s="190" t="s">
        <v>2</v>
      </c>
      <c r="E2" s="182">
        <v>2022</v>
      </c>
      <c r="F2" s="182"/>
      <c r="G2" s="182" t="s">
        <v>3</v>
      </c>
      <c r="H2" s="239"/>
    </row>
    <row r="3" spans="1:14" s="5" customFormat="1" ht="12.75" x14ac:dyDescent="0.2">
      <c r="A3" s="189"/>
      <c r="B3" s="190"/>
      <c r="C3" s="190"/>
      <c r="D3" s="190"/>
      <c r="E3" s="37" t="s">
        <v>81</v>
      </c>
      <c r="F3" s="37" t="s">
        <v>6</v>
      </c>
      <c r="G3" s="37" t="s">
        <v>5</v>
      </c>
      <c r="H3" s="38" t="s">
        <v>6</v>
      </c>
    </row>
    <row r="4" spans="1:14" s="5" customFormat="1" ht="12.75" x14ac:dyDescent="0.2">
      <c r="A4" s="196" t="s">
        <v>38</v>
      </c>
      <c r="B4" s="15" t="s">
        <v>73</v>
      </c>
      <c r="C4" s="1" t="s">
        <v>7</v>
      </c>
      <c r="D4" s="2">
        <f>cobranças!D5</f>
        <v>37681</v>
      </c>
      <c r="E4" s="91">
        <f>cobranças!EE5/1000000</f>
        <v>28.220682090000022</v>
      </c>
      <c r="F4" s="91">
        <f>cobranças!EL5/1000000</f>
        <v>27.93713571</v>
      </c>
      <c r="G4" s="91">
        <f>cobranças!EM5/1000000</f>
        <v>258.31731982000002</v>
      </c>
      <c r="H4" s="98">
        <f>cobranças!EN5/1000000</f>
        <v>250.44554234999998</v>
      </c>
      <c r="J4" s="139">
        <f>cobranças!EM5/1000000-G4</f>
        <v>0</v>
      </c>
      <c r="K4" s="139">
        <f>cobranças!EN5/1000000-H4</f>
        <v>0</v>
      </c>
      <c r="L4" s="139"/>
      <c r="M4" s="139"/>
      <c r="N4" s="139"/>
    </row>
    <row r="5" spans="1:14" s="5" customFormat="1" ht="15" customHeight="1" x14ac:dyDescent="0.2">
      <c r="A5" s="196"/>
      <c r="B5" s="15" t="s">
        <v>71</v>
      </c>
      <c r="C5" s="1" t="s">
        <v>7</v>
      </c>
      <c r="D5" s="2">
        <f>cobranças!D6</f>
        <v>38718</v>
      </c>
      <c r="E5" s="91">
        <f>cobranças!EE6/1000000</f>
        <v>27.138245299999994</v>
      </c>
      <c r="F5" s="91">
        <f>cobranças!EL6/1000000</f>
        <v>22.056836100000002</v>
      </c>
      <c r="G5" s="91">
        <f>cobranças!EM6/1000000</f>
        <v>318.64997450999999</v>
      </c>
      <c r="H5" s="98">
        <f>cobranças!EN6/1000000</f>
        <v>279.74554236300003</v>
      </c>
      <c r="J5" s="139">
        <f>cobranças!EM6/1000000-G5</f>
        <v>0</v>
      </c>
      <c r="K5" s="139">
        <f>cobranças!EN6/1000000-H5</f>
        <v>0</v>
      </c>
      <c r="L5" s="139"/>
      <c r="M5" s="139"/>
      <c r="N5" s="139"/>
    </row>
    <row r="6" spans="1:14" s="5" customFormat="1" ht="12.75" x14ac:dyDescent="0.2">
      <c r="A6" s="196"/>
      <c r="B6" s="15" t="s">
        <v>72</v>
      </c>
      <c r="C6" s="1" t="s">
        <v>7</v>
      </c>
      <c r="D6" s="2">
        <f>cobranças!D7</f>
        <v>40360</v>
      </c>
      <c r="E6" s="91">
        <f>cobranças!EE7/1000000</f>
        <v>48.57531301999957</v>
      </c>
      <c r="F6" s="91">
        <f>cobranças!EL7/1000000</f>
        <v>41.064596389999998</v>
      </c>
      <c r="G6" s="91">
        <f>cobranças!EM7/1000000</f>
        <v>367.36597175999981</v>
      </c>
      <c r="H6" s="98">
        <f>cobranças!EN7/1000000</f>
        <v>324.40461404999996</v>
      </c>
      <c r="J6" s="139">
        <f>cobranças!EM7/1000000-G6</f>
        <v>0</v>
      </c>
      <c r="K6" s="139">
        <f>cobranças!EN7/1000000-H6</f>
        <v>0</v>
      </c>
      <c r="L6" s="139"/>
      <c r="M6" s="139"/>
      <c r="N6" s="139"/>
    </row>
    <row r="7" spans="1:14" s="5" customFormat="1" ht="12.75" x14ac:dyDescent="0.2">
      <c r="A7" s="196"/>
      <c r="B7" s="15" t="s">
        <v>103</v>
      </c>
      <c r="C7" s="1" t="s">
        <v>7</v>
      </c>
      <c r="D7" s="2">
        <f>cobranças!D8</f>
        <v>40848</v>
      </c>
      <c r="E7" s="95">
        <f>cobranças!EE8/1000000</f>
        <v>17.419166809999997</v>
      </c>
      <c r="F7" s="95">
        <f>cobranças!EL8/1000000</f>
        <v>15.819982320000001</v>
      </c>
      <c r="G7" s="91">
        <f>cobranças!EM8/1000000</f>
        <v>130.68367835999999</v>
      </c>
      <c r="H7" s="98">
        <f>cobranças!EN8/1000000</f>
        <v>116.92489309999999</v>
      </c>
      <c r="J7" s="139">
        <f>cobranças!EM8/1000000-G7</f>
        <v>0</v>
      </c>
      <c r="K7" s="139">
        <f>cobranças!EN8/1000000-H7</f>
        <v>0</v>
      </c>
      <c r="L7" s="139"/>
      <c r="M7" s="139"/>
      <c r="N7" s="139"/>
    </row>
    <row r="8" spans="1:14" s="5" customFormat="1" ht="12.75" x14ac:dyDescent="0.2">
      <c r="A8" s="196"/>
      <c r="B8" s="133" t="s">
        <v>152</v>
      </c>
      <c r="C8" s="1" t="s">
        <v>7</v>
      </c>
      <c r="D8" s="2">
        <f>cobranças!D9</f>
        <v>42795</v>
      </c>
      <c r="E8" s="95">
        <f>cobranças!EE9/1000000</f>
        <v>17.222178499999981</v>
      </c>
      <c r="F8" s="95">
        <f>cobranças!EL9/1000000</f>
        <v>17.50061797</v>
      </c>
      <c r="G8" s="91">
        <f>cobranças!EM9/1000000</f>
        <v>56.715608509999974</v>
      </c>
      <c r="H8" s="98">
        <f>cobranças!EN9/1000000</f>
        <v>53.956052719999995</v>
      </c>
      <c r="J8" s="139">
        <f>cobranças!EM9/1000000-G8</f>
        <v>0</v>
      </c>
      <c r="K8" s="139">
        <f>cobranças!EN9/1000000-H8</f>
        <v>0</v>
      </c>
      <c r="L8" s="139"/>
      <c r="M8" s="139"/>
      <c r="N8" s="139"/>
    </row>
    <row r="9" spans="1:14" s="5" customFormat="1" ht="12.75" x14ac:dyDescent="0.2">
      <c r="A9" s="196"/>
      <c r="B9" s="15" t="s">
        <v>153</v>
      </c>
      <c r="C9" s="1" t="s">
        <v>7</v>
      </c>
      <c r="D9" s="2">
        <f>cobranças!D10</f>
        <v>42826</v>
      </c>
      <c r="E9" s="95">
        <f>cobranças!EE10/1000000</f>
        <v>0.12781837000000001</v>
      </c>
      <c r="F9" s="95">
        <f>cobranças!EL10/1000000</f>
        <v>0.10647475000000001</v>
      </c>
      <c r="G9" s="91">
        <f>cobranças!EM10/1000000</f>
        <v>0.72217884999999993</v>
      </c>
      <c r="H9" s="98">
        <f>cobranças!EN10/1000000</f>
        <v>0.62191976999999998</v>
      </c>
      <c r="J9" s="139">
        <f>cobranças!EM10/1000000-G9</f>
        <v>0</v>
      </c>
      <c r="K9" s="139">
        <f>cobranças!EN10/1000000-H9</f>
        <v>0</v>
      </c>
      <c r="L9" s="139"/>
      <c r="M9" s="139"/>
      <c r="N9" s="139"/>
    </row>
    <row r="10" spans="1:14" s="5" customFormat="1" ht="12.75" x14ac:dyDescent="0.2">
      <c r="A10" s="197"/>
      <c r="B10" s="206" t="s">
        <v>62</v>
      </c>
      <c r="C10" s="207"/>
      <c r="D10" s="207"/>
      <c r="E10" s="93">
        <f>cobranças!EE11/1000000</f>
        <v>138.70340408999957</v>
      </c>
      <c r="F10" s="93">
        <f>cobranças!EL11/1000000</f>
        <v>124.48564324000002</v>
      </c>
      <c r="G10" s="93">
        <f>cobranças!EM11/1000000</f>
        <v>1132.4547318099997</v>
      </c>
      <c r="H10" s="99">
        <f>cobranças!EN11/1000000</f>
        <v>1026.098564353</v>
      </c>
      <c r="J10" s="139">
        <f>cobranças!EM11/1000000-G10</f>
        <v>0</v>
      </c>
      <c r="K10" s="139">
        <f>cobranças!EN11/1000000-H10</f>
        <v>0</v>
      </c>
      <c r="L10" s="139"/>
      <c r="M10" s="139"/>
      <c r="N10" s="139"/>
    </row>
    <row r="11" spans="1:14" s="5" customFormat="1" ht="12.75" x14ac:dyDescent="0.2">
      <c r="A11" s="200" t="s">
        <v>104</v>
      </c>
      <c r="B11" s="4" t="s">
        <v>101</v>
      </c>
      <c r="C11" s="1" t="s">
        <v>28</v>
      </c>
      <c r="D11" s="7">
        <f>cobranças!D12</f>
        <v>35370</v>
      </c>
      <c r="E11" s="126"/>
      <c r="F11" s="126"/>
      <c r="G11" s="92">
        <f>cobranças!EM12/1000000</f>
        <v>148.18611035000001</v>
      </c>
      <c r="H11" s="105">
        <f>cobranças!EN12/1000000</f>
        <v>136.98141539</v>
      </c>
      <c r="J11" s="139">
        <f>cobranças!EM12/1000000-G11</f>
        <v>0</v>
      </c>
      <c r="K11" s="139">
        <f>cobranças!EN12/1000000-H11</f>
        <v>0</v>
      </c>
      <c r="L11" s="36"/>
      <c r="M11" s="36"/>
      <c r="N11" s="36"/>
    </row>
    <row r="12" spans="1:14" s="5" customFormat="1" ht="12.75" x14ac:dyDescent="0.2">
      <c r="A12" s="200"/>
      <c r="B12" s="4" t="s">
        <v>82</v>
      </c>
      <c r="C12" s="66" t="s">
        <v>28</v>
      </c>
      <c r="D12" s="7">
        <f>cobranças!D13</f>
        <v>35370</v>
      </c>
      <c r="E12" s="127">
        <f>cobranças!EE13/1000000</f>
        <v>0.40172019999999997</v>
      </c>
      <c r="F12" s="127">
        <f>cobranças!EL13/1000000</f>
        <v>0.39592127999999999</v>
      </c>
      <c r="G12" s="92">
        <f>cobranças!EM13/1000000</f>
        <v>4.7242825000000002</v>
      </c>
      <c r="H12" s="105">
        <f>cobranças!EN13/1000000</f>
        <v>3.1561559100000003</v>
      </c>
      <c r="J12" s="139">
        <f>cobranças!EM13/1000000-G12</f>
        <v>0</v>
      </c>
      <c r="K12" s="139">
        <f>cobranças!EN13/1000000-H12</f>
        <v>0</v>
      </c>
      <c r="L12" s="36"/>
      <c r="M12" s="36"/>
      <c r="N12" s="36"/>
    </row>
    <row r="13" spans="1:14" s="5" customFormat="1" ht="12.75" x14ac:dyDescent="0.2">
      <c r="A13" s="200"/>
      <c r="B13" s="4" t="s">
        <v>83</v>
      </c>
      <c r="C13" s="66" t="s">
        <v>28</v>
      </c>
      <c r="D13" s="7">
        <f>cobranças!D14</f>
        <v>35370</v>
      </c>
      <c r="E13" s="127">
        <f>cobranças!EE14/1000000</f>
        <v>4.5635558700000001</v>
      </c>
      <c r="F13" s="127">
        <f>cobranças!EL14/1000000</f>
        <v>4.4625072900000013</v>
      </c>
      <c r="G13" s="92">
        <f>cobranças!EM14/1000000</f>
        <v>33.609107999999999</v>
      </c>
      <c r="H13" s="105">
        <f>cobranças!EN14/1000000</f>
        <v>32.479464249999999</v>
      </c>
      <c r="J13" s="139">
        <f>cobranças!EM14/1000000-G13</f>
        <v>0</v>
      </c>
      <c r="K13" s="139">
        <f>cobranças!EN14/1000000-H13</f>
        <v>0</v>
      </c>
      <c r="L13" s="36"/>
      <c r="M13" s="36"/>
      <c r="N13" s="36"/>
    </row>
    <row r="14" spans="1:14" s="5" customFormat="1" ht="12.75" x14ac:dyDescent="0.2">
      <c r="A14" s="200"/>
      <c r="B14" s="4" t="s">
        <v>84</v>
      </c>
      <c r="C14" s="66" t="s">
        <v>28</v>
      </c>
      <c r="D14" s="7">
        <f>cobranças!D15</f>
        <v>35370</v>
      </c>
      <c r="E14" s="127">
        <f>cobranças!EE15/1000000</f>
        <v>1.5756574699999999</v>
      </c>
      <c r="F14" s="127">
        <f>cobranças!EL15/1000000</f>
        <v>1.4774262900000001</v>
      </c>
      <c r="G14" s="92">
        <f>cobranças!EM15/1000000</f>
        <v>10.37927234</v>
      </c>
      <c r="H14" s="105">
        <f>cobranças!EN15/1000000</f>
        <v>10.179380539999999</v>
      </c>
      <c r="J14" s="139">
        <f>cobranças!EM15/1000000-G14</f>
        <v>0</v>
      </c>
      <c r="K14" s="139">
        <f>cobranças!EN15/1000000-H14</f>
        <v>0</v>
      </c>
      <c r="L14" s="36"/>
      <c r="M14" s="36"/>
      <c r="N14" s="36"/>
    </row>
    <row r="15" spans="1:14" s="5" customFormat="1" ht="12.75" x14ac:dyDescent="0.2">
      <c r="A15" s="200"/>
      <c r="B15" s="4" t="s">
        <v>85</v>
      </c>
      <c r="C15" s="66" t="s">
        <v>28</v>
      </c>
      <c r="D15" s="7">
        <f>cobranças!D16</f>
        <v>35370</v>
      </c>
      <c r="E15" s="127">
        <f>cobranças!EE16/1000000</f>
        <v>1.6990005999999997</v>
      </c>
      <c r="F15" s="127">
        <f>cobranças!EL16/1000000</f>
        <v>1.60055539</v>
      </c>
      <c r="G15" s="92">
        <f>cobranças!EM16/1000000</f>
        <v>11.564140910000001</v>
      </c>
      <c r="H15" s="105">
        <f>cobranças!EN16/1000000</f>
        <v>9.8971280400000001</v>
      </c>
      <c r="J15" s="139">
        <f>cobranças!EM16/1000000-G15</f>
        <v>0</v>
      </c>
      <c r="K15" s="139">
        <f>cobranças!EN16/1000000-H15</f>
        <v>0</v>
      </c>
      <c r="L15" s="36"/>
      <c r="M15" s="36"/>
      <c r="N15" s="36"/>
    </row>
    <row r="16" spans="1:14" s="5" customFormat="1" ht="12.75" x14ac:dyDescent="0.2">
      <c r="A16" s="200"/>
      <c r="B16" s="4" t="s">
        <v>86</v>
      </c>
      <c r="C16" s="66" t="s">
        <v>28</v>
      </c>
      <c r="D16" s="7">
        <f>cobranças!D17</f>
        <v>35370</v>
      </c>
      <c r="E16" s="127">
        <f>cobranças!EE17/1000000</f>
        <v>150.23733098</v>
      </c>
      <c r="F16" s="127">
        <f>cobranças!EL17/1000000</f>
        <v>142.03120564</v>
      </c>
      <c r="G16" s="92">
        <f>cobranças!EM17/1000000</f>
        <v>1432.1687053399999</v>
      </c>
      <c r="H16" s="105">
        <f>cobranças!EN17/1000000</f>
        <v>1415.63946977</v>
      </c>
      <c r="J16" s="139">
        <f>cobranças!EM17/1000000-G16</f>
        <v>0</v>
      </c>
      <c r="K16" s="139">
        <f>cobranças!EN17/1000000-H16</f>
        <v>0</v>
      </c>
      <c r="L16" s="36"/>
      <c r="M16" s="36"/>
      <c r="N16" s="36"/>
    </row>
    <row r="17" spans="1:14" s="5" customFormat="1" ht="12.75" x14ac:dyDescent="0.2">
      <c r="A17" s="200"/>
      <c r="B17" s="4" t="s">
        <v>87</v>
      </c>
      <c r="C17" s="66" t="s">
        <v>28</v>
      </c>
      <c r="D17" s="7">
        <f>cobranças!D18</f>
        <v>35370</v>
      </c>
      <c r="E17" s="127">
        <f>cobranças!EE18/1000000</f>
        <v>3.7247156299999999</v>
      </c>
      <c r="F17" s="127">
        <f>cobranças!EL18/1000000</f>
        <v>3.48842294</v>
      </c>
      <c r="G17" s="92">
        <f>cobranças!EM18/1000000</f>
        <v>11.01116</v>
      </c>
      <c r="H17" s="105">
        <f>cobranças!EN18/1000000</f>
        <v>10.815684379999999</v>
      </c>
      <c r="J17" s="139">
        <f>cobranças!EM18/1000000-G17</f>
        <v>0</v>
      </c>
      <c r="K17" s="139">
        <f>cobranças!EN18/1000000-H17</f>
        <v>0</v>
      </c>
      <c r="L17" s="36"/>
      <c r="M17" s="36"/>
      <c r="N17" s="36"/>
    </row>
    <row r="18" spans="1:14" s="5" customFormat="1" ht="12.75" x14ac:dyDescent="0.2">
      <c r="A18" s="200"/>
      <c r="B18" s="4" t="s">
        <v>88</v>
      </c>
      <c r="C18" s="66" t="s">
        <v>28</v>
      </c>
      <c r="D18" s="7">
        <f>cobranças!D19</f>
        <v>35370</v>
      </c>
      <c r="E18" s="127">
        <f>cobranças!EE19/1000000</f>
        <v>0</v>
      </c>
      <c r="F18" s="127">
        <f>cobranças!EL19/1000000</f>
        <v>0</v>
      </c>
      <c r="G18" s="92">
        <f>cobranças!EM19/1000000</f>
        <v>12.69932843</v>
      </c>
      <c r="H18" s="105">
        <f>cobranças!EN19/1000000</f>
        <v>11.834626850000001</v>
      </c>
      <c r="J18" s="139">
        <f>cobranças!EM19/1000000-G18</f>
        <v>0</v>
      </c>
      <c r="K18" s="139">
        <f>cobranças!EN19/1000000-H18</f>
        <v>0</v>
      </c>
      <c r="L18" s="36"/>
      <c r="M18" s="36"/>
      <c r="N18" s="36"/>
    </row>
    <row r="19" spans="1:14" s="5" customFormat="1" ht="12.75" x14ac:dyDescent="0.2">
      <c r="A19" s="200"/>
      <c r="B19" s="4" t="s">
        <v>166</v>
      </c>
      <c r="C19" s="66" t="s">
        <v>28</v>
      </c>
      <c r="D19" s="7">
        <f>cobranças!D20</f>
        <v>35370</v>
      </c>
      <c r="E19" s="127">
        <f>cobranças!EE20/1000000</f>
        <v>0.81096117000000001</v>
      </c>
      <c r="F19" s="127">
        <f>cobranças!EL20/1000000</f>
        <v>0.80068240000000002</v>
      </c>
      <c r="G19" s="92">
        <f>cobranças!EM20/1000000</f>
        <v>0.81096117000000001</v>
      </c>
      <c r="H19" s="105">
        <f>cobranças!EN20/1000000</f>
        <v>0.80068240000000002</v>
      </c>
      <c r="J19" s="139">
        <f>cobranças!EM20/1000000-G19</f>
        <v>0</v>
      </c>
      <c r="K19" s="139">
        <f>cobranças!EN20/1000000-H19</f>
        <v>0</v>
      </c>
      <c r="L19" s="36"/>
      <c r="M19" s="36"/>
      <c r="N19" s="36"/>
    </row>
    <row r="20" spans="1:14" s="5" customFormat="1" ht="12.75" x14ac:dyDescent="0.2">
      <c r="A20" s="200"/>
      <c r="B20" s="4" t="s">
        <v>165</v>
      </c>
      <c r="C20" s="66" t="s">
        <v>28</v>
      </c>
      <c r="D20" s="7">
        <f>cobranças!D21</f>
        <v>35370</v>
      </c>
      <c r="E20" s="127">
        <f>cobranças!EE21/1000000</f>
        <v>0.67444859000000013</v>
      </c>
      <c r="F20" s="127">
        <f>cobranças!EL21/1000000</f>
        <v>0.65750726999999987</v>
      </c>
      <c r="G20" s="92">
        <f>cobranças!EM21/1000000</f>
        <v>0.67444859000000013</v>
      </c>
      <c r="H20" s="105">
        <f>cobranças!EN21/1000000</f>
        <v>0.65750726999999987</v>
      </c>
      <c r="J20" s="139">
        <f>cobranças!EM21/1000000-G20</f>
        <v>0</v>
      </c>
      <c r="K20" s="139">
        <f>cobranças!EN21/1000000-H20</f>
        <v>0</v>
      </c>
      <c r="L20" s="36"/>
      <c r="M20" s="36"/>
      <c r="N20" s="36"/>
    </row>
    <row r="21" spans="1:14" s="5" customFormat="1" ht="12.75" x14ac:dyDescent="0.2">
      <c r="A21" s="200"/>
      <c r="B21" s="4" t="s">
        <v>89</v>
      </c>
      <c r="C21" s="66" t="s">
        <v>28</v>
      </c>
      <c r="D21" s="7">
        <f>cobranças!D22</f>
        <v>35370</v>
      </c>
      <c r="E21" s="127">
        <f>cobranças!EE22/1000000</f>
        <v>2.0986496800000003</v>
      </c>
      <c r="F21" s="127">
        <f>cobranças!EL22/1000000</f>
        <v>1.5791781499999999</v>
      </c>
      <c r="G21" s="92">
        <f>cobranças!EM22/1000000</f>
        <v>11.828741409999997</v>
      </c>
      <c r="H21" s="105">
        <f>cobranças!EN22/1000000</f>
        <v>11.38108038</v>
      </c>
      <c r="J21" s="139">
        <f>cobranças!EM22/1000000-G21</f>
        <v>0</v>
      </c>
      <c r="K21" s="139">
        <f>cobranças!EN22/1000000-H21</f>
        <v>0</v>
      </c>
      <c r="L21" s="36"/>
      <c r="M21" s="36"/>
      <c r="N21" s="36"/>
    </row>
    <row r="22" spans="1:14" s="5" customFormat="1" ht="12.75" x14ac:dyDescent="0.2">
      <c r="A22" s="200"/>
      <c r="B22" s="4" t="s">
        <v>90</v>
      </c>
      <c r="C22" s="66" t="s">
        <v>28</v>
      </c>
      <c r="D22" s="7">
        <f>cobranças!D23</f>
        <v>35370</v>
      </c>
      <c r="E22" s="127">
        <f>cobranças!EE23/1000000</f>
        <v>1.7810572799999997</v>
      </c>
      <c r="F22" s="127">
        <f>cobranças!EL23/1000000</f>
        <v>1.6158568599999998</v>
      </c>
      <c r="G22" s="92">
        <f>cobranças!EM23/1000000</f>
        <v>28.415223390000001</v>
      </c>
      <c r="H22" s="105">
        <f>cobranças!EN23/1000000</f>
        <v>27.000292219999999</v>
      </c>
      <c r="J22" s="139">
        <f>cobranças!EM23/1000000-G22</f>
        <v>0</v>
      </c>
      <c r="K22" s="139">
        <f>cobranças!EN23/1000000-H22</f>
        <v>0</v>
      </c>
      <c r="L22" s="36"/>
      <c r="M22" s="36"/>
      <c r="N22" s="36"/>
    </row>
    <row r="23" spans="1:14" s="5" customFormat="1" ht="12.75" x14ac:dyDescent="0.2">
      <c r="A23" s="200"/>
      <c r="B23" s="4" t="s">
        <v>91</v>
      </c>
      <c r="C23" s="66" t="s">
        <v>28</v>
      </c>
      <c r="D23" s="7">
        <f>cobranças!D24</f>
        <v>35370</v>
      </c>
      <c r="E23" s="127">
        <f>cobranças!EE24/1000000</f>
        <v>1.4082967800000004</v>
      </c>
      <c r="F23" s="127">
        <f>cobranças!EL24/1000000</f>
        <v>1.3741308699999999</v>
      </c>
      <c r="G23" s="92">
        <f>cobranças!EM24/1000000</f>
        <v>12.337670050000002</v>
      </c>
      <c r="H23" s="105">
        <f>cobranças!EN24/1000000</f>
        <v>11.538042079999999</v>
      </c>
      <c r="J23" s="139">
        <f>cobranças!EM24/1000000-G23</f>
        <v>0</v>
      </c>
      <c r="K23" s="139">
        <f>cobranças!EN24/1000000-H23</f>
        <v>0</v>
      </c>
      <c r="L23" s="36"/>
      <c r="M23" s="36"/>
      <c r="N23" s="36"/>
    </row>
    <row r="24" spans="1:14" s="5" customFormat="1" ht="12.75" x14ac:dyDescent="0.2">
      <c r="A24" s="200"/>
      <c r="B24" s="4" t="s">
        <v>92</v>
      </c>
      <c r="C24" s="66" t="s">
        <v>28</v>
      </c>
      <c r="D24" s="7">
        <f>cobranças!D25</f>
        <v>35370</v>
      </c>
      <c r="E24" s="127">
        <f>cobranças!EE25/1000000</f>
        <v>6.47923954</v>
      </c>
      <c r="F24" s="127">
        <f>cobranças!EL25/1000000</f>
        <v>6.0027084100000003</v>
      </c>
      <c r="G24" s="92">
        <f>cobranças!EM25/1000000</f>
        <v>44.278496020000006</v>
      </c>
      <c r="H24" s="105">
        <f>cobranças!EN25/1000000</f>
        <v>39.368744200000002</v>
      </c>
      <c r="J24" s="139">
        <f>cobranças!EM25/1000000-G24</f>
        <v>0</v>
      </c>
      <c r="K24" s="139">
        <f>cobranças!EN25/1000000-H24</f>
        <v>0</v>
      </c>
      <c r="L24" s="36"/>
      <c r="M24" s="36"/>
      <c r="N24" s="36"/>
    </row>
    <row r="25" spans="1:14" s="5" customFormat="1" ht="12.75" x14ac:dyDescent="0.2">
      <c r="A25" s="201"/>
      <c r="B25" s="198" t="s">
        <v>39</v>
      </c>
      <c r="C25" s="199"/>
      <c r="D25" s="199"/>
      <c r="E25" s="94">
        <f>cobranças!EE26/1000000</f>
        <v>175.45463378999997</v>
      </c>
      <c r="F25" s="94">
        <f>cobranças!EL26/1000000</f>
        <v>165.48610279000002</v>
      </c>
      <c r="G25" s="94">
        <f>cobranças!EM26/1000000</f>
        <v>1762.6876485</v>
      </c>
      <c r="H25" s="106">
        <f>cobranças!EN26/1000000</f>
        <v>1721.7296736800001</v>
      </c>
      <c r="I25" s="6"/>
      <c r="J25" s="139">
        <f>cobranças!EM26/1000000-G25</f>
        <v>0</v>
      </c>
      <c r="K25" s="139">
        <f>cobranças!EN26/1000000-H25</f>
        <v>0</v>
      </c>
      <c r="L25" s="6"/>
      <c r="M25" s="36"/>
      <c r="N25" s="36"/>
    </row>
    <row r="26" spans="1:14" s="5" customFormat="1" ht="12.75" x14ac:dyDescent="0.2">
      <c r="A26" s="212" t="s">
        <v>107</v>
      </c>
      <c r="B26" s="15" t="s">
        <v>47</v>
      </c>
      <c r="C26" s="1" t="s">
        <v>10</v>
      </c>
      <c r="D26" s="2">
        <f>cobranças!D27</f>
        <v>37987</v>
      </c>
      <c r="E26" s="91">
        <f>cobranças!EE27/1000000</f>
        <v>1.782346</v>
      </c>
      <c r="F26" s="91">
        <f>cobranças!EL27/1000000</f>
        <v>1.4214020000000001</v>
      </c>
      <c r="G26" s="91">
        <f>cobranças!EM27/1000000</f>
        <v>19.503005244118977</v>
      </c>
      <c r="H26" s="98">
        <f>cobranças!EN27/1000000</f>
        <v>16.266058450000003</v>
      </c>
      <c r="J26" s="139">
        <f>cobranças!EM27/1000000-G26</f>
        <v>0</v>
      </c>
      <c r="K26" s="139">
        <f>cobranças!EN27/1000000-H26</f>
        <v>0</v>
      </c>
      <c r="L26" s="36"/>
      <c r="M26" s="36"/>
      <c r="N26" s="36"/>
    </row>
    <row r="27" spans="1:14" s="5" customFormat="1" ht="12.75" x14ac:dyDescent="0.2">
      <c r="A27" s="212"/>
      <c r="B27" s="15" t="s">
        <v>48</v>
      </c>
      <c r="C27" s="1" t="s">
        <v>10</v>
      </c>
      <c r="D27" s="2">
        <f>cobranças!D28</f>
        <v>37987</v>
      </c>
      <c r="E27" s="91">
        <f>cobranças!EE28/1000000</f>
        <v>1.7055819999999999</v>
      </c>
      <c r="F27" s="91">
        <f>cobranças!EL28/1000000</f>
        <v>1.704129</v>
      </c>
      <c r="G27" s="91">
        <f>cobranças!EM28/1000000</f>
        <v>15.270980622165936</v>
      </c>
      <c r="H27" s="98">
        <f>cobranças!EN28/1000000</f>
        <v>15.585399360000002</v>
      </c>
      <c r="J27" s="139">
        <f>cobranças!EM28/1000000-G27</f>
        <v>0</v>
      </c>
      <c r="K27" s="139">
        <f>cobranças!EN28/1000000-H27</f>
        <v>0</v>
      </c>
      <c r="L27" s="36"/>
      <c r="M27" s="36"/>
      <c r="N27" s="36"/>
    </row>
    <row r="28" spans="1:14" s="5" customFormat="1" ht="12.75" x14ac:dyDescent="0.2">
      <c r="A28" s="212"/>
      <c r="B28" s="15" t="s">
        <v>105</v>
      </c>
      <c r="C28" s="1" t="s">
        <v>10</v>
      </c>
      <c r="D28" s="2">
        <f>cobranças!D29</f>
        <v>37987</v>
      </c>
      <c r="E28" s="91">
        <f>cobranças!EE29/1000000</f>
        <v>1.8581289999999999</v>
      </c>
      <c r="F28" s="91">
        <f>cobranças!EL29/1000000</f>
        <v>1.8745959999999999</v>
      </c>
      <c r="G28" s="91">
        <f>cobranças!EM29/1000000</f>
        <v>13.97068470373844</v>
      </c>
      <c r="H28" s="98">
        <f>cobranças!EN29/1000000</f>
        <v>14.49307492</v>
      </c>
      <c r="J28" s="139">
        <f>cobranças!EM29/1000000-G28</f>
        <v>0</v>
      </c>
      <c r="K28" s="139">
        <f>cobranças!EN29/1000000-H28</f>
        <v>0</v>
      </c>
      <c r="L28" s="36"/>
      <c r="M28" s="36"/>
      <c r="N28" s="36"/>
    </row>
    <row r="29" spans="1:14" s="5" customFormat="1" ht="12.75" x14ac:dyDescent="0.2">
      <c r="A29" s="212"/>
      <c r="B29" s="15" t="s">
        <v>49</v>
      </c>
      <c r="C29" s="1" t="s">
        <v>10</v>
      </c>
      <c r="D29" s="2">
        <f>cobranças!D30</f>
        <v>37987</v>
      </c>
      <c r="E29" s="91">
        <f>cobranças!EE30/1000000</f>
        <v>1.4848129999999999</v>
      </c>
      <c r="F29" s="91">
        <f>cobranças!EL30/1000000</f>
        <v>1.4242330000000001</v>
      </c>
      <c r="G29" s="91">
        <f>cobranças!EM30/1000000</f>
        <v>9.06949676680415</v>
      </c>
      <c r="H29" s="98">
        <f>cobranças!EN30/1000000</f>
        <v>9.0592267499999988</v>
      </c>
      <c r="J29" s="139">
        <f>cobranças!EM30/1000000-G29</f>
        <v>0</v>
      </c>
      <c r="K29" s="139">
        <f>cobranças!EN30/1000000-H29</f>
        <v>0</v>
      </c>
      <c r="L29" s="36"/>
      <c r="M29" s="36"/>
      <c r="N29" s="36"/>
    </row>
    <row r="30" spans="1:14" s="5" customFormat="1" ht="12.75" x14ac:dyDescent="0.2">
      <c r="A30" s="212"/>
      <c r="B30" s="15" t="s">
        <v>50</v>
      </c>
      <c r="C30" s="1" t="s">
        <v>10</v>
      </c>
      <c r="D30" s="2">
        <f>cobranças!D31</f>
        <v>38047</v>
      </c>
      <c r="E30" s="91">
        <f>cobranças!EE31/1000000</f>
        <v>12.780858</v>
      </c>
      <c r="F30" s="91">
        <f>cobranças!EL31/1000000</f>
        <v>12.976035</v>
      </c>
      <c r="G30" s="91">
        <f>cobranças!EM31/1000000</f>
        <v>89.264428915619206</v>
      </c>
      <c r="H30" s="98">
        <f>cobranças!EN31/1000000</f>
        <v>86.37448725000003</v>
      </c>
      <c r="J30" s="139">
        <f>cobranças!EM31/1000000-G30</f>
        <v>0</v>
      </c>
      <c r="K30" s="139">
        <f>cobranças!EN31/1000000-H30</f>
        <v>0</v>
      </c>
      <c r="L30" s="36"/>
      <c r="M30" s="36"/>
      <c r="N30" s="36"/>
    </row>
    <row r="31" spans="1:14" s="5" customFormat="1" ht="12.75" x14ac:dyDescent="0.2">
      <c r="A31" s="212"/>
      <c r="B31" s="15" t="s">
        <v>51</v>
      </c>
      <c r="C31" s="1" t="s">
        <v>10</v>
      </c>
      <c r="D31" s="2">
        <f>cobranças!D32</f>
        <v>38047</v>
      </c>
      <c r="E31" s="91">
        <f>cobranças!EE32/1000000</f>
        <v>0.989205</v>
      </c>
      <c r="F31" s="91">
        <f>cobranças!EL32/1000000</f>
        <v>0.94584299999999999</v>
      </c>
      <c r="G31" s="91">
        <f>cobranças!EM32/1000000</f>
        <v>7.1301245271771148</v>
      </c>
      <c r="H31" s="98">
        <f>cobranças!EN32/1000000</f>
        <v>7.5203268500000009</v>
      </c>
      <c r="J31" s="139">
        <f>cobranças!EM32/1000000-G31</f>
        <v>0</v>
      </c>
      <c r="K31" s="139">
        <f>cobranças!EN32/1000000-H31</f>
        <v>0</v>
      </c>
      <c r="L31" s="36"/>
      <c r="M31" s="36"/>
      <c r="N31" s="36"/>
    </row>
    <row r="32" spans="1:14" s="5" customFormat="1" ht="12.75" x14ac:dyDescent="0.2">
      <c r="A32" s="212"/>
      <c r="B32" s="15" t="s">
        <v>27</v>
      </c>
      <c r="C32" s="1" t="s">
        <v>10</v>
      </c>
      <c r="D32" s="2">
        <f>cobranças!D33</f>
        <v>38047</v>
      </c>
      <c r="E32" s="91">
        <f>cobranças!EE33/1000000</f>
        <v>48.855891</v>
      </c>
      <c r="F32" s="91">
        <f>cobranças!EL33/1000000</f>
        <v>49.926186999999999</v>
      </c>
      <c r="G32" s="91">
        <f>cobranças!EM33/1000000</f>
        <v>440.7976048349841</v>
      </c>
      <c r="H32" s="98">
        <f>cobranças!EN33/1000000</f>
        <v>399.34157102999995</v>
      </c>
      <c r="J32" s="139">
        <f>cobranças!EM33/1000000-G32</f>
        <v>0</v>
      </c>
      <c r="K32" s="139">
        <f>cobranças!EN33/1000000-H32</f>
        <v>0</v>
      </c>
      <c r="L32" s="36"/>
      <c r="M32" s="36"/>
      <c r="N32" s="36"/>
    </row>
    <row r="33" spans="1:14" s="5" customFormat="1" ht="12.75" x14ac:dyDescent="0.2">
      <c r="A33" s="212"/>
      <c r="B33" s="15" t="s">
        <v>52</v>
      </c>
      <c r="C33" s="1" t="s">
        <v>10</v>
      </c>
      <c r="D33" s="2">
        <f>cobranças!D34</f>
        <v>38047</v>
      </c>
      <c r="E33" s="91">
        <f>cobranças!EE34/1000000</f>
        <v>0.121613</v>
      </c>
      <c r="F33" s="91">
        <f>cobranças!EL34/1000000</f>
        <v>0.12789700000000001</v>
      </c>
      <c r="G33" s="91">
        <f>cobranças!EM34/1000000</f>
        <v>1.2120889041324818</v>
      </c>
      <c r="H33" s="98">
        <f>cobranças!EN34/1000000</f>
        <v>1.14335867</v>
      </c>
      <c r="J33" s="139">
        <f>cobranças!EM34/1000000-G33</f>
        <v>0</v>
      </c>
      <c r="K33" s="139">
        <f>cobranças!EN34/1000000-H33</f>
        <v>0</v>
      </c>
      <c r="L33" s="36"/>
      <c r="M33" s="36"/>
      <c r="N33" s="36"/>
    </row>
    <row r="34" spans="1:14" s="5" customFormat="1" ht="12.75" x14ac:dyDescent="0.2">
      <c r="A34" s="212"/>
      <c r="B34" s="15" t="s">
        <v>53</v>
      </c>
      <c r="C34" s="1" t="s">
        <v>10</v>
      </c>
      <c r="D34" s="2">
        <f>cobranças!D35</f>
        <v>38047</v>
      </c>
      <c r="E34" s="91">
        <f>cobranças!EE35/1000000</f>
        <v>2.8934090000000001</v>
      </c>
      <c r="F34" s="91">
        <f>cobranças!EL35/1000000</f>
        <v>3.0093100000000002</v>
      </c>
      <c r="G34" s="91">
        <f>cobranças!EM35/1000000</f>
        <v>25.726532133140431</v>
      </c>
      <c r="H34" s="98">
        <f>cobranças!EN35/1000000</f>
        <v>26.515539870000001</v>
      </c>
      <c r="J34" s="139">
        <f>cobranças!EM35/1000000-G34</f>
        <v>0</v>
      </c>
      <c r="K34" s="139">
        <f>cobranças!EN35/1000000-H34</f>
        <v>0</v>
      </c>
      <c r="L34" s="36"/>
      <c r="M34" s="36"/>
      <c r="N34" s="36"/>
    </row>
    <row r="35" spans="1:14" s="5" customFormat="1" ht="12.75" x14ac:dyDescent="0.2">
      <c r="A35" s="212"/>
      <c r="B35" s="15" t="s">
        <v>54</v>
      </c>
      <c r="C35" s="1" t="s">
        <v>10</v>
      </c>
      <c r="D35" s="2">
        <f>cobranças!D36</f>
        <v>38047</v>
      </c>
      <c r="E35" s="91">
        <f>cobranças!EE36/1000000</f>
        <v>2.6749710000000002</v>
      </c>
      <c r="F35" s="91">
        <f>cobranças!EL36/1000000</f>
        <v>2.5991309999999999</v>
      </c>
      <c r="G35" s="91">
        <f>cobranças!EM36/1000000</f>
        <v>23.721314082820282</v>
      </c>
      <c r="H35" s="98">
        <f>cobranças!EN36/1000000</f>
        <v>25.072172609999999</v>
      </c>
      <c r="J35" s="139">
        <f>cobranças!EM36/1000000-G35</f>
        <v>0</v>
      </c>
      <c r="K35" s="139">
        <f>cobranças!EN36/1000000-H35</f>
        <v>0</v>
      </c>
      <c r="L35" s="36"/>
      <c r="M35" s="36"/>
      <c r="N35" s="36"/>
    </row>
    <row r="36" spans="1:14" s="5" customFormat="1" ht="12.75" x14ac:dyDescent="0.2">
      <c r="A36" s="213"/>
      <c r="B36" s="206" t="s">
        <v>40</v>
      </c>
      <c r="C36" s="207"/>
      <c r="D36" s="207"/>
      <c r="E36" s="93">
        <f>cobranças!EE37/1000000</f>
        <v>75.146816999999999</v>
      </c>
      <c r="F36" s="93">
        <f>cobranças!EL37/1000000</f>
        <v>76.008763000000002</v>
      </c>
      <c r="G36" s="93">
        <f>cobranças!EM37/1000000</f>
        <v>645.66626073470115</v>
      </c>
      <c r="H36" s="99">
        <f>cobranças!EN37/1000000</f>
        <v>601.37121576000004</v>
      </c>
      <c r="I36" s="6"/>
      <c r="J36" s="139">
        <f>cobranças!EM37/1000000-G36</f>
        <v>0</v>
      </c>
      <c r="K36" s="139">
        <f>cobranças!EN37/1000000-H36</f>
        <v>0</v>
      </c>
      <c r="L36" s="6"/>
      <c r="M36" s="6"/>
      <c r="N36" s="36"/>
    </row>
    <row r="37" spans="1:14" s="5" customFormat="1" ht="12.75" x14ac:dyDescent="0.2">
      <c r="A37" s="200" t="s">
        <v>37</v>
      </c>
      <c r="B37" s="15" t="s">
        <v>12</v>
      </c>
      <c r="C37" s="1" t="s">
        <v>13</v>
      </c>
      <c r="D37" s="2">
        <f>cobranças!D38</f>
        <v>39083</v>
      </c>
      <c r="E37" s="170">
        <f>cobranças!EE38/1000000</f>
        <v>17.399072669766941</v>
      </c>
      <c r="F37" s="95">
        <f>cobranças!EL38/1000000</f>
        <v>17.12</v>
      </c>
      <c r="G37" s="91">
        <f>cobranças!EM38/1000000</f>
        <v>104.99169732976694</v>
      </c>
      <c r="H37" s="98">
        <f>cobranças!EN38/1000000</f>
        <v>103.30768153</v>
      </c>
      <c r="I37" s="134"/>
      <c r="J37" s="139">
        <f>cobranças!EM38/1000000-G37</f>
        <v>0</v>
      </c>
      <c r="K37" s="139">
        <f>cobranças!EN38/1000000-H37</f>
        <v>0</v>
      </c>
      <c r="L37" s="36"/>
      <c r="M37" s="36"/>
      <c r="N37" s="36"/>
    </row>
    <row r="38" spans="1:14" s="5" customFormat="1" ht="12.75" x14ac:dyDescent="0.2">
      <c r="A38" s="200"/>
      <c r="B38" s="15" t="s">
        <v>16</v>
      </c>
      <c r="C38" s="1" t="s">
        <v>13</v>
      </c>
      <c r="D38" s="2">
        <f>cobranças!D39</f>
        <v>39083</v>
      </c>
      <c r="E38" s="91">
        <f>cobranças!EE39/1000000</f>
        <v>23.026705220000004</v>
      </c>
      <c r="F38" s="91">
        <f>cobranças!EL39/1000000</f>
        <v>21.850368900000003</v>
      </c>
      <c r="G38" s="91">
        <f>cobranças!EM39/1000000</f>
        <v>289.45569505000009</v>
      </c>
      <c r="H38" s="98">
        <f>cobranças!EN39/1000000</f>
        <v>278.30425183999995</v>
      </c>
      <c r="I38" s="134"/>
      <c r="J38" s="139">
        <f>cobranças!EM39/1000000-G38</f>
        <v>0</v>
      </c>
      <c r="K38" s="139">
        <f>cobranças!EN39/1000000-H38</f>
        <v>0</v>
      </c>
      <c r="L38" s="36"/>
      <c r="M38" s="36"/>
      <c r="N38" s="36"/>
    </row>
    <row r="39" spans="1:14" s="5" customFormat="1" ht="12.75" x14ac:dyDescent="0.2">
      <c r="A39" s="200"/>
      <c r="B39" s="15" t="s">
        <v>30</v>
      </c>
      <c r="C39" s="1" t="s">
        <v>13</v>
      </c>
      <c r="D39" s="2">
        <f>cobranças!D40</f>
        <v>40391</v>
      </c>
      <c r="E39" s="91">
        <f>cobranças!EE40/1000000</f>
        <v>10.655754810000001</v>
      </c>
      <c r="F39" s="91">
        <f>cobranças!EL40/1000000</f>
        <v>11.16</v>
      </c>
      <c r="G39" s="91">
        <f>cobranças!EM40/1000000</f>
        <v>105.59079111999999</v>
      </c>
      <c r="H39" s="98">
        <f>cobranças!EN40/1000000</f>
        <v>97.357260000000011</v>
      </c>
      <c r="I39" s="134"/>
      <c r="J39" s="139">
        <f>cobranças!EM40/1000000-G39</f>
        <v>0</v>
      </c>
      <c r="K39" s="139">
        <f>cobranças!EN40/1000000-H39</f>
        <v>0</v>
      </c>
      <c r="L39" s="36"/>
      <c r="M39" s="36"/>
      <c r="N39" s="36"/>
    </row>
    <row r="40" spans="1:14" s="5" customFormat="1" ht="12.75" x14ac:dyDescent="0.2">
      <c r="A40" s="200"/>
      <c r="B40" s="4" t="s">
        <v>32</v>
      </c>
      <c r="C40" s="1" t="s">
        <v>13</v>
      </c>
      <c r="D40" s="2">
        <f>cobranças!D41</f>
        <v>40909</v>
      </c>
      <c r="E40" s="170">
        <f>cobranças!EE41/1000000</f>
        <v>11.38999071845393</v>
      </c>
      <c r="F40" s="91">
        <f>cobranças!EL41/1000000</f>
        <v>11.51</v>
      </c>
      <c r="G40" s="91">
        <f>cobranças!EM41/1000000</f>
        <v>96.989809278453933</v>
      </c>
      <c r="H40" s="98">
        <f>cobranças!EN41/1000000</f>
        <v>98.011730860000014</v>
      </c>
      <c r="I40" s="134"/>
      <c r="J40" s="139">
        <f>cobranças!EM41/1000000-G40</f>
        <v>0</v>
      </c>
      <c r="K40" s="139">
        <f>cobranças!EN41/1000000-H40</f>
        <v>0</v>
      </c>
      <c r="L40" s="36"/>
      <c r="M40" s="36"/>
      <c r="N40" s="36"/>
    </row>
    <row r="41" spans="1:14" s="5" customFormat="1" ht="12.75" x14ac:dyDescent="0.2">
      <c r="A41" s="200"/>
      <c r="B41" s="15" t="s">
        <v>31</v>
      </c>
      <c r="C41" s="1" t="s">
        <v>13</v>
      </c>
      <c r="D41" s="2">
        <f>cobranças!D42</f>
        <v>41426</v>
      </c>
      <c r="E41" s="170">
        <f>cobranças!EE42/1000000</f>
        <v>7.3353410976396285</v>
      </c>
      <c r="F41" s="91">
        <f>cobranças!EL42/1000000</f>
        <v>4.9400000000000004</v>
      </c>
      <c r="G41" s="91">
        <f>cobranças!EM42/1000000</f>
        <v>61.510023957639632</v>
      </c>
      <c r="H41" s="98">
        <f>cobranças!EN42/1000000</f>
        <v>41.424047540000004</v>
      </c>
      <c r="I41" s="134"/>
      <c r="J41" s="139">
        <f>cobranças!EM42/1000000-G41</f>
        <v>0</v>
      </c>
      <c r="K41" s="139">
        <f>cobranças!EN42/1000000-H41</f>
        <v>0</v>
      </c>
      <c r="L41" s="36"/>
      <c r="M41" s="36"/>
      <c r="N41" s="36"/>
    </row>
    <row r="42" spans="1:14" s="5" customFormat="1" ht="12.75" x14ac:dyDescent="0.2">
      <c r="A42" s="200"/>
      <c r="B42" s="15" t="s">
        <v>93</v>
      </c>
      <c r="C42" s="1" t="s">
        <v>13</v>
      </c>
      <c r="D42" s="2">
        <f>cobranças!D43</f>
        <v>41640</v>
      </c>
      <c r="E42" s="170">
        <f>cobranças!EE43/1000000</f>
        <v>50.952989818885399</v>
      </c>
      <c r="F42" s="91">
        <f>cobranças!EL43/1000000</f>
        <v>50.27</v>
      </c>
      <c r="G42" s="91">
        <f>cobranças!EM43/1000000</f>
        <v>350.19181458888539</v>
      </c>
      <c r="H42" s="98">
        <f>cobranças!EN43/1000000</f>
        <v>345.49773392999998</v>
      </c>
      <c r="I42" s="134"/>
      <c r="J42" s="139">
        <f>cobranças!EM43/1000000-G42</f>
        <v>0</v>
      </c>
      <c r="K42" s="139">
        <f>cobranças!EN43/1000000-H42</f>
        <v>0</v>
      </c>
      <c r="L42" s="36"/>
      <c r="M42" s="36"/>
      <c r="N42" s="36"/>
    </row>
    <row r="43" spans="1:14" s="5" customFormat="1" ht="12.75" x14ac:dyDescent="0.2">
      <c r="A43" s="200"/>
      <c r="B43" s="15" t="s">
        <v>116</v>
      </c>
      <c r="C43" s="1" t="s">
        <v>13</v>
      </c>
      <c r="D43" s="2">
        <f>cobranças!D44</f>
        <v>42583</v>
      </c>
      <c r="E43" s="170">
        <f>cobranças!EE44/1000000</f>
        <v>11.351720546002936</v>
      </c>
      <c r="F43" s="91">
        <f>cobranças!EL44/1000000</f>
        <v>10.029999999999999</v>
      </c>
      <c r="G43" s="91">
        <f>cobranças!EM44/1000000</f>
        <v>57.142942686002939</v>
      </c>
      <c r="H43" s="98">
        <f>cobranças!EN44/1000000</f>
        <v>50.489589909999999</v>
      </c>
      <c r="I43" s="134"/>
      <c r="J43" s="139">
        <f>cobranças!EM44/1000000-G43</f>
        <v>0</v>
      </c>
      <c r="K43" s="139">
        <f>cobranças!EN44/1000000-H43</f>
        <v>0</v>
      </c>
      <c r="L43" s="36"/>
      <c r="M43" s="36"/>
      <c r="N43" s="36"/>
    </row>
    <row r="44" spans="1:14" s="5" customFormat="1" ht="12.75" x14ac:dyDescent="0.2">
      <c r="A44" s="200"/>
      <c r="B44" s="15" t="s">
        <v>117</v>
      </c>
      <c r="C44" s="1" t="s">
        <v>13</v>
      </c>
      <c r="D44" s="2">
        <f>cobranças!D45</f>
        <v>42491</v>
      </c>
      <c r="E44" s="170">
        <f>cobranças!EE45/1000000</f>
        <v>6.4173630366139234</v>
      </c>
      <c r="F44" s="91">
        <f>cobranças!EL45/1000000</f>
        <v>5.54</v>
      </c>
      <c r="G44" s="91">
        <f>cobranças!EM45/1000000</f>
        <v>24.747618136613923</v>
      </c>
      <c r="H44" s="98">
        <f>cobranças!EN45/1000000</f>
        <v>21.36419643</v>
      </c>
      <c r="I44" s="134"/>
      <c r="J44" s="139">
        <f>cobranças!EM45/1000000-G44</f>
        <v>0</v>
      </c>
      <c r="K44" s="139">
        <f>cobranças!EN45/1000000-H44</f>
        <v>0</v>
      </c>
      <c r="L44" s="36"/>
      <c r="M44" s="36"/>
      <c r="N44" s="36"/>
    </row>
    <row r="45" spans="1:14" s="5" customFormat="1" ht="12.75" x14ac:dyDescent="0.2">
      <c r="A45" s="200"/>
      <c r="B45" s="15" t="s">
        <v>118</v>
      </c>
      <c r="C45" s="1" t="s">
        <v>13</v>
      </c>
      <c r="D45" s="2">
        <f>cobranças!D46</f>
        <v>42583</v>
      </c>
      <c r="E45" s="170">
        <f>cobranças!EE46/1000000</f>
        <v>7.1073203370075424</v>
      </c>
      <c r="F45" s="91">
        <f>cobranças!EL46/1000000</f>
        <v>7.1</v>
      </c>
      <c r="G45" s="91">
        <f>cobranças!EM46/1000000</f>
        <v>31.925736507007539</v>
      </c>
      <c r="H45" s="98">
        <f>cobranças!EN46/1000000</f>
        <v>31.892853910000003</v>
      </c>
      <c r="I45" s="134"/>
      <c r="J45" s="139">
        <f>cobranças!EM46/1000000-G45</f>
        <v>0</v>
      </c>
      <c r="K45" s="139">
        <f>cobranças!EN46/1000000-H45</f>
        <v>0</v>
      </c>
      <c r="L45" s="36"/>
      <c r="M45" s="36"/>
      <c r="N45" s="36"/>
    </row>
    <row r="46" spans="1:14" s="5" customFormat="1" ht="12.75" x14ac:dyDescent="0.2">
      <c r="A46" s="200"/>
      <c r="B46" s="15" t="s">
        <v>140</v>
      </c>
      <c r="C46" s="1" t="s">
        <v>13</v>
      </c>
      <c r="D46" s="2">
        <f>cobranças!D47</f>
        <v>42948</v>
      </c>
      <c r="E46" s="170">
        <f>cobranças!EE47/1000000</f>
        <v>8.0978869570469048</v>
      </c>
      <c r="F46" s="91">
        <f>cobranças!EL47/1000000</f>
        <v>6.61</v>
      </c>
      <c r="G46" s="91">
        <f>cobranças!EM47/1000000</f>
        <v>36.773462587046907</v>
      </c>
      <c r="H46" s="98">
        <f>cobranças!EN47/1000000</f>
        <v>30.016791909999995</v>
      </c>
      <c r="I46" s="134"/>
      <c r="J46" s="139">
        <f>cobranças!EM47/1000000-G46</f>
        <v>0</v>
      </c>
      <c r="K46" s="139">
        <f>cobranças!EN47/1000000-H46</f>
        <v>0</v>
      </c>
      <c r="L46" s="36"/>
      <c r="M46" s="36"/>
      <c r="N46" s="36"/>
    </row>
    <row r="47" spans="1:14" s="5" customFormat="1" ht="12.75" x14ac:dyDescent="0.2">
      <c r="A47" s="200"/>
      <c r="B47" s="15" t="s">
        <v>145</v>
      </c>
      <c r="C47" s="1" t="s">
        <v>13</v>
      </c>
      <c r="D47" s="2">
        <f>cobranças!D48</f>
        <v>43009</v>
      </c>
      <c r="E47" s="170">
        <f>cobranças!EE48/1000000</f>
        <v>2.5089329147702899</v>
      </c>
      <c r="F47" s="91">
        <f>cobranças!EL48/1000000</f>
        <v>1.86</v>
      </c>
      <c r="G47" s="91">
        <f>cobranças!EM48/1000000</f>
        <v>16.638494794770288</v>
      </c>
      <c r="H47" s="98">
        <f>cobranças!EN48/1000000</f>
        <v>12.33496525</v>
      </c>
      <c r="I47" s="134"/>
      <c r="J47" s="139">
        <f>cobranças!EM48/1000000-G47</f>
        <v>0</v>
      </c>
      <c r="K47" s="139">
        <f>cobranças!EN48/1000000-H47</f>
        <v>0</v>
      </c>
      <c r="L47" s="36"/>
      <c r="M47" s="36"/>
      <c r="N47" s="36"/>
    </row>
    <row r="48" spans="1:14" s="5" customFormat="1" ht="12.75" x14ac:dyDescent="0.2">
      <c r="A48" s="200"/>
      <c r="B48" s="15" t="s">
        <v>141</v>
      </c>
      <c r="C48" s="1" t="s">
        <v>13</v>
      </c>
      <c r="D48" s="2">
        <f>cobranças!D49</f>
        <v>43009</v>
      </c>
      <c r="E48" s="170">
        <f>cobranças!EE49/1000000</f>
        <v>3.1873926604274967</v>
      </c>
      <c r="F48" s="91">
        <f>cobranças!EL49/1000000</f>
        <v>2.36</v>
      </c>
      <c r="G48" s="91">
        <f>cobranças!EM49/1000000</f>
        <v>13.851712070427496</v>
      </c>
      <c r="H48" s="98">
        <f>cobranças!EN49/1000000</f>
        <v>10.25604435</v>
      </c>
      <c r="I48" s="134"/>
      <c r="J48" s="139">
        <f>cobranças!EM49/1000000-G48</f>
        <v>0</v>
      </c>
      <c r="K48" s="139">
        <f>cobranças!EN49/1000000-H48</f>
        <v>0</v>
      </c>
      <c r="L48" s="36"/>
      <c r="M48" s="36"/>
      <c r="N48" s="36"/>
    </row>
    <row r="49" spans="1:16" s="5" customFormat="1" ht="12.75" x14ac:dyDescent="0.2">
      <c r="A49" s="200"/>
      <c r="B49" s="15" t="s">
        <v>142</v>
      </c>
      <c r="C49" s="1" t="s">
        <v>13</v>
      </c>
      <c r="D49" s="2">
        <f>cobranças!D50</f>
        <v>43040</v>
      </c>
      <c r="E49" s="170">
        <f>cobranças!EE50/1000000</f>
        <v>7.7247809443910098</v>
      </c>
      <c r="F49" s="91">
        <f>cobranças!EL50/1000000</f>
        <v>5.75</v>
      </c>
      <c r="G49" s="91">
        <f>cobranças!EM50/1000000</f>
        <v>39.024379734391012</v>
      </c>
      <c r="H49" s="98">
        <f>cobranças!EN50/1000000</f>
        <v>29.048096649999998</v>
      </c>
      <c r="I49" s="134"/>
      <c r="J49" s="139">
        <f>cobranças!EM50/1000000-G49</f>
        <v>0</v>
      </c>
      <c r="K49" s="139">
        <f>cobranças!EN50/1000000-H49</f>
        <v>0</v>
      </c>
      <c r="L49" s="36"/>
      <c r="M49" s="36"/>
      <c r="N49" s="36"/>
    </row>
    <row r="50" spans="1:16" s="5" customFormat="1" ht="12.75" x14ac:dyDescent="0.2">
      <c r="A50" s="200"/>
      <c r="B50" s="15" t="s">
        <v>143</v>
      </c>
      <c r="C50" s="1" t="s">
        <v>13</v>
      </c>
      <c r="D50" s="2">
        <f>cobranças!D51</f>
        <v>43101</v>
      </c>
      <c r="E50" s="170">
        <f>cobranças!EE51/1000000</f>
        <v>0.18764524056572759</v>
      </c>
      <c r="F50" s="91">
        <f>cobranças!EL51/1000000</f>
        <v>0.18</v>
      </c>
      <c r="G50" s="91">
        <f>cobranças!EM51/1000000</f>
        <v>0.83768067056572759</v>
      </c>
      <c r="H50" s="98">
        <f>cobranças!EN51/1000000</f>
        <v>0.80355100000000002</v>
      </c>
      <c r="I50" s="134"/>
      <c r="J50" s="139">
        <f>cobranças!EM51/1000000-G50</f>
        <v>0</v>
      </c>
      <c r="K50" s="139">
        <f>cobranças!EN51/1000000-H50</f>
        <v>0</v>
      </c>
      <c r="L50" s="36"/>
      <c r="M50" s="36"/>
      <c r="N50" s="36"/>
    </row>
    <row r="51" spans="1:16" s="5" customFormat="1" ht="12.75" x14ac:dyDescent="0.2">
      <c r="A51" s="200"/>
      <c r="B51" s="141" t="s">
        <v>147</v>
      </c>
      <c r="C51" s="1" t="s">
        <v>13</v>
      </c>
      <c r="D51" s="2">
        <f>cobranças!D52</f>
        <v>43191</v>
      </c>
      <c r="E51" s="91">
        <f>cobranças!EE52/1000000</f>
        <v>5.5872258100000005</v>
      </c>
      <c r="F51" s="91">
        <f>cobranças!EL52/1000000</f>
        <v>5.39497962</v>
      </c>
      <c r="G51" s="91">
        <f>cobranças!EM52/1000000</f>
        <v>21.964211490000004</v>
      </c>
      <c r="H51" s="98">
        <f>cobranças!EN52/1000000</f>
        <v>20.378298520000001</v>
      </c>
      <c r="I51" s="134"/>
      <c r="J51" s="139">
        <f>cobranças!EM52/1000000-G51</f>
        <v>0</v>
      </c>
      <c r="K51" s="139">
        <f>cobranças!EN52/1000000-H51</f>
        <v>0</v>
      </c>
      <c r="L51" s="36"/>
      <c r="M51" s="36"/>
      <c r="N51" s="36"/>
    </row>
    <row r="52" spans="1:16" s="5" customFormat="1" ht="12.75" x14ac:dyDescent="0.2">
      <c r="A52" s="200"/>
      <c r="B52" s="141" t="s">
        <v>148</v>
      </c>
      <c r="C52" s="1" t="s">
        <v>13</v>
      </c>
      <c r="D52" s="2">
        <f>cobranças!D53</f>
        <v>43252</v>
      </c>
      <c r="E52" s="170">
        <f>cobranças!EE53/1000000</f>
        <v>1.582207049512474</v>
      </c>
      <c r="F52" s="91">
        <f>cobranças!EL53/1000000</f>
        <v>1.19</v>
      </c>
      <c r="G52" s="91">
        <f>cobranças!EM53/1000000</f>
        <v>7.6616606295124727</v>
      </c>
      <c r="H52" s="98">
        <f>cobranças!EN53/1000000</f>
        <v>5.7624418699999991</v>
      </c>
      <c r="I52" s="134"/>
      <c r="J52" s="139">
        <f>cobranças!EM53/1000000-G52</f>
        <v>0</v>
      </c>
      <c r="K52" s="139">
        <f>cobranças!EN53/1000000-H52</f>
        <v>0</v>
      </c>
      <c r="L52" s="36"/>
      <c r="M52" s="36"/>
      <c r="N52" s="36"/>
    </row>
    <row r="53" spans="1:16" s="5" customFormat="1" ht="12.75" x14ac:dyDescent="0.2">
      <c r="A53" s="200"/>
      <c r="B53" s="141" t="s">
        <v>149</v>
      </c>
      <c r="C53" s="1" t="s">
        <v>13</v>
      </c>
      <c r="D53" s="2">
        <f>cobranças!D54</f>
        <v>43282</v>
      </c>
      <c r="E53" s="170">
        <f>cobranças!EE54/1000000</f>
        <v>3.3540005967489508</v>
      </c>
      <c r="F53" s="91">
        <f>cobranças!EL54/1000000</f>
        <v>2.98</v>
      </c>
      <c r="G53" s="91">
        <f>cobranças!EM54/1000000</f>
        <v>13.65557781674895</v>
      </c>
      <c r="H53" s="98">
        <f>cobranças!EN54/1000000</f>
        <v>12.13286066</v>
      </c>
      <c r="I53" s="134"/>
      <c r="J53" s="139">
        <f>cobranças!EM54/1000000-G53</f>
        <v>0</v>
      </c>
      <c r="K53" s="139">
        <f>cobranças!EN54/1000000-H53</f>
        <v>0</v>
      </c>
      <c r="L53" s="36"/>
      <c r="M53" s="36"/>
      <c r="N53" s="36"/>
    </row>
    <row r="54" spans="1:16" s="5" customFormat="1" ht="12.75" x14ac:dyDescent="0.2">
      <c r="A54" s="200"/>
      <c r="B54" s="141" t="s">
        <v>150</v>
      </c>
      <c r="C54" s="1" t="s">
        <v>13</v>
      </c>
      <c r="D54" s="2">
        <f>cobranças!D55</f>
        <v>43405</v>
      </c>
      <c r="E54" s="170">
        <f>cobranças!EE55/1000000</f>
        <v>5.5884190017833806</v>
      </c>
      <c r="F54" s="91">
        <f>cobranças!EL55/1000000</f>
        <v>4.96</v>
      </c>
      <c r="G54" s="91">
        <f>cobranças!EM55/1000000</f>
        <v>18.224579111783378</v>
      </c>
      <c r="H54" s="98">
        <f>cobranças!EN55/1000000</f>
        <v>16.175221000000001</v>
      </c>
      <c r="I54" s="134"/>
      <c r="J54" s="139">
        <f>cobranças!EM55/1000000-G54</f>
        <v>0</v>
      </c>
      <c r="K54" s="139">
        <f>cobranças!EN55/1000000-H54</f>
        <v>0</v>
      </c>
      <c r="L54" s="36"/>
      <c r="M54" s="158"/>
      <c r="N54" s="158"/>
      <c r="O54" s="158"/>
      <c r="P54" s="158"/>
    </row>
    <row r="55" spans="1:16" s="5" customFormat="1" ht="12.75" x14ac:dyDescent="0.2">
      <c r="A55" s="200"/>
      <c r="B55" s="141" t="s">
        <v>158</v>
      </c>
      <c r="C55" s="1" t="s">
        <v>13</v>
      </c>
      <c r="D55" s="2">
        <v>43770</v>
      </c>
      <c r="E55" s="170">
        <f>cobranças!EE56/1000000</f>
        <v>1.9830500586671249</v>
      </c>
      <c r="F55" s="91">
        <f>cobranças!EL56/1000000</f>
        <v>1.64</v>
      </c>
      <c r="G55" s="91">
        <f>cobranças!EM56/1000000</f>
        <v>5.6902234386671253</v>
      </c>
      <c r="H55" s="98">
        <f>cobranças!EN56/1000000</f>
        <v>4.7058652899999993</v>
      </c>
      <c r="I55" s="134"/>
      <c r="J55" s="139">
        <f>cobranças!EM56/1000000-G55</f>
        <v>0</v>
      </c>
      <c r="K55" s="139">
        <f>cobranças!EN56/1000000-H55</f>
        <v>0</v>
      </c>
      <c r="L55" s="36"/>
      <c r="M55" s="36"/>
      <c r="N55" s="36"/>
    </row>
    <row r="56" spans="1:16" s="5" customFormat="1" ht="12.75" x14ac:dyDescent="0.2">
      <c r="A56" s="200"/>
      <c r="B56" s="141" t="s">
        <v>161</v>
      </c>
      <c r="C56" s="1" t="s">
        <v>13</v>
      </c>
      <c r="D56" s="2">
        <v>44317</v>
      </c>
      <c r="E56" s="170">
        <f>cobranças!EE57/1000000</f>
        <v>1.2098465969932513</v>
      </c>
      <c r="F56" s="91">
        <f>cobranças!EL57/1000000</f>
        <v>1.02</v>
      </c>
      <c r="G56" s="91">
        <f>cobranças!EM57/1000000</f>
        <v>1.8131257969932513</v>
      </c>
      <c r="H56" s="98">
        <f>cobranças!EN57/1000000</f>
        <v>1.5286138900000001</v>
      </c>
      <c r="I56" s="134"/>
      <c r="J56" s="139">
        <f>cobranças!EM57/1000000-G56</f>
        <v>0</v>
      </c>
      <c r="K56" s="139">
        <f>cobranças!EN57/1000000-H56</f>
        <v>0</v>
      </c>
      <c r="L56" s="36"/>
      <c r="M56" s="36"/>
      <c r="N56" s="36"/>
    </row>
    <row r="57" spans="1:16" s="5" customFormat="1" ht="12.75" x14ac:dyDescent="0.2">
      <c r="A57" s="201"/>
      <c r="B57" s="198" t="s">
        <v>41</v>
      </c>
      <c r="C57" s="199"/>
      <c r="D57" s="199"/>
      <c r="E57" s="94">
        <f>cobranças!EE58/1000000</f>
        <v>186.6476460852769</v>
      </c>
      <c r="F57" s="94">
        <f>cobranças!EL58/1000000</f>
        <v>173.46534852000002</v>
      </c>
      <c r="G57" s="94">
        <f>cobranças!EM58/1000000</f>
        <v>1298.6812367952766</v>
      </c>
      <c r="H57" s="106">
        <f>cobranças!EN58/1000000</f>
        <v>1210.7920963399999</v>
      </c>
      <c r="I57" s="6"/>
      <c r="J57" s="139">
        <f>cobranças!EM58/1000000-G57</f>
        <v>0</v>
      </c>
      <c r="K57" s="139">
        <f>cobranças!EN58/1000000-H57</f>
        <v>0</v>
      </c>
      <c r="L57" s="6"/>
      <c r="M57" s="6"/>
      <c r="N57" s="36"/>
    </row>
    <row r="58" spans="1:16" s="5" customFormat="1" ht="12.75" x14ac:dyDescent="0.2">
      <c r="A58" s="196" t="s">
        <v>43</v>
      </c>
      <c r="B58" s="15" t="s">
        <v>17</v>
      </c>
      <c r="C58" s="1" t="s">
        <v>14</v>
      </c>
      <c r="D58" s="2">
        <f>cobranças!D59</f>
        <v>40179</v>
      </c>
      <c r="E58" s="91">
        <f>cobranças!EE59/1000000</f>
        <v>9.3860139999999995E-2</v>
      </c>
      <c r="F58" s="91">
        <f>cobranças!EL59/1000000</f>
        <v>3.3763090000000003E-2</v>
      </c>
      <c r="G58" s="95">
        <f>cobranças!EM59/1000000</f>
        <v>1.3646803198999997</v>
      </c>
      <c r="H58" s="107">
        <f>cobranças!EN59/1000000</f>
        <v>1.2646439299999999</v>
      </c>
      <c r="I58" s="135"/>
      <c r="J58" s="139">
        <f>cobranças!EM59/1000000-G58</f>
        <v>0</v>
      </c>
      <c r="K58" s="139">
        <f>cobranças!EN59/1000000-H58</f>
        <v>0</v>
      </c>
      <c r="L58" s="36"/>
      <c r="M58" s="36"/>
      <c r="N58" s="36"/>
    </row>
    <row r="59" spans="1:16" s="5" customFormat="1" ht="12.75" x14ac:dyDescent="0.2">
      <c r="A59" s="196"/>
      <c r="B59" s="15" t="s">
        <v>19</v>
      </c>
      <c r="C59" s="1" t="s">
        <v>14</v>
      </c>
      <c r="D59" s="2">
        <f>cobranças!D60</f>
        <v>40179</v>
      </c>
      <c r="E59" s="91">
        <f>cobranças!EE60/1000000</f>
        <v>9.9012573500000016</v>
      </c>
      <c r="F59" s="91">
        <f>cobranças!EL60/1000000</f>
        <v>8.237854169999995</v>
      </c>
      <c r="G59" s="95">
        <f>cobranças!EM60/1000000</f>
        <v>133.4727541072001</v>
      </c>
      <c r="H59" s="107">
        <f>cobranças!EN60/1000000</f>
        <v>109.2973895687209</v>
      </c>
      <c r="I59" s="135"/>
      <c r="J59" s="139">
        <f>cobranças!EM60/1000000-G59</f>
        <v>0</v>
      </c>
      <c r="K59" s="139">
        <f>cobranças!EN60/1000000-H59</f>
        <v>0</v>
      </c>
      <c r="L59" s="36"/>
      <c r="M59" s="36"/>
      <c r="N59" s="36"/>
    </row>
    <row r="60" spans="1:16" s="5" customFormat="1" ht="12.75" x14ac:dyDescent="0.2">
      <c r="A60" s="196"/>
      <c r="B60" s="15" t="s">
        <v>20</v>
      </c>
      <c r="C60" s="1" t="s">
        <v>14</v>
      </c>
      <c r="D60" s="2">
        <f>cobranças!D61</f>
        <v>40179</v>
      </c>
      <c r="E60" s="91">
        <f>cobranças!EE61/1000000</f>
        <v>14.303003139999991</v>
      </c>
      <c r="F60" s="91">
        <f>cobranças!EL61/1000000</f>
        <v>10.111324540000002</v>
      </c>
      <c r="G60" s="95">
        <f>cobranças!EM61/1000000</f>
        <v>81.724577856499977</v>
      </c>
      <c r="H60" s="107">
        <f>cobranças!EN61/1000000</f>
        <v>69.072510040751538</v>
      </c>
      <c r="I60" s="135"/>
      <c r="J60" s="139">
        <f>cobranças!EM61/1000000-G60</f>
        <v>0</v>
      </c>
      <c r="K60" s="139">
        <f>cobranças!EN61/1000000-H60</f>
        <v>0</v>
      </c>
      <c r="L60" s="36"/>
      <c r="M60" s="36"/>
      <c r="N60" s="36"/>
    </row>
    <row r="61" spans="1:16" s="5" customFormat="1" ht="12.75" x14ac:dyDescent="0.2">
      <c r="A61" s="196"/>
      <c r="B61" s="15" t="s">
        <v>21</v>
      </c>
      <c r="C61" s="1" t="s">
        <v>14</v>
      </c>
      <c r="D61" s="2">
        <f>cobranças!D62</f>
        <v>40909</v>
      </c>
      <c r="E61" s="91">
        <f>cobranças!EE62/1000000</f>
        <v>3.3265717399999999</v>
      </c>
      <c r="F61" s="91">
        <f>cobranças!EL62/1000000</f>
        <v>2.7731504900000004</v>
      </c>
      <c r="G61" s="95">
        <f>cobranças!EM62/1000000</f>
        <v>39.179960080000008</v>
      </c>
      <c r="H61" s="107">
        <f>cobranças!EN62/1000000</f>
        <v>32.735568897691223</v>
      </c>
      <c r="I61" s="135"/>
      <c r="J61" s="139">
        <f>cobranças!EM62/1000000-G61</f>
        <v>0</v>
      </c>
      <c r="K61" s="139">
        <f>cobranças!EN62/1000000-H61</f>
        <v>0</v>
      </c>
      <c r="L61" s="36"/>
      <c r="M61" s="36"/>
      <c r="N61" s="36"/>
    </row>
    <row r="62" spans="1:16" s="5" customFormat="1" ht="12.75" x14ac:dyDescent="0.2">
      <c r="A62" s="196"/>
      <c r="B62" s="15" t="s">
        <v>22</v>
      </c>
      <c r="C62" s="1" t="s">
        <v>14</v>
      </c>
      <c r="D62" s="2">
        <f>cobranças!D63</f>
        <v>40909</v>
      </c>
      <c r="E62" s="91">
        <f>cobranças!EE63/1000000</f>
        <v>11.459679359999997</v>
      </c>
      <c r="F62" s="91">
        <f>cobranças!EL63/1000000</f>
        <v>11.028053850000004</v>
      </c>
      <c r="G62" s="95">
        <f>cobranças!EM63/1000000</f>
        <v>104.58746343999999</v>
      </c>
      <c r="H62" s="107">
        <f>cobranças!EN63/1000000</f>
        <v>100.81060195494972</v>
      </c>
      <c r="I62" s="135"/>
      <c r="J62" s="139">
        <f>cobranças!EM63/1000000-G62</f>
        <v>0</v>
      </c>
      <c r="K62" s="139">
        <f>cobranças!EN63/1000000-H62</f>
        <v>0</v>
      </c>
      <c r="L62" s="36"/>
      <c r="M62" s="36"/>
      <c r="N62" s="36"/>
    </row>
    <row r="63" spans="1:16" s="5" customFormat="1" ht="12.75" x14ac:dyDescent="0.2">
      <c r="A63" s="196"/>
      <c r="B63" s="15" t="s">
        <v>23</v>
      </c>
      <c r="C63" s="1" t="s">
        <v>14</v>
      </c>
      <c r="D63" s="2">
        <f>cobranças!D64</f>
        <v>40909</v>
      </c>
      <c r="E63" s="91">
        <f>cobranças!EE64/1000000</f>
        <v>1.8557803400000004</v>
      </c>
      <c r="F63" s="91">
        <f>cobranças!EL64/1000000</f>
        <v>1.4557423799999998</v>
      </c>
      <c r="G63" s="95">
        <f>cobranças!EM64/1000000</f>
        <v>26.220146430000003</v>
      </c>
      <c r="H63" s="107">
        <f>cobranças!EN64/1000000</f>
        <v>24.453062825495046</v>
      </c>
      <c r="I63" s="135"/>
      <c r="J63" s="139">
        <f>cobranças!EM64/1000000-G63</f>
        <v>0</v>
      </c>
      <c r="K63" s="139">
        <f>cobranças!EN64/1000000-H63</f>
        <v>0</v>
      </c>
      <c r="L63" s="36"/>
      <c r="M63" s="36"/>
      <c r="N63" s="36"/>
    </row>
    <row r="64" spans="1:16" s="5" customFormat="1" ht="12.75" x14ac:dyDescent="0.2">
      <c r="A64" s="196"/>
      <c r="B64" s="15" t="s">
        <v>24</v>
      </c>
      <c r="C64" s="1" t="s">
        <v>14</v>
      </c>
      <c r="D64" s="2">
        <f>cobranças!D65</f>
        <v>40909</v>
      </c>
      <c r="E64" s="91">
        <f>cobranças!EE65/1000000</f>
        <v>1.5611184000000005</v>
      </c>
      <c r="F64" s="91">
        <f>cobranças!EL65/1000000</f>
        <v>0.65207284000000021</v>
      </c>
      <c r="G64" s="95">
        <f>cobranças!EM65/1000000</f>
        <v>13.688396939999999</v>
      </c>
      <c r="H64" s="107">
        <f>cobranças!EN65/1000000</f>
        <v>7.5036496286457091</v>
      </c>
      <c r="I64" s="135"/>
      <c r="J64" s="139">
        <f>cobranças!EM65/1000000-G64</f>
        <v>0</v>
      </c>
      <c r="K64" s="139">
        <f>cobranças!EN65/1000000-H64</f>
        <v>0</v>
      </c>
      <c r="L64" s="36"/>
      <c r="M64" s="36"/>
      <c r="N64" s="36"/>
    </row>
    <row r="65" spans="1:14" s="5" customFormat="1" ht="12.75" x14ac:dyDescent="0.2">
      <c r="A65" s="196"/>
      <c r="B65" s="15" t="s">
        <v>25</v>
      </c>
      <c r="C65" s="1" t="s">
        <v>14</v>
      </c>
      <c r="D65" s="2">
        <f>cobranças!D66</f>
        <v>40909</v>
      </c>
      <c r="E65" s="91">
        <f>cobranças!EE66/1000000</f>
        <v>0.84278884999999981</v>
      </c>
      <c r="F65" s="91">
        <f>cobranças!EL66/1000000</f>
        <v>0.70268368000000003</v>
      </c>
      <c r="G65" s="95">
        <f>cobranças!EM66/1000000</f>
        <v>10.881539319999998</v>
      </c>
      <c r="H65" s="107">
        <f>cobranças!EN66/1000000</f>
        <v>7.825291985641659</v>
      </c>
      <c r="I65" s="135"/>
      <c r="J65" s="139">
        <f>cobranças!EM66/1000000-G65</f>
        <v>0</v>
      </c>
      <c r="K65" s="139">
        <f>cobranças!EN66/1000000-H65</f>
        <v>0</v>
      </c>
      <c r="L65" s="36"/>
      <c r="M65" s="36"/>
      <c r="N65" s="36"/>
    </row>
    <row r="66" spans="1:14" s="5" customFormat="1" ht="12.75" x14ac:dyDescent="0.2">
      <c r="A66" s="196"/>
      <c r="B66" s="15" t="s">
        <v>26</v>
      </c>
      <c r="C66" s="1" t="s">
        <v>14</v>
      </c>
      <c r="D66" s="2">
        <f>cobranças!D67</f>
        <v>40909</v>
      </c>
      <c r="E66" s="91">
        <f>cobranças!EE67/1000000</f>
        <v>0.55167063999999999</v>
      </c>
      <c r="F66" s="91">
        <f>cobranças!EL67/1000000</f>
        <v>0.34222116999999991</v>
      </c>
      <c r="G66" s="95">
        <f>cobranças!EM67/1000000</f>
        <v>10.405721449999996</v>
      </c>
      <c r="H66" s="107">
        <f>cobranças!EN67/1000000</f>
        <v>8.471459075892545</v>
      </c>
      <c r="I66" s="135"/>
      <c r="J66" s="139">
        <f>cobranças!EM67/1000000-G66</f>
        <v>0</v>
      </c>
      <c r="K66" s="139">
        <f>cobranças!EN67/1000000-H66</f>
        <v>0</v>
      </c>
      <c r="L66" s="36"/>
      <c r="M66" s="36"/>
      <c r="N66" s="36"/>
    </row>
    <row r="67" spans="1:14" s="5" customFormat="1" ht="12.75" x14ac:dyDescent="0.2">
      <c r="A67" s="196"/>
      <c r="B67" s="15" t="s">
        <v>96</v>
      </c>
      <c r="C67" s="1" t="s">
        <v>14</v>
      </c>
      <c r="D67" s="2">
        <f>cobranças!D68</f>
        <v>41944</v>
      </c>
      <c r="E67" s="91">
        <f>cobranças!EE68/1000000</f>
        <v>0.84282433999999973</v>
      </c>
      <c r="F67" s="91">
        <f>cobranças!EL68/1000000</f>
        <v>0.64018671999999988</v>
      </c>
      <c r="G67" s="95">
        <f>cobranças!EM68/1000000</f>
        <v>11.391285220000002</v>
      </c>
      <c r="H67" s="107">
        <f>cobranças!EN68/1000000</f>
        <v>9.5915638289546639</v>
      </c>
      <c r="I67" s="135"/>
      <c r="J67" s="139">
        <f>cobranças!EM68/1000000-G67</f>
        <v>0</v>
      </c>
      <c r="K67" s="139">
        <f>cobranças!EN68/1000000-H67</f>
        <v>0</v>
      </c>
      <c r="L67" s="36"/>
      <c r="M67" s="36"/>
      <c r="N67" s="36"/>
    </row>
    <row r="68" spans="1:14" s="5" customFormat="1" ht="12.75" x14ac:dyDescent="0.2">
      <c r="A68" s="196"/>
      <c r="B68" s="15" t="s">
        <v>97</v>
      </c>
      <c r="C68" s="1" t="s">
        <v>14</v>
      </c>
      <c r="D68" s="2">
        <f>cobranças!D69</f>
        <v>41944</v>
      </c>
      <c r="E68" s="91">
        <f>cobranças!EE69/1000000</f>
        <v>1.1765750499999998</v>
      </c>
      <c r="F68" s="91">
        <f>cobranças!EL69/1000000</f>
        <v>1.0079389500000002</v>
      </c>
      <c r="G68" s="95">
        <f>cobranças!EM69/1000000</f>
        <v>11.0263592</v>
      </c>
      <c r="H68" s="107">
        <f>cobranças!EN69/1000000</f>
        <v>9.2423690343909666</v>
      </c>
      <c r="I68" s="135"/>
      <c r="J68" s="139">
        <f>cobranças!EM69/1000000-G68</f>
        <v>0</v>
      </c>
      <c r="K68" s="139">
        <f>cobranças!EN69/1000000-H68</f>
        <v>0</v>
      </c>
      <c r="L68" s="36"/>
      <c r="M68" s="36"/>
      <c r="N68" s="36"/>
    </row>
    <row r="69" spans="1:14" s="5" customFormat="1" ht="12.75" x14ac:dyDescent="0.2">
      <c r="A69" s="196"/>
      <c r="B69" s="15" t="s">
        <v>139</v>
      </c>
      <c r="C69" s="1" t="s">
        <v>14</v>
      </c>
      <c r="D69" s="2">
        <f>cobranças!D70</f>
        <v>42736</v>
      </c>
      <c r="E69" s="91">
        <f>cobranças!EE70/1000000</f>
        <v>2.8099399300000001</v>
      </c>
      <c r="F69" s="91">
        <f>cobranças!EL70/1000000</f>
        <v>1.9069314300000002</v>
      </c>
      <c r="G69" s="95">
        <f>cobranças!EM70/1000000</f>
        <v>16.269751879999994</v>
      </c>
      <c r="H69" s="107">
        <f>cobranças!EN70/1000000</f>
        <v>13.99869514675216</v>
      </c>
      <c r="I69" s="135"/>
      <c r="J69" s="139">
        <f>cobranças!EM70/1000000-G69</f>
        <v>0</v>
      </c>
      <c r="K69" s="139">
        <f>cobranças!EN70/1000000-H69</f>
        <v>0</v>
      </c>
      <c r="L69" s="36"/>
      <c r="M69" s="36"/>
      <c r="N69" s="36"/>
    </row>
    <row r="70" spans="1:14" s="5" customFormat="1" ht="12.75" x14ac:dyDescent="0.2">
      <c r="A70" s="197"/>
      <c r="B70" s="206" t="s">
        <v>42</v>
      </c>
      <c r="C70" s="207"/>
      <c r="D70" s="207"/>
      <c r="E70" s="93">
        <f>cobranças!EE71/1000000</f>
        <v>48.725069279999985</v>
      </c>
      <c r="F70" s="93">
        <f>cobranças!EL71/1000000</f>
        <v>38.89192331000001</v>
      </c>
      <c r="G70" s="96">
        <f>cobranças!EM71/1000000</f>
        <v>460.21263624360006</v>
      </c>
      <c r="H70" s="108">
        <f>cobranças!EN71/1000000</f>
        <v>394.26680591788619</v>
      </c>
      <c r="I70" s="6"/>
      <c r="J70" s="139">
        <f>cobranças!EM71/1000000-G70</f>
        <v>0</v>
      </c>
      <c r="K70" s="139">
        <f>cobranças!EN71/1000000-H70</f>
        <v>0</v>
      </c>
      <c r="L70" s="6"/>
      <c r="M70" s="36"/>
      <c r="N70" s="36"/>
    </row>
    <row r="71" spans="1:14" s="5" customFormat="1" ht="12.75" x14ac:dyDescent="0.2">
      <c r="A71" s="200" t="s">
        <v>36</v>
      </c>
      <c r="B71" s="15" t="s">
        <v>33</v>
      </c>
      <c r="C71" s="1" t="s">
        <v>34</v>
      </c>
      <c r="D71" s="2">
        <f>cobranças!D72</f>
        <v>41518</v>
      </c>
      <c r="E71" s="100">
        <f>cobranças!EE72/1000000</f>
        <v>4.7143327300000006</v>
      </c>
      <c r="F71" s="100">
        <f>cobranças!EL72/1000000</f>
        <v>1.63786802</v>
      </c>
      <c r="G71" s="91">
        <f>cobranças!EM72/1000000</f>
        <v>33.24908765</v>
      </c>
      <c r="H71" s="98">
        <f>cobranças!EN72/1000000</f>
        <v>28.825563169999999</v>
      </c>
      <c r="J71" s="139">
        <f>cobranças!EM72/1000000-G71</f>
        <v>0</v>
      </c>
      <c r="K71" s="139">
        <f>cobranças!EN72/1000000-H71</f>
        <v>0</v>
      </c>
      <c r="L71" s="36"/>
      <c r="M71" s="36"/>
      <c r="N71" s="36"/>
    </row>
    <row r="72" spans="1:14" s="5" customFormat="1" ht="12.75" x14ac:dyDescent="0.2">
      <c r="A72" s="201"/>
      <c r="B72" s="198" t="s">
        <v>44</v>
      </c>
      <c r="C72" s="199"/>
      <c r="D72" s="199"/>
      <c r="E72" s="94">
        <f>cobranças!EE73/1000000</f>
        <v>4.7143327300000006</v>
      </c>
      <c r="F72" s="94">
        <f>cobranças!EL73/1000000</f>
        <v>1.63786802</v>
      </c>
      <c r="G72" s="94">
        <f>cobranças!EM73/1000000</f>
        <v>33.24908765</v>
      </c>
      <c r="H72" s="106">
        <f>cobranças!EN73/1000000</f>
        <v>28.825563169999999</v>
      </c>
      <c r="J72" s="139">
        <f>cobranças!EM73/1000000-G72</f>
        <v>0</v>
      </c>
      <c r="K72" s="139">
        <f>cobranças!EN73/1000000-H72</f>
        <v>0</v>
      </c>
      <c r="L72" s="36"/>
      <c r="M72" s="36"/>
      <c r="N72" s="36"/>
    </row>
    <row r="73" spans="1:14" s="5" customFormat="1" ht="12.75" x14ac:dyDescent="0.2">
      <c r="A73" s="212" t="s">
        <v>94</v>
      </c>
      <c r="B73" s="15" t="s">
        <v>114</v>
      </c>
      <c r="C73" s="1" t="s">
        <v>99</v>
      </c>
      <c r="D73" s="2">
        <f>cobranças!D74</f>
        <v>42005</v>
      </c>
      <c r="E73" s="91">
        <f>cobranças!EE74/1000000</f>
        <v>1.8616568999999998</v>
      </c>
      <c r="F73" s="91">
        <f>cobranças!EL74/1000000</f>
        <v>1.9620358899999997</v>
      </c>
      <c r="G73" s="91">
        <f>cobranças!EM74/1000000</f>
        <v>10.1836886</v>
      </c>
      <c r="H73" s="98">
        <f>cobranças!EN74/1000000</f>
        <v>9.8997078399999996</v>
      </c>
      <c r="J73" s="139">
        <f>cobranças!EM74/1000000-G73</f>
        <v>0</v>
      </c>
      <c r="K73" s="139">
        <f>cobranças!EN74/1000000-H73</f>
        <v>0</v>
      </c>
      <c r="L73" s="36"/>
      <c r="M73" s="36"/>
      <c r="N73" s="36"/>
    </row>
    <row r="74" spans="1:14" s="5" customFormat="1" ht="12.75" x14ac:dyDescent="0.2">
      <c r="A74" s="212"/>
      <c r="B74" s="15" t="s">
        <v>100</v>
      </c>
      <c r="C74" s="1" t="s">
        <v>99</v>
      </c>
      <c r="D74" s="2">
        <f>cobranças!D75</f>
        <v>42005</v>
      </c>
      <c r="E74" s="91">
        <f>cobranças!EE75/1000000</f>
        <v>2.9858537099999998</v>
      </c>
      <c r="F74" s="91">
        <f>cobranças!EL75/1000000</f>
        <v>2.0310092500000003</v>
      </c>
      <c r="G74" s="91">
        <f>cobranças!EM75/1000000</f>
        <v>13.60403969</v>
      </c>
      <c r="H74" s="98">
        <f>cobranças!EN75/1000000</f>
        <v>11.810807949999999</v>
      </c>
      <c r="J74" s="139">
        <f>cobranças!EM75/1000000-G74</f>
        <v>0</v>
      </c>
      <c r="K74" s="139">
        <f>cobranças!EN75/1000000-H74</f>
        <v>0</v>
      </c>
      <c r="L74" s="36"/>
      <c r="M74" s="36"/>
      <c r="N74" s="36"/>
    </row>
    <row r="75" spans="1:14" s="5" customFormat="1" ht="12.75" x14ac:dyDescent="0.2">
      <c r="A75" s="212"/>
      <c r="B75" s="15" t="s">
        <v>164</v>
      </c>
      <c r="C75" s="1" t="s">
        <v>7</v>
      </c>
      <c r="D75" s="2">
        <v>2022</v>
      </c>
      <c r="E75" s="91">
        <f>cobranças!EE76/1000000</f>
        <v>0.52045858</v>
      </c>
      <c r="F75" s="91">
        <f>cobranças!EL76/1000000</f>
        <v>0.43305320000000003</v>
      </c>
      <c r="G75" s="91">
        <f>cobranças!EM76/1000000</f>
        <v>0.52045858</v>
      </c>
      <c r="H75" s="98">
        <f>cobranças!EN76/1000000</f>
        <v>0.43305320000000003</v>
      </c>
      <c r="J75" s="139"/>
      <c r="K75" s="139"/>
      <c r="L75" s="36"/>
      <c r="M75" s="36"/>
      <c r="N75" s="36"/>
    </row>
    <row r="76" spans="1:14" s="5" customFormat="1" ht="12.75" x14ac:dyDescent="0.2">
      <c r="A76" s="212"/>
      <c r="B76" s="15" t="s">
        <v>115</v>
      </c>
      <c r="C76" s="1" t="s">
        <v>99</v>
      </c>
      <c r="D76" s="2">
        <f>cobranças!D77</f>
        <v>42005</v>
      </c>
      <c r="E76" s="91">
        <f>cobranças!EE77/1000000</f>
        <v>0.91001916000000005</v>
      </c>
      <c r="F76" s="91">
        <f>cobranças!EL77/1000000</f>
        <v>0.86070620000000009</v>
      </c>
      <c r="G76" s="91">
        <f>cobranças!EM77/1000000</f>
        <v>4.6753358799999996</v>
      </c>
      <c r="H76" s="98">
        <f>cobranças!EN77/1000000</f>
        <v>4.2673753000000003</v>
      </c>
      <c r="J76" s="139">
        <f>cobranças!EM77/1000000-G76</f>
        <v>0</v>
      </c>
      <c r="K76" s="139">
        <f>cobranças!EN77/1000000-H76</f>
        <v>0</v>
      </c>
      <c r="L76" s="36"/>
      <c r="M76" s="36"/>
      <c r="N76" s="36"/>
    </row>
    <row r="77" spans="1:14" s="5" customFormat="1" ht="12.75" x14ac:dyDescent="0.2">
      <c r="A77" s="212"/>
      <c r="B77" s="15" t="s">
        <v>151</v>
      </c>
      <c r="C77" s="1" t="s">
        <v>99</v>
      </c>
      <c r="D77" s="2">
        <f>cobranças!D78</f>
        <v>42005</v>
      </c>
      <c r="E77" s="91">
        <f>cobranças!EE78/1000000</f>
        <v>0.40075309000000003</v>
      </c>
      <c r="F77" s="91">
        <f>cobranças!EL78/1000000</f>
        <v>0.28236557000000001</v>
      </c>
      <c r="G77" s="91">
        <f>cobranças!EM78/1000000</f>
        <v>1.2260364500000001</v>
      </c>
      <c r="H77" s="98">
        <f>cobranças!EN78/1000000</f>
        <v>0.71291417999999995</v>
      </c>
      <c r="J77" s="139">
        <f>cobranças!EM78/1000000-G77</f>
        <v>0</v>
      </c>
      <c r="K77" s="139">
        <f>cobranças!EN78/1000000-H77</f>
        <v>0</v>
      </c>
      <c r="L77" s="36"/>
      <c r="M77" s="36"/>
      <c r="N77" s="36"/>
    </row>
    <row r="78" spans="1:14" s="5" customFormat="1" ht="12.75" x14ac:dyDescent="0.2">
      <c r="A78" s="212"/>
      <c r="B78" s="15" t="s">
        <v>146</v>
      </c>
      <c r="C78" s="1" t="s">
        <v>99</v>
      </c>
      <c r="D78" s="2">
        <f>cobranças!D79</f>
        <v>42036</v>
      </c>
      <c r="E78" s="91">
        <f>cobranças!EE79/1000000</f>
        <v>2.903818E-2</v>
      </c>
      <c r="F78" s="91">
        <f>cobranças!EL79/1000000</f>
        <v>2.0933129999999998E-2</v>
      </c>
      <c r="G78" s="91">
        <f>cobranças!EM79/1000000</f>
        <v>0.11303548000000001</v>
      </c>
      <c r="H78" s="98">
        <f>cobranças!EN79/1000000</f>
        <v>9.6268669999999987E-2</v>
      </c>
      <c r="J78" s="139">
        <f>cobranças!EM79/1000000-G78</f>
        <v>0</v>
      </c>
      <c r="K78" s="139">
        <f>cobranças!EN79/1000000-H78</f>
        <v>0</v>
      </c>
      <c r="L78" s="36"/>
      <c r="M78" s="36"/>
      <c r="N78" s="36"/>
    </row>
    <row r="79" spans="1:14" s="5" customFormat="1" ht="12.75" x14ac:dyDescent="0.2">
      <c r="A79" s="213"/>
      <c r="B79" s="206" t="s">
        <v>98</v>
      </c>
      <c r="C79" s="207"/>
      <c r="D79" s="207"/>
      <c r="E79" s="93">
        <f>cobranças!EE80/1000000</f>
        <v>6.7077796199999993</v>
      </c>
      <c r="F79" s="93">
        <f>cobranças!EL80/1000000</f>
        <v>5.5901032400000004</v>
      </c>
      <c r="G79" s="93">
        <f>cobranças!EM80/1000000</f>
        <v>30.322594679999995</v>
      </c>
      <c r="H79" s="99">
        <f>cobranças!EN80/1000000</f>
        <v>27.220127139999999</v>
      </c>
      <c r="I79" s="6"/>
      <c r="J79" s="139">
        <f>cobranças!EM80/1000000-G79</f>
        <v>0</v>
      </c>
      <c r="K79" s="139">
        <f>cobranças!EN80/1000000-H79</f>
        <v>0</v>
      </c>
      <c r="L79" s="6"/>
      <c r="M79" s="36"/>
      <c r="N79" s="36"/>
    </row>
    <row r="80" spans="1:14" ht="15" customHeight="1" thickBot="1" x14ac:dyDescent="0.3">
      <c r="A80" s="240" t="s">
        <v>124</v>
      </c>
      <c r="B80" s="241"/>
      <c r="C80" s="241"/>
      <c r="D80" s="241"/>
      <c r="E80" s="97">
        <f>cobranças!EE81/1000000</f>
        <v>636.09968259527648</v>
      </c>
      <c r="F80" s="97">
        <f>cobranças!EL81/1000000</f>
        <v>585.56575212000007</v>
      </c>
      <c r="G80" s="97">
        <f>cobranças!EM81/1000000</f>
        <v>5363.2741964135766</v>
      </c>
      <c r="H80" s="101">
        <f>cobranças!EN81/1000000</f>
        <v>5010.3040463608868</v>
      </c>
      <c r="I80" s="152"/>
      <c r="J80" s="139">
        <f>cobranças!EM81/1000000-G80</f>
        <v>0</v>
      </c>
      <c r="K80" s="139">
        <f>cobranças!EN81/1000000-H80</f>
        <v>0</v>
      </c>
    </row>
    <row r="81" spans="1:18" s="43" customFormat="1" ht="12.75" x14ac:dyDescent="0.2">
      <c r="A81" s="5"/>
      <c r="B81" s="45"/>
      <c r="C81" s="45"/>
      <c r="D81" s="45"/>
      <c r="E81" s="46"/>
      <c r="F81" s="46"/>
      <c r="G81" s="46"/>
      <c r="H81" s="46"/>
      <c r="J81" s="129"/>
    </row>
    <row r="82" spans="1:18" s="43" customFormat="1" x14ac:dyDescent="0.25">
      <c r="A82" s="60"/>
      <c r="B82" s="61"/>
      <c r="C82" s="61"/>
      <c r="D82" s="61"/>
      <c r="E82" s="138"/>
      <c r="F82" s="138"/>
      <c r="G82" s="138"/>
      <c r="H82" s="138"/>
    </row>
    <row r="83" spans="1:18" s="43" customFormat="1" ht="13.5" thickBot="1" x14ac:dyDescent="0.25">
      <c r="B83" s="45"/>
      <c r="C83" s="45"/>
      <c r="D83" s="45"/>
      <c r="E83" s="46"/>
      <c r="F83" s="46"/>
      <c r="G83" s="46"/>
      <c r="H83" s="46"/>
    </row>
    <row r="84" spans="1:18" x14ac:dyDescent="0.25">
      <c r="J84" s="242" t="s">
        <v>154</v>
      </c>
      <c r="K84" s="243"/>
      <c r="L84" s="243"/>
      <c r="M84" s="243"/>
      <c r="N84" s="243"/>
      <c r="O84" s="243"/>
      <c r="P84" s="243"/>
      <c r="Q84" s="243"/>
      <c r="R84" s="244"/>
    </row>
    <row r="85" spans="1:18" x14ac:dyDescent="0.25">
      <c r="J85" s="204" t="s">
        <v>77</v>
      </c>
      <c r="K85" s="190" t="s">
        <v>76</v>
      </c>
      <c r="L85" s="190"/>
      <c r="M85" s="190" t="s">
        <v>2</v>
      </c>
      <c r="N85" s="173">
        <v>2022</v>
      </c>
      <c r="O85" s="175"/>
      <c r="P85" s="173" t="s">
        <v>3</v>
      </c>
      <c r="Q85" s="175"/>
      <c r="R85" s="191" t="s">
        <v>4</v>
      </c>
    </row>
    <row r="86" spans="1:18" x14ac:dyDescent="0.25">
      <c r="J86" s="205"/>
      <c r="K86" s="190"/>
      <c r="L86" s="190"/>
      <c r="M86" s="190"/>
      <c r="N86" s="37" t="s">
        <v>5</v>
      </c>
      <c r="O86" s="37" t="s">
        <v>6</v>
      </c>
      <c r="P86" s="37" t="s">
        <v>5</v>
      </c>
      <c r="Q86" s="37" t="s">
        <v>6</v>
      </c>
      <c r="R86" s="247"/>
    </row>
    <row r="87" spans="1:18" ht="15.75" thickBot="1" x14ac:dyDescent="0.3">
      <c r="J87" s="250"/>
      <c r="K87" s="248" t="s">
        <v>45</v>
      </c>
      <c r="L87" s="249"/>
      <c r="M87" s="143">
        <v>2001</v>
      </c>
      <c r="N87" s="140" t="str">
        <f>cobranças!DK92</f>
        <v>...</v>
      </c>
      <c r="O87" s="144">
        <f>cobranças!EF92/1000000</f>
        <v>217.42098178000001</v>
      </c>
      <c r="P87" s="144" t="str">
        <f>cobranças!EM92</f>
        <v>...</v>
      </c>
      <c r="Q87" s="145">
        <f>cobranças!EN92/1000000</f>
        <v>3169.1612544400004</v>
      </c>
      <c r="R87" s="146" t="s">
        <v>35</v>
      </c>
    </row>
    <row r="88" spans="1:18" s="148" customFormat="1" ht="35.25" customHeight="1" x14ac:dyDescent="0.2">
      <c r="A88" s="147"/>
      <c r="B88" s="147"/>
      <c r="C88" s="147"/>
      <c r="D88" s="147"/>
      <c r="E88" s="147"/>
      <c r="F88" s="147"/>
      <c r="G88" s="147"/>
      <c r="H88" s="147"/>
      <c r="J88" s="245" t="s">
        <v>46</v>
      </c>
      <c r="K88" s="245"/>
      <c r="L88" s="245"/>
      <c r="M88" s="245"/>
      <c r="N88" s="245"/>
      <c r="O88" s="245"/>
      <c r="P88" s="245"/>
      <c r="Q88" s="245"/>
      <c r="R88" s="246"/>
    </row>
    <row r="89" spans="1:18" x14ac:dyDescent="0.25">
      <c r="J89" s="5"/>
      <c r="K89" s="5"/>
      <c r="L89" s="5"/>
      <c r="M89" s="5"/>
      <c r="N89" s="5"/>
      <c r="O89" s="5"/>
      <c r="P89" s="5"/>
      <c r="Q89" s="5"/>
    </row>
  </sheetData>
  <mergeCells count="30">
    <mergeCell ref="J84:R84"/>
    <mergeCell ref="J88:R88"/>
    <mergeCell ref="R85:R86"/>
    <mergeCell ref="K87:L87"/>
    <mergeCell ref="J85:J87"/>
    <mergeCell ref="K85:L86"/>
    <mergeCell ref="M85:M86"/>
    <mergeCell ref="N85:O85"/>
    <mergeCell ref="P85:Q85"/>
    <mergeCell ref="A80:D80"/>
    <mergeCell ref="A58:A70"/>
    <mergeCell ref="B70:D70"/>
    <mergeCell ref="A71:A72"/>
    <mergeCell ref="B72:D72"/>
    <mergeCell ref="A73:A79"/>
    <mergeCell ref="B79:D79"/>
    <mergeCell ref="A11:A25"/>
    <mergeCell ref="B25:D25"/>
    <mergeCell ref="A26:A36"/>
    <mergeCell ref="B36:D36"/>
    <mergeCell ref="A37:A57"/>
    <mergeCell ref="B57:D57"/>
    <mergeCell ref="E2:F2"/>
    <mergeCell ref="G2:H2"/>
    <mergeCell ref="A4:A10"/>
    <mergeCell ref="B10:D10"/>
    <mergeCell ref="A1:H1"/>
    <mergeCell ref="A2:B3"/>
    <mergeCell ref="C2:C3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cobranças</vt:lpstr>
      <vt:lpstr>para conjuntura</vt:lpstr>
      <vt:lpstr>para conjuntura1</vt:lpstr>
      <vt:lpstr>cobranças!Area_de_impressao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Vandelene Ferreira Melo</cp:lastModifiedBy>
  <cp:lastPrinted>2014-03-06T19:55:34Z</cp:lastPrinted>
  <dcterms:created xsi:type="dcterms:W3CDTF">2013-11-01T14:05:07Z</dcterms:created>
  <dcterms:modified xsi:type="dcterms:W3CDTF">2023-07-13T12:57:54Z</dcterms:modified>
</cp:coreProperties>
</file>