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elene.melo\Desktop\Resoluções feitas\"/>
    </mc:Choice>
  </mc:AlternateContent>
  <xr:revisionPtr revIDLastSave="0" documentId="8_{5834E7CE-7B47-47CC-863C-7784B19DA5B9}" xr6:coauthVersionLast="44" xr6:coauthVersionMax="44" xr10:uidLastSave="{00000000-0000-0000-0000-000000000000}"/>
  <bookViews>
    <workbookView xWindow="-120" yWindow="-120" windowWidth="29040" windowHeight="15840" tabRatio="789" xr2:uid="{00000000-000D-0000-FFFF-FFFF00000000}"/>
  </bookViews>
  <sheets>
    <sheet name="comparativo CE" sheetId="33" r:id="rId1"/>
    <sheet name="nomenclaturas" sheetId="3" r:id="rId2"/>
    <sheet name="usuários hipotéticos" sheetId="4" state="hidden" r:id="rId3"/>
    <sheet name="legenda para gráficos" sheetId="16" state="hidden" r:id="rId4"/>
    <sheet name="Dados Gráficos" sheetId="6" state="hidden" r:id="rId5"/>
  </sheets>
  <definedNames>
    <definedName name="_xlnm.Print_Area" localSheetId="0">'comparativo CE'!$A$1:$U$50</definedName>
    <definedName name="_xlnm.Print_Area" localSheetId="3">'legenda para gráficos'!$A$1:$B$95</definedName>
    <definedName name="_xlnm.Print_Area" localSheetId="1">nomenclaturas!$A$1:$B$84</definedName>
    <definedName name="_xlnm.Print_Titles" localSheetId="1">nomenclaturas!$A:$B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41" i="33" l="1"/>
  <c r="AC40" i="33"/>
  <c r="AC44" i="33"/>
  <c r="AC43" i="33"/>
  <c r="AC29" i="33"/>
  <c r="AC28" i="33"/>
  <c r="AC27" i="33"/>
  <c r="AC26" i="33"/>
  <c r="AC38" i="33"/>
  <c r="AC37" i="33"/>
  <c r="AC36" i="33"/>
  <c r="AC34" i="33"/>
  <c r="AC33" i="33"/>
  <c r="AC32" i="33"/>
  <c r="AC15" i="33"/>
  <c r="AC17" i="33"/>
  <c r="AC8" i="33"/>
  <c r="AC12" i="33"/>
  <c r="AB41" i="33" l="1"/>
  <c r="AB40" i="33"/>
  <c r="AB44" i="33"/>
  <c r="AB43" i="33"/>
  <c r="AB29" i="33"/>
  <c r="AB28" i="33"/>
  <c r="AB27" i="33"/>
  <c r="AB26" i="33"/>
  <c r="AB38" i="33"/>
  <c r="AA38" i="33"/>
  <c r="AB37" i="33"/>
  <c r="AB36" i="33"/>
  <c r="AB34" i="33"/>
  <c r="AB33" i="33"/>
  <c r="AB32" i="33"/>
  <c r="AB15" i="33"/>
  <c r="AB17" i="33"/>
  <c r="AB12" i="33"/>
  <c r="AB8" i="33"/>
  <c r="AA44" i="33" l="1"/>
  <c r="AA43" i="33"/>
  <c r="AA41" i="33"/>
  <c r="AA40" i="33"/>
  <c r="AA29" i="33"/>
  <c r="AA28" i="33"/>
  <c r="AA27" i="33"/>
  <c r="AA26" i="33"/>
  <c r="AA37" i="33"/>
  <c r="AA36" i="33"/>
  <c r="AA34" i="33"/>
  <c r="AA33" i="33"/>
  <c r="AA32" i="33"/>
  <c r="AA15" i="33"/>
  <c r="AA17" i="33"/>
  <c r="Y17" i="33"/>
  <c r="AA12" i="33"/>
  <c r="AA8" i="33"/>
  <c r="Z20" i="33" l="1"/>
  <c r="Z19" i="33"/>
  <c r="X18" i="33"/>
  <c r="Y41" i="33"/>
  <c r="Y40" i="33"/>
  <c r="Y29" i="33"/>
  <c r="Y28" i="33"/>
  <c r="Y27" i="33"/>
  <c r="Y26" i="33"/>
  <c r="Y38" i="33"/>
  <c r="Y37" i="33"/>
  <c r="Y36" i="33"/>
  <c r="Y34" i="33"/>
  <c r="Y33" i="33"/>
  <c r="Y32" i="33"/>
  <c r="Y15" i="33"/>
  <c r="Y12" i="33"/>
  <c r="Y8" i="33"/>
  <c r="Y11" i="33"/>
  <c r="U17" i="33" l="1"/>
  <c r="W29" i="33" l="1"/>
  <c r="W28" i="33"/>
  <c r="W27" i="33"/>
  <c r="W26" i="33"/>
  <c r="W37" i="33"/>
  <c r="W36" i="33"/>
  <c r="W41" i="33"/>
  <c r="W40" i="33"/>
  <c r="W38" i="33"/>
  <c r="W34" i="33"/>
  <c r="W33" i="33"/>
  <c r="W32" i="33"/>
  <c r="W17" i="33"/>
  <c r="W15" i="33"/>
  <c r="W12" i="33"/>
  <c r="W11" i="33"/>
  <c r="W8" i="33"/>
  <c r="V41" i="33" l="1"/>
  <c r="V40" i="33"/>
  <c r="V29" i="33"/>
  <c r="V28" i="33"/>
  <c r="V27" i="33"/>
  <c r="V26" i="33"/>
  <c r="V38" i="33"/>
  <c r="V37" i="33"/>
  <c r="V36" i="33"/>
  <c r="V34" i="33"/>
  <c r="V33" i="33"/>
  <c r="V32" i="33"/>
  <c r="V15" i="33"/>
  <c r="V17" i="33"/>
  <c r="V12" i="33"/>
  <c r="V8" i="33"/>
  <c r="V11" i="33"/>
  <c r="U41" i="33" l="1"/>
  <c r="U40" i="33"/>
  <c r="U29" i="33"/>
  <c r="U28" i="33"/>
  <c r="U27" i="33"/>
  <c r="U26" i="33"/>
  <c r="U38" i="33"/>
  <c r="U37" i="33"/>
  <c r="U36" i="33"/>
  <c r="U34" i="33"/>
  <c r="U33" i="33"/>
  <c r="U32" i="33"/>
  <c r="U15" i="33"/>
  <c r="U12" i="33"/>
  <c r="U8" i="33"/>
  <c r="U11" i="33"/>
  <c r="R29" i="33" l="1"/>
  <c r="R28" i="33"/>
  <c r="R37" i="33"/>
  <c r="R33" i="33"/>
  <c r="T29" i="33" l="1"/>
  <c r="T28" i="33"/>
  <c r="T37" i="33"/>
  <c r="T33" i="33"/>
  <c r="S41" i="33" l="1"/>
  <c r="T41" i="33" s="1"/>
  <c r="S40" i="33"/>
  <c r="T40" i="33" s="1"/>
  <c r="S29" i="33"/>
  <c r="S28" i="33"/>
  <c r="S27" i="33"/>
  <c r="T27" i="33" s="1"/>
  <c r="S26" i="33"/>
  <c r="T26" i="33" s="1"/>
  <c r="S38" i="33"/>
  <c r="T38" i="33" s="1"/>
  <c r="S37" i="33"/>
  <c r="S36" i="33"/>
  <c r="T36" i="33" s="1"/>
  <c r="S32" i="33"/>
  <c r="T32" i="33" s="1"/>
  <c r="S33" i="33"/>
  <c r="S34" i="33"/>
  <c r="T34" i="33" s="1"/>
  <c r="S15" i="33"/>
  <c r="T15" i="33" s="1"/>
  <c r="S17" i="33"/>
  <c r="T17" i="33" s="1"/>
  <c r="S8" i="33"/>
  <c r="T8" i="33" s="1"/>
  <c r="S12" i="33"/>
  <c r="T12" i="33" s="1"/>
  <c r="S11" i="33"/>
  <c r="T11" i="33" s="1"/>
  <c r="B13" i="33" l="1"/>
  <c r="B7" i="33"/>
  <c r="B39" i="33"/>
  <c r="B30" i="33"/>
  <c r="B35" i="33"/>
  <c r="Q40" i="33"/>
  <c r="R40" i="33" s="1"/>
  <c r="P40" i="33"/>
  <c r="N40" i="33"/>
  <c r="O40" i="33" s="1"/>
  <c r="H13" i="33"/>
  <c r="Q41" i="33" l="1"/>
  <c r="R41" i="33" s="1"/>
  <c r="P41" i="33"/>
  <c r="O41" i="33"/>
  <c r="M39" i="33"/>
  <c r="L39" i="33"/>
  <c r="K39" i="33"/>
  <c r="J39" i="33"/>
  <c r="Q38" i="33"/>
  <c r="R38" i="33" s="1"/>
  <c r="P38" i="33"/>
  <c r="O38" i="33"/>
  <c r="N38" i="33"/>
  <c r="M38" i="33"/>
  <c r="L38" i="33"/>
  <c r="K38" i="33"/>
  <c r="J38" i="33"/>
  <c r="Q37" i="33"/>
  <c r="P37" i="33"/>
  <c r="N37" i="33"/>
  <c r="O37" i="33" s="1"/>
  <c r="Q36" i="33"/>
  <c r="R36" i="33" s="1"/>
  <c r="P36" i="33"/>
  <c r="N36" i="33"/>
  <c r="O36" i="33" s="1"/>
  <c r="M35" i="33"/>
  <c r="L35" i="33"/>
  <c r="K35" i="33"/>
  <c r="J35" i="33"/>
  <c r="Q34" i="33"/>
  <c r="R34" i="33" s="1"/>
  <c r="P34" i="33"/>
  <c r="N34" i="33"/>
  <c r="O34" i="33" s="1"/>
  <c r="M34" i="33"/>
  <c r="L34" i="33"/>
  <c r="K34" i="33"/>
  <c r="J34" i="33"/>
  <c r="Q33" i="33"/>
  <c r="P33" i="33"/>
  <c r="N33" i="33"/>
  <c r="O33" i="33" s="1"/>
  <c r="Q32" i="33"/>
  <c r="R32" i="33" s="1"/>
  <c r="P32" i="33"/>
  <c r="N32" i="33"/>
  <c r="O32" i="33" s="1"/>
  <c r="M31" i="33"/>
  <c r="L31" i="33"/>
  <c r="K31" i="33"/>
  <c r="J31" i="33"/>
  <c r="Q29" i="33"/>
  <c r="P29" i="33"/>
  <c r="N29" i="33"/>
  <c r="O29" i="33" s="1"/>
  <c r="Q28" i="33"/>
  <c r="P28" i="33"/>
  <c r="N28" i="33"/>
  <c r="O28" i="33" s="1"/>
  <c r="Q27" i="33"/>
  <c r="R27" i="33" s="1"/>
  <c r="P27" i="33"/>
  <c r="N27" i="33"/>
  <c r="O27" i="33" s="1"/>
  <c r="Q26" i="33"/>
  <c r="R26" i="33" s="1"/>
  <c r="P26" i="33"/>
  <c r="N26" i="33"/>
  <c r="O26" i="33" s="1"/>
  <c r="M25" i="33"/>
  <c r="L25" i="33"/>
  <c r="K25" i="33"/>
  <c r="J25" i="33"/>
  <c r="M24" i="33"/>
  <c r="L24" i="33"/>
  <c r="K24" i="33"/>
  <c r="J24" i="33"/>
  <c r="M23" i="33"/>
  <c r="L23" i="33"/>
  <c r="K23" i="33"/>
  <c r="J23" i="33"/>
  <c r="M22" i="33"/>
  <c r="L22" i="33"/>
  <c r="K22" i="33"/>
  <c r="J22" i="33"/>
  <c r="M21" i="33"/>
  <c r="L21" i="33"/>
  <c r="K21" i="33"/>
  <c r="J21" i="33"/>
  <c r="Q17" i="33"/>
  <c r="R17" i="33" s="1"/>
  <c r="P17" i="33"/>
  <c r="N17" i="33"/>
  <c r="O17" i="33" s="1"/>
  <c r="M16" i="33"/>
  <c r="Q15" i="33"/>
  <c r="P15" i="33"/>
  <c r="N15" i="33"/>
  <c r="O15" i="33" s="1"/>
  <c r="M14" i="33"/>
  <c r="L13" i="33"/>
  <c r="K13" i="33"/>
  <c r="J13" i="33"/>
  <c r="I13" i="33"/>
  <c r="E13" i="33"/>
  <c r="Q12" i="33"/>
  <c r="P12" i="33"/>
  <c r="O12" i="33"/>
  <c r="Q11" i="33"/>
  <c r="P11" i="33"/>
  <c r="N11" i="33"/>
  <c r="O11" i="33" s="1"/>
  <c r="M10" i="33"/>
  <c r="Q8" i="33"/>
  <c r="P8" i="33"/>
  <c r="N8" i="33"/>
  <c r="O8" i="33" s="1"/>
  <c r="M8" i="33"/>
  <c r="L9" i="33"/>
  <c r="K9" i="33"/>
  <c r="J9" i="33"/>
  <c r="I9" i="33"/>
  <c r="H9" i="33"/>
  <c r="L7" i="33"/>
  <c r="K7" i="33"/>
  <c r="J7" i="33"/>
  <c r="I7" i="33"/>
  <c r="G7" i="33"/>
  <c r="H7" i="33" s="1"/>
  <c r="F7" i="33"/>
  <c r="E7" i="33"/>
  <c r="I39" i="33" l="1"/>
  <c r="I23" i="33"/>
  <c r="R97" i="6" l="1"/>
  <c r="S97" i="6"/>
  <c r="Q97" i="6"/>
  <c r="N97" i="6"/>
  <c r="A96" i="16"/>
  <c r="B97" i="6"/>
  <c r="A97" i="6"/>
  <c r="M97" i="6"/>
  <c r="H97" i="6"/>
  <c r="T97" i="6" l="1"/>
  <c r="E97" i="6"/>
  <c r="B96" i="16" s="1"/>
  <c r="I97" i="6"/>
  <c r="L97" i="6"/>
  <c r="O97" i="6" s="1"/>
  <c r="G97" i="6"/>
  <c r="J97" i="6" l="1"/>
  <c r="S26" i="6" l="1"/>
  <c r="S25" i="6"/>
  <c r="S24" i="6"/>
  <c r="S23" i="6"/>
  <c r="Q26" i="6"/>
  <c r="Q25" i="6"/>
  <c r="Q24" i="6"/>
  <c r="Q23" i="6"/>
  <c r="M26" i="6"/>
  <c r="N26" i="6"/>
  <c r="N25" i="6"/>
  <c r="N24" i="6"/>
  <c r="N23" i="6"/>
  <c r="L23" i="6"/>
  <c r="C24" i="6"/>
  <c r="C25" i="6"/>
  <c r="C26" i="6"/>
  <c r="C23" i="6"/>
  <c r="A24" i="6"/>
  <c r="A25" i="6"/>
  <c r="A26" i="6"/>
  <c r="A23" i="6"/>
  <c r="B26" i="6"/>
  <c r="B25" i="6"/>
  <c r="B24" i="6"/>
  <c r="B23" i="6"/>
  <c r="R26" i="6"/>
  <c r="L26" i="6"/>
  <c r="M25" i="6"/>
  <c r="L24" i="6"/>
  <c r="I26" i="6"/>
  <c r="G26" i="6"/>
  <c r="I25" i="6"/>
  <c r="G25" i="6"/>
  <c r="H24" i="6"/>
  <c r="G24" i="6"/>
  <c r="H23" i="6"/>
  <c r="I23" i="6"/>
  <c r="I24" i="6" l="1"/>
  <c r="J24" i="6" s="1"/>
  <c r="R25" i="6"/>
  <c r="T25" i="6" s="1"/>
  <c r="L25" i="6"/>
  <c r="O25" i="6" s="1"/>
  <c r="H25" i="6"/>
  <c r="J25" i="6" s="1"/>
  <c r="H26" i="6"/>
  <c r="J26" i="6" s="1"/>
  <c r="M24" i="6"/>
  <c r="O24" i="6" s="1"/>
  <c r="R24" i="6"/>
  <c r="T24" i="6" s="1"/>
  <c r="E26" i="6"/>
  <c r="B25" i="16" s="1"/>
  <c r="E25" i="6"/>
  <c r="B24" i="16" s="1"/>
  <c r="E24" i="6"/>
  <c r="B23" i="16" s="1"/>
  <c r="E23" i="6"/>
  <c r="B22" i="16" s="1"/>
  <c r="O26" i="6"/>
  <c r="T26" i="6"/>
  <c r="M23" i="6"/>
  <c r="O23" i="6" s="1"/>
  <c r="R23" i="6"/>
  <c r="T23" i="6" s="1"/>
  <c r="G23" i="6"/>
  <c r="J23" i="6" s="1"/>
  <c r="R86" i="6"/>
  <c r="S86" i="6"/>
  <c r="Q86" i="6"/>
  <c r="N86" i="6"/>
  <c r="I86" i="6"/>
  <c r="G86" i="6"/>
  <c r="T86" i="6" l="1"/>
  <c r="B86" i="6"/>
  <c r="A86" i="6"/>
  <c r="M86" i="6"/>
  <c r="L86" i="6"/>
  <c r="H86" i="6"/>
  <c r="E86" i="6" l="1"/>
  <c r="B85" i="16" s="1"/>
  <c r="R72" i="6"/>
  <c r="S72" i="6"/>
  <c r="Q72" i="6"/>
  <c r="N72" i="6"/>
  <c r="Q1" i="6"/>
  <c r="S4" i="6"/>
  <c r="Q6" i="6"/>
  <c r="R6" i="6"/>
  <c r="S6" i="6"/>
  <c r="S7" i="6"/>
  <c r="S8" i="6"/>
  <c r="S9" i="6"/>
  <c r="S10" i="6"/>
  <c r="S11" i="6"/>
  <c r="S12" i="6"/>
  <c r="Q13" i="6"/>
  <c r="R13" i="6"/>
  <c r="S13" i="6"/>
  <c r="Q14" i="6"/>
  <c r="R14" i="6"/>
  <c r="S14" i="6"/>
  <c r="Q15" i="6"/>
  <c r="R15" i="6"/>
  <c r="S15" i="6"/>
  <c r="Q16" i="6"/>
  <c r="R16" i="6"/>
  <c r="S16" i="6"/>
  <c r="S17" i="6"/>
  <c r="S18" i="6"/>
  <c r="S19" i="6"/>
  <c r="S20" i="6"/>
  <c r="S21" i="6"/>
  <c r="S22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Q64" i="6"/>
  <c r="R64" i="6"/>
  <c r="S64" i="6"/>
  <c r="Q65" i="6"/>
  <c r="R65" i="6"/>
  <c r="S65" i="6"/>
  <c r="Q66" i="6"/>
  <c r="R66" i="6"/>
  <c r="S66" i="6"/>
  <c r="Q67" i="6"/>
  <c r="R67" i="6"/>
  <c r="S67" i="6"/>
  <c r="Q68" i="6"/>
  <c r="R68" i="6"/>
  <c r="S68" i="6"/>
  <c r="Q69" i="6"/>
  <c r="R69" i="6"/>
  <c r="S69" i="6"/>
  <c r="Q70" i="6"/>
  <c r="R70" i="6"/>
  <c r="S70" i="6"/>
  <c r="Q71" i="6"/>
  <c r="R71" i="6"/>
  <c r="S71" i="6"/>
  <c r="Q74" i="6"/>
  <c r="R74" i="6"/>
  <c r="S74" i="6"/>
  <c r="Q75" i="6"/>
  <c r="R75" i="6"/>
  <c r="S75" i="6"/>
  <c r="Q76" i="6"/>
  <c r="R76" i="6"/>
  <c r="S76" i="6"/>
  <c r="Q77" i="6"/>
  <c r="R77" i="6"/>
  <c r="S77" i="6"/>
  <c r="Q78" i="6"/>
  <c r="R78" i="6"/>
  <c r="S78" i="6"/>
  <c r="Q79" i="6"/>
  <c r="R79" i="6"/>
  <c r="S79" i="6"/>
  <c r="Q80" i="6"/>
  <c r="R80" i="6"/>
  <c r="S80" i="6"/>
  <c r="Q81" i="6"/>
  <c r="R81" i="6"/>
  <c r="S81" i="6"/>
  <c r="Q82" i="6"/>
  <c r="R82" i="6"/>
  <c r="S82" i="6"/>
  <c r="Q83" i="6"/>
  <c r="R83" i="6"/>
  <c r="S83" i="6"/>
  <c r="Q84" i="6"/>
  <c r="R84" i="6"/>
  <c r="S84" i="6"/>
  <c r="Q85" i="6"/>
  <c r="R85" i="6"/>
  <c r="S85" i="6"/>
  <c r="L1" i="6"/>
  <c r="N4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4" i="6"/>
  <c r="O74" i="6" s="1"/>
  <c r="N75" i="6"/>
  <c r="O75" i="6" s="1"/>
  <c r="N76" i="6"/>
  <c r="O76" i="6" s="1"/>
  <c r="N77" i="6"/>
  <c r="O77" i="6" s="1"/>
  <c r="N78" i="6"/>
  <c r="N79" i="6"/>
  <c r="N80" i="6"/>
  <c r="N81" i="6"/>
  <c r="N82" i="6"/>
  <c r="N83" i="6"/>
  <c r="N84" i="6"/>
  <c r="N85" i="6"/>
  <c r="A92" i="16"/>
  <c r="A93" i="16"/>
  <c r="A94" i="16"/>
  <c r="A95" i="16"/>
  <c r="B72" i="6"/>
  <c r="A72" i="6"/>
  <c r="M72" i="6"/>
  <c r="I72" i="6"/>
  <c r="H72" i="6"/>
  <c r="T72" i="6" l="1"/>
  <c r="O86" i="6"/>
  <c r="G72" i="6"/>
  <c r="J72" i="6" s="1"/>
  <c r="J86" i="6"/>
  <c r="T84" i="6"/>
  <c r="L72" i="6"/>
  <c r="O72" i="6" s="1"/>
  <c r="T85" i="6"/>
  <c r="T83" i="6"/>
  <c r="T16" i="6"/>
  <c r="T81" i="6"/>
  <c r="T79" i="6"/>
  <c r="T82" i="6"/>
  <c r="T80" i="6"/>
  <c r="T6" i="6"/>
  <c r="T14" i="6"/>
  <c r="T77" i="6"/>
  <c r="T75" i="6"/>
  <c r="T71" i="6"/>
  <c r="T69" i="6"/>
  <c r="T67" i="6"/>
  <c r="T65" i="6"/>
  <c r="T15" i="6"/>
  <c r="T78" i="6"/>
  <c r="T76" i="6"/>
  <c r="T74" i="6"/>
  <c r="T70" i="6"/>
  <c r="T68" i="6"/>
  <c r="T66" i="6"/>
  <c r="T64" i="6"/>
  <c r="T13" i="6"/>
  <c r="E72" i="6"/>
  <c r="B71" i="16" s="1"/>
  <c r="E2" i="6"/>
  <c r="O96" i="6"/>
  <c r="J96" i="6"/>
  <c r="T96" i="6"/>
  <c r="B96" i="6"/>
  <c r="B87" i="6"/>
  <c r="C77" i="6"/>
  <c r="C76" i="6"/>
  <c r="C75" i="6"/>
  <c r="B76" i="6"/>
  <c r="B77" i="6"/>
  <c r="B75" i="6"/>
  <c r="B74" i="6"/>
  <c r="B90" i="6"/>
  <c r="B88" i="6"/>
  <c r="A90" i="6"/>
  <c r="A88" i="6"/>
  <c r="A96" i="6"/>
  <c r="A87" i="6"/>
  <c r="A74" i="6"/>
  <c r="A5" i="6"/>
  <c r="T90" i="6"/>
  <c r="J90" i="6"/>
  <c r="T88" i="6"/>
  <c r="O88" i="6"/>
  <c r="E90" i="6" l="1"/>
  <c r="B89" i="16" s="1"/>
  <c r="E88" i="6"/>
  <c r="B87" i="16" s="1"/>
  <c r="J88" i="6"/>
  <c r="O90" i="6"/>
  <c r="E87" i="6"/>
  <c r="B86" i="16" s="1"/>
  <c r="E74" i="6"/>
  <c r="B73" i="16" s="1"/>
  <c r="E96" i="6"/>
  <c r="B95" i="16" s="1"/>
  <c r="A77" i="6"/>
  <c r="E77" i="6" s="1"/>
  <c r="B76" i="16" s="1"/>
  <c r="A76" i="6"/>
  <c r="E76" i="6" s="1"/>
  <c r="B75" i="16" s="1"/>
  <c r="A75" i="6"/>
  <c r="E75" i="6" s="1"/>
  <c r="B74" i="16" s="1"/>
  <c r="I74" i="6" l="1"/>
  <c r="I77" i="6"/>
  <c r="I76" i="6"/>
  <c r="I75" i="6"/>
  <c r="J73" i="6"/>
  <c r="O73" i="6"/>
  <c r="T73" i="6"/>
  <c r="G75" i="6" l="1"/>
  <c r="G77" i="6"/>
  <c r="G74" i="6"/>
  <c r="H74" i="6"/>
  <c r="J87" i="6" l="1"/>
  <c r="J74" i="6"/>
  <c r="G76" i="6"/>
  <c r="H76" i="6"/>
  <c r="B71" i="6"/>
  <c r="A71" i="6"/>
  <c r="G71" i="6"/>
  <c r="M71" i="6"/>
  <c r="L71" i="6"/>
  <c r="I71" i="6"/>
  <c r="H71" i="6"/>
  <c r="O71" i="6" l="1"/>
  <c r="E71" i="6"/>
  <c r="B70" i="16" s="1"/>
  <c r="H77" i="6"/>
  <c r="J77" i="6" s="1"/>
  <c r="J76" i="6"/>
  <c r="H75" i="6"/>
  <c r="J75" i="6" s="1"/>
  <c r="J71" i="6"/>
  <c r="Q4" i="6"/>
  <c r="G1" i="6"/>
  <c r="B66" i="6"/>
  <c r="C60" i="6"/>
  <c r="C61" i="6"/>
  <c r="C62" i="6"/>
  <c r="C56" i="6"/>
  <c r="C57" i="6"/>
  <c r="C58" i="6"/>
  <c r="C59" i="6"/>
  <c r="C55" i="6"/>
  <c r="B62" i="6"/>
  <c r="B61" i="6"/>
  <c r="B60" i="6"/>
  <c r="B59" i="6"/>
  <c r="B58" i="6"/>
  <c r="B57" i="6"/>
  <c r="B56" i="6"/>
  <c r="B55" i="6"/>
  <c r="C19" i="6"/>
  <c r="C20" i="6"/>
  <c r="C18" i="6"/>
  <c r="C11" i="6"/>
  <c r="C12" i="6"/>
  <c r="C10" i="6"/>
  <c r="C15" i="6"/>
  <c r="C16" i="6"/>
  <c r="C14" i="6"/>
  <c r="B28" i="6"/>
  <c r="B30" i="6"/>
  <c r="B42" i="6" s="1"/>
  <c r="B29" i="6"/>
  <c r="B27" i="6"/>
  <c r="B47" i="6" s="1"/>
  <c r="H67" i="6"/>
  <c r="B94" i="6"/>
  <c r="B93" i="6"/>
  <c r="B95" i="6"/>
  <c r="B73" i="6"/>
  <c r="B7" i="6"/>
  <c r="B92" i="6"/>
  <c r="B91" i="6"/>
  <c r="B89" i="6"/>
  <c r="B5" i="6"/>
  <c r="E5" i="6" s="1"/>
  <c r="B4" i="16" s="1"/>
  <c r="B4" i="6"/>
  <c r="B3" i="6"/>
  <c r="B63" i="6"/>
  <c r="B21" i="6"/>
  <c r="B22" i="6"/>
  <c r="A94" i="6"/>
  <c r="A93" i="6"/>
  <c r="A95" i="6"/>
  <c r="A73" i="6"/>
  <c r="A59" i="6"/>
  <c r="A55" i="6"/>
  <c r="A51" i="6"/>
  <c r="A47" i="6"/>
  <c r="A43" i="6"/>
  <c r="A39" i="6"/>
  <c r="A35" i="6"/>
  <c r="A31" i="6"/>
  <c r="A27" i="6"/>
  <c r="E27" i="6" s="1"/>
  <c r="B26" i="16" s="1"/>
  <c r="A7" i="6"/>
  <c r="A92" i="6"/>
  <c r="A91" i="6"/>
  <c r="A89" i="6"/>
  <c r="A4" i="6"/>
  <c r="A3" i="6"/>
  <c r="A63" i="6"/>
  <c r="A21" i="6"/>
  <c r="A22" i="6"/>
  <c r="A19" i="6"/>
  <c r="A20" i="6"/>
  <c r="A18" i="6"/>
  <c r="B20" i="6"/>
  <c r="B19" i="6"/>
  <c r="B18" i="6"/>
  <c r="B17" i="6"/>
  <c r="A17" i="6"/>
  <c r="B9" i="6"/>
  <c r="B8" i="6"/>
  <c r="B70" i="6"/>
  <c r="B85" i="6"/>
  <c r="B69" i="6"/>
  <c r="B65" i="6"/>
  <c r="B84" i="6"/>
  <c r="B68" i="6"/>
  <c r="B67" i="6"/>
  <c r="B64" i="6"/>
  <c r="B81" i="6"/>
  <c r="B79" i="6"/>
  <c r="B80" i="6"/>
  <c r="B82" i="6"/>
  <c r="B83" i="6"/>
  <c r="B78" i="6"/>
  <c r="B6" i="6"/>
  <c r="B12" i="6"/>
  <c r="B11" i="6"/>
  <c r="B10" i="6"/>
  <c r="B16" i="6"/>
  <c r="B15" i="6"/>
  <c r="B14" i="6"/>
  <c r="A11" i="6"/>
  <c r="A12" i="6"/>
  <c r="A10" i="6"/>
  <c r="A9" i="6"/>
  <c r="A8" i="6"/>
  <c r="A70" i="6"/>
  <c r="A85" i="6"/>
  <c r="A69" i="6"/>
  <c r="A66" i="6"/>
  <c r="A65" i="6"/>
  <c r="A84" i="6"/>
  <c r="A68" i="6"/>
  <c r="A67" i="6"/>
  <c r="A64" i="6"/>
  <c r="A81" i="6"/>
  <c r="A79" i="6"/>
  <c r="A80" i="6"/>
  <c r="A82" i="6"/>
  <c r="A83" i="6"/>
  <c r="A78" i="6"/>
  <c r="B13" i="6"/>
  <c r="A15" i="6"/>
  <c r="A16" i="6"/>
  <c r="A14" i="6"/>
  <c r="E14" i="6" s="1"/>
  <c r="B13" i="16" s="1"/>
  <c r="A6" i="6"/>
  <c r="A13" i="6"/>
  <c r="O94" i="6"/>
  <c r="J94" i="6"/>
  <c r="T94" i="6"/>
  <c r="O93" i="6"/>
  <c r="J93" i="6"/>
  <c r="T93" i="6"/>
  <c r="O95" i="6"/>
  <c r="J95" i="6"/>
  <c r="T95" i="6"/>
  <c r="E69" i="6" l="1"/>
  <c r="B68" i="16" s="1"/>
  <c r="E9" i="6"/>
  <c r="B8" i="16" s="1"/>
  <c r="E21" i="6"/>
  <c r="B20" i="16" s="1"/>
  <c r="E94" i="6"/>
  <c r="B93" i="16" s="1"/>
  <c r="E85" i="6"/>
  <c r="B84" i="16" s="1"/>
  <c r="E10" i="6"/>
  <c r="B9" i="16" s="1"/>
  <c r="E63" i="6"/>
  <c r="B62" i="16" s="1"/>
  <c r="E73" i="6"/>
  <c r="B72" i="16" s="1"/>
  <c r="E70" i="6"/>
  <c r="B69" i="16" s="1"/>
  <c r="E95" i="6"/>
  <c r="B94" i="16" s="1"/>
  <c r="E66" i="6"/>
  <c r="B65" i="16" s="1"/>
  <c r="E8" i="6"/>
  <c r="B7" i="16" s="1"/>
  <c r="E22" i="6"/>
  <c r="B21" i="16" s="1"/>
  <c r="E4" i="6"/>
  <c r="B3" i="16" s="1"/>
  <c r="E55" i="6"/>
  <c r="B54" i="16" s="1"/>
  <c r="E93" i="6"/>
  <c r="B92" i="16" s="1"/>
  <c r="E3" i="6"/>
  <c r="B2" i="16" s="1"/>
  <c r="E16" i="6"/>
  <c r="B15" i="16" s="1"/>
  <c r="E83" i="6"/>
  <c r="B82" i="16" s="1"/>
  <c r="E80" i="6"/>
  <c r="B79" i="16" s="1"/>
  <c r="E81" i="6"/>
  <c r="B80" i="16" s="1"/>
  <c r="E67" i="6"/>
  <c r="B66" i="16" s="1"/>
  <c r="E84" i="6"/>
  <c r="B83" i="16" s="1"/>
  <c r="E91" i="6"/>
  <c r="B90" i="16" s="1"/>
  <c r="E7" i="6"/>
  <c r="B6" i="16" s="1"/>
  <c r="E6" i="6"/>
  <c r="B5" i="16" s="1"/>
  <c r="E13" i="6"/>
  <c r="B12" i="16" s="1"/>
  <c r="E15" i="6"/>
  <c r="B14" i="16" s="1"/>
  <c r="E78" i="6"/>
  <c r="B77" i="16" s="1"/>
  <c r="E82" i="6"/>
  <c r="B81" i="16" s="1"/>
  <c r="E79" i="6"/>
  <c r="B78" i="16" s="1"/>
  <c r="E64" i="6"/>
  <c r="B63" i="16" s="1"/>
  <c r="E68" i="6"/>
  <c r="B67" i="16" s="1"/>
  <c r="E65" i="6"/>
  <c r="B64" i="16" s="1"/>
  <c r="E12" i="6"/>
  <c r="B11" i="16" s="1"/>
  <c r="E89" i="6"/>
  <c r="B88" i="16" s="1"/>
  <c r="E92" i="6"/>
  <c r="B91" i="16" s="1"/>
  <c r="E18" i="6"/>
  <c r="B17" i="16" s="1"/>
  <c r="E11" i="6"/>
  <c r="B10" i="16" s="1"/>
  <c r="E17" i="6"/>
  <c r="B16" i="16" s="1"/>
  <c r="E20" i="6"/>
  <c r="B19" i="16" s="1"/>
  <c r="A32" i="6"/>
  <c r="A33" i="6" s="1"/>
  <c r="A40" i="6"/>
  <c r="A41" i="6" s="1"/>
  <c r="A48" i="6"/>
  <c r="A49" i="6" s="1"/>
  <c r="E47" i="6"/>
  <c r="B46" i="16" s="1"/>
  <c r="E19" i="6"/>
  <c r="B18" i="16" s="1"/>
  <c r="A60" i="6"/>
  <c r="E60" i="6" s="1"/>
  <c r="B59" i="16" s="1"/>
  <c r="E59" i="6"/>
  <c r="B58" i="16" s="1"/>
  <c r="B53" i="6"/>
  <c r="B45" i="6"/>
  <c r="B49" i="6"/>
  <c r="B41" i="6"/>
  <c r="B48" i="6"/>
  <c r="B40" i="6"/>
  <c r="B52" i="6"/>
  <c r="B44" i="6"/>
  <c r="A28" i="6"/>
  <c r="E28" i="6" s="1"/>
  <c r="B27" i="16" s="1"/>
  <c r="A56" i="6"/>
  <c r="E56" i="6" s="1"/>
  <c r="B55" i="16" s="1"/>
  <c r="B31" i="6"/>
  <c r="E31" i="6" s="1"/>
  <c r="B30" i="16" s="1"/>
  <c r="B33" i="6"/>
  <c r="B35" i="6"/>
  <c r="E35" i="6" s="1"/>
  <c r="B34" i="16" s="1"/>
  <c r="B43" i="6"/>
  <c r="E43" i="6" s="1"/>
  <c r="B42" i="16" s="1"/>
  <c r="B51" i="6"/>
  <c r="E51" i="6" s="1"/>
  <c r="B50" i="16" s="1"/>
  <c r="B37" i="6"/>
  <c r="B50" i="6"/>
  <c r="B54" i="6"/>
  <c r="B46" i="6"/>
  <c r="A36" i="6"/>
  <c r="A44" i="6"/>
  <c r="A52" i="6"/>
  <c r="B34" i="6"/>
  <c r="B32" i="6"/>
  <c r="B39" i="6"/>
  <c r="E39" i="6" s="1"/>
  <c r="B38" i="16" s="1"/>
  <c r="B38" i="6"/>
  <c r="B36" i="6"/>
  <c r="T89" i="6"/>
  <c r="R8" i="6"/>
  <c r="A7" i="4"/>
  <c r="L59" i="6"/>
  <c r="O59" i="6" s="1"/>
  <c r="L55" i="6"/>
  <c r="O55" i="6" s="1"/>
  <c r="L51" i="6"/>
  <c r="O51" i="6" s="1"/>
  <c r="L47" i="6"/>
  <c r="O47" i="6" s="1"/>
  <c r="L43" i="6"/>
  <c r="O43" i="6" s="1"/>
  <c r="L39" i="6"/>
  <c r="O39" i="6" s="1"/>
  <c r="L35" i="6"/>
  <c r="O35" i="6" s="1"/>
  <c r="L31" i="6"/>
  <c r="O31" i="6" s="1"/>
  <c r="L27" i="6"/>
  <c r="O27" i="6" s="1"/>
  <c r="R7" i="6"/>
  <c r="Q7" i="6"/>
  <c r="M7" i="6"/>
  <c r="L7" i="6"/>
  <c r="R4" i="6"/>
  <c r="T4" i="6" s="1"/>
  <c r="L4" i="6"/>
  <c r="M4" i="6"/>
  <c r="L21" i="6"/>
  <c r="M21" i="6"/>
  <c r="M63" i="6"/>
  <c r="L63" i="6"/>
  <c r="M22" i="6"/>
  <c r="L22" i="6"/>
  <c r="G22" i="6"/>
  <c r="M20" i="6"/>
  <c r="M19" i="6"/>
  <c r="M18" i="6"/>
  <c r="M17" i="6"/>
  <c r="L17" i="6"/>
  <c r="M12" i="6"/>
  <c r="M11" i="6"/>
  <c r="M10" i="6"/>
  <c r="M9" i="6"/>
  <c r="L9" i="6"/>
  <c r="Q8" i="6"/>
  <c r="M8" i="6"/>
  <c r="L8" i="6"/>
  <c r="L65" i="6"/>
  <c r="G65" i="6"/>
  <c r="L80" i="6"/>
  <c r="M78" i="6"/>
  <c r="L78" i="6"/>
  <c r="M70" i="6"/>
  <c r="M85" i="6"/>
  <c r="M69" i="6"/>
  <c r="M66" i="6"/>
  <c r="M65" i="6"/>
  <c r="M84" i="6"/>
  <c r="M68" i="6"/>
  <c r="M67" i="6"/>
  <c r="M64" i="6"/>
  <c r="M81" i="6"/>
  <c r="M79" i="6"/>
  <c r="M80" i="6"/>
  <c r="M83" i="6"/>
  <c r="M6" i="6"/>
  <c r="G78" i="6"/>
  <c r="L70" i="6"/>
  <c r="L85" i="6"/>
  <c r="L69" i="6"/>
  <c r="L66" i="6"/>
  <c r="L84" i="6"/>
  <c r="O84" i="6" s="1"/>
  <c r="L68" i="6"/>
  <c r="L67" i="6"/>
  <c r="L64" i="6"/>
  <c r="L81" i="6"/>
  <c r="O81" i="6" s="1"/>
  <c r="L79" i="6"/>
  <c r="L82" i="6"/>
  <c r="L83" i="6"/>
  <c r="O83" i="6" s="1"/>
  <c r="L6" i="6"/>
  <c r="D7" i="4"/>
  <c r="D8" i="4" s="1"/>
  <c r="D4" i="4"/>
  <c r="A8" i="4"/>
  <c r="A4" i="4"/>
  <c r="O70" i="6" l="1"/>
  <c r="T8" i="6"/>
  <c r="A61" i="6"/>
  <c r="E61" i="6" s="1"/>
  <c r="B60" i="16" s="1"/>
  <c r="O67" i="6"/>
  <c r="O6" i="6"/>
  <c r="O69" i="6"/>
  <c r="O79" i="6"/>
  <c r="O64" i="6"/>
  <c r="O68" i="6"/>
  <c r="O78" i="6"/>
  <c r="O9" i="6"/>
  <c r="O21" i="6"/>
  <c r="O65" i="6"/>
  <c r="O80" i="6"/>
  <c r="O66" i="6"/>
  <c r="O85" i="6"/>
  <c r="O8" i="6"/>
  <c r="O17" i="6"/>
  <c r="O22" i="6"/>
  <c r="O63" i="6"/>
  <c r="O4" i="6"/>
  <c r="O7" i="6"/>
  <c r="T7" i="6"/>
  <c r="E52" i="6"/>
  <c r="B51" i="16" s="1"/>
  <c r="E44" i="6"/>
  <c r="B43" i="16" s="1"/>
  <c r="E36" i="6"/>
  <c r="B35" i="16" s="1"/>
  <c r="E49" i="6"/>
  <c r="B48" i="16" s="1"/>
  <c r="E33" i="6"/>
  <c r="B32" i="16" s="1"/>
  <c r="E41" i="6"/>
  <c r="B40" i="16" s="1"/>
  <c r="E48" i="6"/>
  <c r="B47" i="16" s="1"/>
  <c r="E40" i="6"/>
  <c r="B39" i="16" s="1"/>
  <c r="E32" i="6"/>
  <c r="B31" i="16" s="1"/>
  <c r="T91" i="6"/>
  <c r="T92" i="6"/>
  <c r="L48" i="6"/>
  <c r="O48" i="6" s="1"/>
  <c r="A45" i="6"/>
  <c r="E45" i="6" s="1"/>
  <c r="B44" i="16" s="1"/>
  <c r="A57" i="6"/>
  <c r="E57" i="6" s="1"/>
  <c r="B56" i="16" s="1"/>
  <c r="A53" i="6"/>
  <c r="E53" i="6" s="1"/>
  <c r="B52" i="16" s="1"/>
  <c r="A37" i="6"/>
  <c r="E37" i="6" s="1"/>
  <c r="B36" i="16" s="1"/>
  <c r="A29" i="6"/>
  <c r="E29" i="6" s="1"/>
  <c r="B28" i="16" s="1"/>
  <c r="A34" i="6"/>
  <c r="E34" i="6" s="1"/>
  <c r="B33" i="16" s="1"/>
  <c r="A50" i="6"/>
  <c r="E50" i="6" s="1"/>
  <c r="B49" i="16" s="1"/>
  <c r="A42" i="6"/>
  <c r="E42" i="6" s="1"/>
  <c r="B41" i="16" s="1"/>
  <c r="G4" i="6"/>
  <c r="I62" i="6"/>
  <c r="I61" i="6"/>
  <c r="I60" i="6"/>
  <c r="I59" i="6"/>
  <c r="G55" i="6"/>
  <c r="G51" i="6"/>
  <c r="G48" i="6"/>
  <c r="G47" i="6"/>
  <c r="G43" i="6"/>
  <c r="G39" i="6"/>
  <c r="G35" i="6"/>
  <c r="G31" i="6"/>
  <c r="G27" i="6"/>
  <c r="I7" i="6"/>
  <c r="I4" i="6"/>
  <c r="I21" i="6"/>
  <c r="G21" i="6"/>
  <c r="H21" i="6"/>
  <c r="I63" i="6"/>
  <c r="H22" i="6"/>
  <c r="I22" i="6"/>
  <c r="H20" i="6"/>
  <c r="I19" i="6"/>
  <c r="H18" i="6"/>
  <c r="I17" i="6"/>
  <c r="H17" i="6"/>
  <c r="H12" i="6"/>
  <c r="H10" i="6"/>
  <c r="I9" i="6"/>
  <c r="G9" i="6"/>
  <c r="H8" i="6"/>
  <c r="I85" i="6"/>
  <c r="G80" i="6"/>
  <c r="I13" i="6"/>
  <c r="H85" i="6"/>
  <c r="H66" i="6"/>
  <c r="H84" i="6"/>
  <c r="H81" i="6"/>
  <c r="H80" i="6"/>
  <c r="H83" i="6"/>
  <c r="G70" i="6"/>
  <c r="G6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G7" i="6"/>
  <c r="H7" i="6"/>
  <c r="H4" i="6"/>
  <c r="G63" i="6"/>
  <c r="H63" i="6"/>
  <c r="I20" i="6"/>
  <c r="H19" i="6"/>
  <c r="I18" i="6"/>
  <c r="G17" i="6"/>
  <c r="H11" i="6"/>
  <c r="H9" i="6"/>
  <c r="I8" i="6"/>
  <c r="I83" i="6"/>
  <c r="G83" i="6"/>
  <c r="H78" i="6"/>
  <c r="H70" i="6"/>
  <c r="H69" i="6"/>
  <c r="H65" i="6"/>
  <c r="H68" i="6"/>
  <c r="H64" i="6"/>
  <c r="H79" i="6"/>
  <c r="H6" i="6"/>
  <c r="G85" i="6"/>
  <c r="G66" i="6"/>
  <c r="G84" i="6"/>
  <c r="G67" i="6"/>
  <c r="G81" i="6"/>
  <c r="G82" i="6"/>
  <c r="I69" i="6"/>
  <c r="I65" i="6"/>
  <c r="I68" i="6"/>
  <c r="I67" i="6"/>
  <c r="I81" i="6"/>
  <c r="I80" i="6"/>
  <c r="I78" i="6"/>
  <c r="I79" i="6"/>
  <c r="I66" i="6"/>
  <c r="G6" i="6"/>
  <c r="G64" i="6"/>
  <c r="I6" i="6"/>
  <c r="I82" i="6"/>
  <c r="I64" i="6"/>
  <c r="I84" i="6"/>
  <c r="I70" i="6"/>
  <c r="G79" i="6"/>
  <c r="L19" i="6"/>
  <c r="O19" i="6" s="1"/>
  <c r="L20" i="6"/>
  <c r="O20" i="6" s="1"/>
  <c r="L18" i="6"/>
  <c r="O18" i="6" s="1"/>
  <c r="I11" i="6"/>
  <c r="I12" i="6"/>
  <c r="I10" i="6"/>
  <c r="L11" i="6"/>
  <c r="O11" i="6" s="1"/>
  <c r="L12" i="6"/>
  <c r="O12" i="6" s="1"/>
  <c r="L10" i="6"/>
  <c r="O10" i="6" s="1"/>
  <c r="J22" i="6" l="1"/>
  <c r="A62" i="6"/>
  <c r="E62" i="6" s="1"/>
  <c r="B61" i="16" s="1"/>
  <c r="J4" i="6"/>
  <c r="I14" i="6"/>
  <c r="I16" i="6"/>
  <c r="I15" i="6"/>
  <c r="J83" i="6"/>
  <c r="J17" i="6"/>
  <c r="J7" i="6"/>
  <c r="J79" i="6"/>
  <c r="J85" i="6"/>
  <c r="J67" i="6"/>
  <c r="J65" i="6"/>
  <c r="J64" i="6"/>
  <c r="J78" i="6"/>
  <c r="J21" i="6"/>
  <c r="J6" i="6"/>
  <c r="J81" i="6"/>
  <c r="J84" i="6"/>
  <c r="G10" i="6"/>
  <c r="J10" i="6" s="1"/>
  <c r="G18" i="6"/>
  <c r="J18" i="6" s="1"/>
  <c r="J63" i="6"/>
  <c r="G59" i="6"/>
  <c r="J59" i="6" s="1"/>
  <c r="J69" i="6"/>
  <c r="J80" i="6"/>
  <c r="G11" i="6"/>
  <c r="J11" i="6" s="1"/>
  <c r="G19" i="6"/>
  <c r="J19" i="6" s="1"/>
  <c r="J48" i="6"/>
  <c r="G68" i="6"/>
  <c r="J68" i="6" s="1"/>
  <c r="J66" i="6"/>
  <c r="G8" i="6"/>
  <c r="J8" i="6" s="1"/>
  <c r="G20" i="6"/>
  <c r="J20" i="6" s="1"/>
  <c r="J70" i="6"/>
  <c r="J9" i="6"/>
  <c r="J27" i="6"/>
  <c r="J31" i="6"/>
  <c r="J35" i="6"/>
  <c r="J39" i="6"/>
  <c r="J43" i="6"/>
  <c r="J47" i="6"/>
  <c r="J51" i="6"/>
  <c r="J55" i="6"/>
  <c r="A30" i="6"/>
  <c r="E30" i="6" s="1"/>
  <c r="B29" i="16" s="1"/>
  <c r="A38" i="6"/>
  <c r="E38" i="6" s="1"/>
  <c r="B37" i="16" s="1"/>
  <c r="A54" i="6"/>
  <c r="E54" i="6" s="1"/>
  <c r="B53" i="16" s="1"/>
  <c r="A58" i="6"/>
  <c r="E58" i="6" s="1"/>
  <c r="B57" i="16" s="1"/>
  <c r="A46" i="6"/>
  <c r="E46" i="6" s="1"/>
  <c r="B45" i="16" s="1"/>
  <c r="G12" i="6" l="1"/>
  <c r="J12" i="6" s="1"/>
  <c r="J89" i="6" l="1"/>
  <c r="O89" i="6"/>
  <c r="T5" i="6"/>
  <c r="T3" i="6"/>
  <c r="J3" i="6" l="1"/>
  <c r="O3" i="6"/>
  <c r="O5" i="6"/>
  <c r="J5" i="6"/>
  <c r="J92" i="6"/>
  <c r="O92" i="6"/>
  <c r="Q17" i="6"/>
  <c r="Q9" i="6"/>
  <c r="Q47" i="6"/>
  <c r="T47" i="6" s="1"/>
  <c r="L56" i="6" l="1"/>
  <c r="O56" i="6" s="1"/>
  <c r="L13" i="6"/>
  <c r="M82" i="6"/>
  <c r="O82" i="6" s="1"/>
  <c r="L32" i="6"/>
  <c r="O32" i="6" s="1"/>
  <c r="L40" i="6"/>
  <c r="O40" i="6" s="1"/>
  <c r="L49" i="6"/>
  <c r="O49" i="6" s="1"/>
  <c r="R21" i="6"/>
  <c r="Q21" i="6"/>
  <c r="Q31" i="6"/>
  <c r="T31" i="6" s="1"/>
  <c r="Q39" i="6"/>
  <c r="T39" i="6" s="1"/>
  <c r="Q55" i="6"/>
  <c r="T55" i="6" s="1"/>
  <c r="L60" i="6"/>
  <c r="O60" i="6" s="1"/>
  <c r="M13" i="6"/>
  <c r="H13" i="6"/>
  <c r="L28" i="6"/>
  <c r="O28" i="6" s="1"/>
  <c r="L36" i="6"/>
  <c r="O36" i="6" s="1"/>
  <c r="L44" i="6"/>
  <c r="O44" i="6" s="1"/>
  <c r="L52" i="6"/>
  <c r="O52" i="6" s="1"/>
  <c r="R22" i="6"/>
  <c r="Q22" i="6"/>
  <c r="Q27" i="6"/>
  <c r="T27" i="6" s="1"/>
  <c r="Q35" i="6"/>
  <c r="T35" i="6" s="1"/>
  <c r="Q43" i="6"/>
  <c r="T43" i="6" s="1"/>
  <c r="Q51" i="6"/>
  <c r="T51" i="6" s="1"/>
  <c r="Q59" i="6"/>
  <c r="T59" i="6" s="1"/>
  <c r="R63" i="6"/>
  <c r="Q63" i="6"/>
  <c r="O91" i="6"/>
  <c r="R17" i="6"/>
  <c r="T17" i="6" s="1"/>
  <c r="Q18" i="6"/>
  <c r="Q19" i="6"/>
  <c r="R9" i="6"/>
  <c r="T9" i="6" s="1"/>
  <c r="Q11" i="6"/>
  <c r="Q10" i="6"/>
  <c r="Q12" i="6"/>
  <c r="J91" i="6" l="1"/>
  <c r="T63" i="6"/>
  <c r="T22" i="6"/>
  <c r="T21" i="6"/>
  <c r="O13" i="6"/>
  <c r="Q44" i="6"/>
  <c r="T44" i="6" s="1"/>
  <c r="M15" i="6"/>
  <c r="H15" i="6"/>
  <c r="H14" i="6"/>
  <c r="M14" i="6"/>
  <c r="G60" i="6"/>
  <c r="J60" i="6" s="1"/>
  <c r="G52" i="6"/>
  <c r="J52" i="6" s="1"/>
  <c r="G44" i="6"/>
  <c r="J44" i="6" s="1"/>
  <c r="G36" i="6"/>
  <c r="J36" i="6" s="1"/>
  <c r="Q36" i="6"/>
  <c r="T36" i="6" s="1"/>
  <c r="G28" i="6"/>
  <c r="J28" i="6" s="1"/>
  <c r="Q28" i="6"/>
  <c r="T28" i="6" s="1"/>
  <c r="G56" i="6"/>
  <c r="J56" i="6" s="1"/>
  <c r="G49" i="6"/>
  <c r="J49" i="6" s="1"/>
  <c r="G40" i="6"/>
  <c r="J40" i="6" s="1"/>
  <c r="Q40" i="6"/>
  <c r="T40" i="6" s="1"/>
  <c r="G32" i="6"/>
  <c r="J32" i="6" s="1"/>
  <c r="Q32" i="6"/>
  <c r="T32" i="6" s="1"/>
  <c r="H82" i="6"/>
  <c r="J82" i="6" s="1"/>
  <c r="G13" i="6"/>
  <c r="J13" i="6" s="1"/>
  <c r="L14" i="6"/>
  <c r="L16" i="6"/>
  <c r="L15" i="6"/>
  <c r="M16" i="6"/>
  <c r="H16" i="6"/>
  <c r="Q48" i="6"/>
  <c r="T48" i="6" s="1"/>
  <c r="Q60" i="6"/>
  <c r="T60" i="6" s="1"/>
  <c r="Q53" i="6"/>
  <c r="T53" i="6" s="1"/>
  <c r="L53" i="6"/>
  <c r="O53" i="6" s="1"/>
  <c r="Q45" i="6"/>
  <c r="T45" i="6" s="1"/>
  <c r="L45" i="6"/>
  <c r="O45" i="6" s="1"/>
  <c r="Q37" i="6"/>
  <c r="T37" i="6" s="1"/>
  <c r="L37" i="6"/>
  <c r="O37" i="6" s="1"/>
  <c r="Q29" i="6"/>
  <c r="T29" i="6" s="1"/>
  <c r="L29" i="6"/>
  <c r="O29" i="6" s="1"/>
  <c r="L62" i="6"/>
  <c r="O62" i="6" s="1"/>
  <c r="L61" i="6"/>
  <c r="O61" i="6" s="1"/>
  <c r="Q56" i="6"/>
  <c r="T56" i="6" s="1"/>
  <c r="L50" i="6"/>
  <c r="O50" i="6" s="1"/>
  <c r="Q41" i="6"/>
  <c r="T41" i="6" s="1"/>
  <c r="L41" i="6"/>
  <c r="O41" i="6" s="1"/>
  <c r="Q33" i="6"/>
  <c r="T33" i="6" s="1"/>
  <c r="L33" i="6"/>
  <c r="O33" i="6" s="1"/>
  <c r="L58" i="6"/>
  <c r="O58" i="6" s="1"/>
  <c r="L57" i="6"/>
  <c r="O57" i="6" s="1"/>
  <c r="R10" i="6"/>
  <c r="T10" i="6" s="1"/>
  <c r="R12" i="6"/>
  <c r="T12" i="6" s="1"/>
  <c r="R11" i="6"/>
  <c r="T11" i="6" s="1"/>
  <c r="Q20" i="6"/>
  <c r="R19" i="6"/>
  <c r="T19" i="6" s="1"/>
  <c r="R18" i="6"/>
  <c r="T18" i="6" s="1"/>
  <c r="R20" i="6"/>
  <c r="O15" i="6" l="1"/>
  <c r="O14" i="6"/>
  <c r="Q52" i="6"/>
  <c r="T52" i="6" s="1"/>
  <c r="T20" i="6"/>
  <c r="O16" i="6"/>
  <c r="Q34" i="6"/>
  <c r="T34" i="6" s="1"/>
  <c r="L34" i="6"/>
  <c r="O34" i="6" s="1"/>
  <c r="Q42" i="6"/>
  <c r="T42" i="6" s="1"/>
  <c r="L42" i="6"/>
  <c r="O42" i="6" s="1"/>
  <c r="G57" i="6"/>
  <c r="J57" i="6" s="1"/>
  <c r="Q30" i="6"/>
  <c r="T30" i="6" s="1"/>
  <c r="L30" i="6"/>
  <c r="O30" i="6" s="1"/>
  <c r="Q38" i="6"/>
  <c r="T38" i="6" s="1"/>
  <c r="L38" i="6"/>
  <c r="O38" i="6" s="1"/>
  <c r="Q46" i="6"/>
  <c r="T46" i="6" s="1"/>
  <c r="L46" i="6"/>
  <c r="O46" i="6" s="1"/>
  <c r="Q54" i="6"/>
  <c r="T54" i="6" s="1"/>
  <c r="L54" i="6"/>
  <c r="O54" i="6" s="1"/>
  <c r="Q62" i="6"/>
  <c r="T62" i="6" s="1"/>
  <c r="Q61" i="6"/>
  <c r="T61" i="6" s="1"/>
  <c r="G16" i="6"/>
  <c r="J16" i="6" s="1"/>
  <c r="G14" i="6"/>
  <c r="J14" i="6" s="1"/>
  <c r="G33" i="6"/>
  <c r="J33" i="6" s="1"/>
  <c r="G41" i="6"/>
  <c r="J41" i="6" s="1"/>
  <c r="G50" i="6"/>
  <c r="J50" i="6" s="1"/>
  <c r="Q58" i="6"/>
  <c r="T58" i="6" s="1"/>
  <c r="Q57" i="6"/>
  <c r="T57" i="6" s="1"/>
  <c r="G29" i="6"/>
  <c r="J29" i="6" s="1"/>
  <c r="G37" i="6"/>
  <c r="J37" i="6" s="1"/>
  <c r="G45" i="6"/>
  <c r="J45" i="6" s="1"/>
  <c r="G53" i="6"/>
  <c r="J53" i="6" s="1"/>
  <c r="G61" i="6"/>
  <c r="J61" i="6" s="1"/>
  <c r="Q50" i="6"/>
  <c r="T50" i="6" s="1"/>
  <c r="Q49" i="6"/>
  <c r="T49" i="6" s="1"/>
  <c r="G15" i="6"/>
  <c r="J15" i="6" s="1"/>
  <c r="G54" i="6" l="1"/>
  <c r="J54" i="6" s="1"/>
  <c r="G38" i="6"/>
  <c r="J38" i="6" s="1"/>
  <c r="G42" i="6"/>
  <c r="J42" i="6" s="1"/>
  <c r="G58" i="6"/>
  <c r="J58" i="6" s="1"/>
  <c r="G62" i="6"/>
  <c r="J62" i="6" s="1"/>
  <c r="G46" i="6"/>
  <c r="J46" i="6" s="1"/>
  <c r="G30" i="6"/>
  <c r="J30" i="6" s="1"/>
  <c r="G34" i="6"/>
  <c r="J34" i="6" s="1"/>
</calcChain>
</file>

<file path=xl/sharedStrings.xml><?xml version="1.0" encoding="utf-8"?>
<sst xmlns="http://schemas.openxmlformats.org/spreadsheetml/2006/main" count="371" uniqueCount="252">
  <si>
    <t>Captação</t>
  </si>
  <si>
    <t>Consumo</t>
  </si>
  <si>
    <t>Lançamento</t>
  </si>
  <si>
    <t>saneamento</t>
  </si>
  <si>
    <t>m3/ano</t>
  </si>
  <si>
    <t>l/s</t>
  </si>
  <si>
    <t>vazão outorgada</t>
  </si>
  <si>
    <t>vazão medida</t>
  </si>
  <si>
    <t>indústria/agropecuário</t>
  </si>
  <si>
    <t>Total</t>
  </si>
  <si>
    <t>Vigência</t>
  </si>
  <si>
    <t>Comitê de Bacia</t>
  </si>
  <si>
    <t>PBS Interestadual - de mar/03 até dez/06</t>
  </si>
  <si>
    <t>PBS Interestadual - desde jan/07</t>
  </si>
  <si>
    <t>Doce Interestadual - 2011/12</t>
  </si>
  <si>
    <t>Doce Interestadual - 2013</t>
  </si>
  <si>
    <t>Doce Interestadual - 2014</t>
  </si>
  <si>
    <t>Doce Interestadual - 2015</t>
  </si>
  <si>
    <t>CBH Guandu/RJ - desde 2005</t>
  </si>
  <si>
    <t>CBH Guandu/RJ - desde 2004</t>
  </si>
  <si>
    <t>PB - Sem comitê instituído</t>
  </si>
  <si>
    <t>PBS/SP - desde jan/07</t>
  </si>
  <si>
    <t xml:space="preserve">PCJ Interestadual - de jan/06 até dez/07 </t>
  </si>
  <si>
    <t>PCJ Interestadual - desde jan/08</t>
  </si>
  <si>
    <t>PCJ Interestadual - 2014</t>
  </si>
  <si>
    <t>PCJ Interestadual - 2015</t>
  </si>
  <si>
    <t>PCJ Interestadual - 2016</t>
  </si>
  <si>
    <t>PCJ/SP - desde jan/07</t>
  </si>
  <si>
    <t>PCJ/SP - 2014</t>
  </si>
  <si>
    <t>PCJ/SP - 2015</t>
  </si>
  <si>
    <t>PCJ/SP - 2016</t>
  </si>
  <si>
    <t>PJ/MG - desde mar/10</t>
  </si>
  <si>
    <t>PJ/MG - 2014</t>
  </si>
  <si>
    <t>PJ/MG - 2015</t>
  </si>
  <si>
    <t>PJ/MG - 2016</t>
  </si>
  <si>
    <t>CBH LSJ/RJ - de 2004 a 2006</t>
  </si>
  <si>
    <t>CBH LSJ/RJ - de 2007 a 2008</t>
  </si>
  <si>
    <t>CBH LSJ/RJ - desde 2009</t>
  </si>
  <si>
    <t>CBH Pomba e Muriaé/MG</t>
  </si>
  <si>
    <t>CBH Piranga/MG - 2011/12</t>
  </si>
  <si>
    <t>CBH Piranga/MG - 2013</t>
  </si>
  <si>
    <t>CBH Piranga/MG - 2014</t>
  </si>
  <si>
    <t>CBH Piranga/MG - 2015</t>
  </si>
  <si>
    <t>CBH Piracicaba/MG  - 2011/12</t>
  </si>
  <si>
    <t>CBH Piracicaba/MG  - 2013</t>
  </si>
  <si>
    <t>CBH Piracicaba/MG  - 2014</t>
  </si>
  <si>
    <t>CBH Piracicaba/MG  - 2015</t>
  </si>
  <si>
    <t>CBH Santo Antônio/MG - 2011/12</t>
  </si>
  <si>
    <t>CBH Santo Antônio/MG - 2013</t>
  </si>
  <si>
    <t>CBH Santo Antônio/MG - 2014</t>
  </si>
  <si>
    <t>CBH Santo Antônio/MG - 2015</t>
  </si>
  <si>
    <t>CBH Suaçuí/MG - 2011/12</t>
  </si>
  <si>
    <t>CBH Suaçuí/MG - 2013</t>
  </si>
  <si>
    <t>CBH Suaçuí/MG - 2014</t>
  </si>
  <si>
    <t>CBH Suaçuí/MG - 2015</t>
  </si>
  <si>
    <t>CBH Caratinga/MG - 2011/12</t>
  </si>
  <si>
    <t>CBH Caratinga/MG - 2013</t>
  </si>
  <si>
    <t>CBH Caratinga/MG - 2014</t>
  </si>
  <si>
    <t>CBH Caratinga/MG - 2015</t>
  </si>
  <si>
    <t>CBH Manhuaçu/MG - 2011/12</t>
  </si>
  <si>
    <t>CBH Manhuaçu/MG - 2013</t>
  </si>
  <si>
    <t>CBH Manhuaçu/MG - 2014</t>
  </si>
  <si>
    <t>CBH Manhuaçu/MG - 2015</t>
  </si>
  <si>
    <t>CBH São José/ES - 2011/12</t>
  </si>
  <si>
    <t>CBH São José/ES - 2013</t>
  </si>
  <si>
    <t>CBH São José/ES - 2014</t>
  </si>
  <si>
    <t>CBH São José/ES - 2015</t>
  </si>
  <si>
    <t>CBH Guandu/ES - 2011/12</t>
  </si>
  <si>
    <t>CBH Guandu/ES - 2013</t>
  </si>
  <si>
    <t>CBH Guandu/ES - 2014</t>
  </si>
  <si>
    <t>CBH Araguari/MG - desde mar/10</t>
  </si>
  <si>
    <t>CBH Mogi/SP</t>
  </si>
  <si>
    <t>CBH Guandu/ES - 2015</t>
  </si>
  <si>
    <t>CBH BPG/SP</t>
  </si>
  <si>
    <t>CBH SMG/SP</t>
  </si>
  <si>
    <t>CBH PARDO/SP</t>
  </si>
  <si>
    <t>CBH SM/SP</t>
  </si>
  <si>
    <t>CBH TG/SP</t>
  </si>
  <si>
    <t>CBH PP/SP</t>
  </si>
  <si>
    <t>CBH ALPA/SP</t>
  </si>
  <si>
    <t>CBH MP/SP</t>
  </si>
  <si>
    <t>CBH PPA/PB</t>
  </si>
  <si>
    <t>CBH BT/SP</t>
  </si>
  <si>
    <t>CBH AT/SP</t>
  </si>
  <si>
    <t>CBH TJ/SP</t>
  </si>
  <si>
    <t>CBH TB/SP</t>
  </si>
  <si>
    <t>CBH RB/SP</t>
  </si>
  <si>
    <t>CBH LN/SP</t>
  </si>
  <si>
    <t>CBH LS/PB</t>
  </si>
  <si>
    <t>CBH LN/PB</t>
  </si>
  <si>
    <t>Legenda Gráficos</t>
  </si>
  <si>
    <t>Situação Cobrança</t>
  </si>
  <si>
    <t>CBH AP/SP</t>
  </si>
  <si>
    <t>CBH BIG, BG e MO/RJ - desde 2004</t>
  </si>
  <si>
    <t>CBH Velhas/MG - desde mar/10</t>
  </si>
  <si>
    <t>CBH SF Interestadual - desde jul/10</t>
  </si>
  <si>
    <t>CBH SMT/SP - desde ago/10</t>
  </si>
  <si>
    <t>CBH BS/SP - desde jan/12</t>
  </si>
  <si>
    <t>CBH PB/PB</t>
  </si>
  <si>
    <t>CBH MPS, Piabanha, R2R, BPS/RJ-desde 04</t>
  </si>
  <si>
    <t xml:space="preserve">PBS Interestadual </t>
  </si>
  <si>
    <t>CBH MPS, Piabanha, R2R, BPS/RJ</t>
  </si>
  <si>
    <t xml:space="preserve">PBS/SP </t>
  </si>
  <si>
    <t xml:space="preserve">PCJ Interestadual </t>
  </si>
  <si>
    <t xml:space="preserve">PCJ/SP </t>
  </si>
  <si>
    <t xml:space="preserve">PJ/MG </t>
  </si>
  <si>
    <t xml:space="preserve">CBH Velhas/MG </t>
  </si>
  <si>
    <t xml:space="preserve">CBH SF Interestadual </t>
  </si>
  <si>
    <t xml:space="preserve">Doce Interestadual </t>
  </si>
  <si>
    <t xml:space="preserve">CBH Piranga/MG </t>
  </si>
  <si>
    <t xml:space="preserve">CBH Piracicaba/MG  </t>
  </si>
  <si>
    <t xml:space="preserve">CBH Santo Antônio/MG </t>
  </si>
  <si>
    <t xml:space="preserve">CBH Suaçuí/MG </t>
  </si>
  <si>
    <t xml:space="preserve">CBH Caratinga/MG </t>
  </si>
  <si>
    <t xml:space="preserve">CBH Manhuaçu/MG </t>
  </si>
  <si>
    <t xml:space="preserve">CBH São José/ES </t>
  </si>
  <si>
    <t xml:space="preserve">CBH Guandu/ES </t>
  </si>
  <si>
    <t xml:space="preserve">CBH Araguari/MG </t>
  </si>
  <si>
    <t xml:space="preserve">CBH SMT/SP </t>
  </si>
  <si>
    <t xml:space="preserve">CBH BS/SP </t>
  </si>
  <si>
    <t xml:space="preserve">CBH BIG, BG e MO/RJ </t>
  </si>
  <si>
    <t xml:space="preserve">CBH Guandu/RJ </t>
  </si>
  <si>
    <t xml:space="preserve">CBH LSJ/RJ </t>
  </si>
  <si>
    <t>Comitês de Bacia Hidrográfica e Vigência da Cobrança</t>
  </si>
  <si>
    <t>CBH Pará/MG - 2013/2014</t>
  </si>
  <si>
    <t>CBH Pará/MG - 2015</t>
  </si>
  <si>
    <t>CBH Pará/MG - 2016</t>
  </si>
  <si>
    <t>CBH Pará/MG - 2017</t>
  </si>
  <si>
    <t>CBH Pará/MG</t>
  </si>
  <si>
    <t>CBH COALIAR/PB</t>
  </si>
  <si>
    <t>I - Abastecimento Público</t>
  </si>
  <si>
    <t>c) Fornecimento de água com captação e adução por parte da COGERH, através de tubulação de múltiplos usos, pressurizada por bombeamento</t>
  </si>
  <si>
    <t>b) Fornecimento de água nas demais regiões do Estado (captações em açudes, rios, lagoas e aquíferos sem adução da COGERH)</t>
  </si>
  <si>
    <t>a) Captação de água em mananciais da Região Metropolitana de Fortaleza (açudes, rios ou lagoas) ou Fornecimento através de estruturas de adução gravitária (canais ou adutoras sem bombeamento)</t>
  </si>
  <si>
    <t>II - Indústria</t>
  </si>
  <si>
    <t>a) Fornecimento de água com
captação e adução completa por parte da COGERH</t>
  </si>
  <si>
    <t>b) Fornecimento de água com captação e adução completa ou parcial, por parte do usuário a partir de mananciais, tipo açudes, rios, lagoas, aquíferos ou canais</t>
  </si>
  <si>
    <t>III - Psicultura</t>
  </si>
  <si>
    <t>a) em Tanques Escavados    a.1) Com captação em mananciais (açudes,
rios, lagos e aquíferos) sem adução da COGERH</t>
  </si>
  <si>
    <t>a) em Tanques Escavados    a.2) Com captação em estrutura hídrica com adução da COGERH</t>
  </si>
  <si>
    <t>b) em Tanques Rede</t>
  </si>
  <si>
    <t>a) Com captação em mananciais (açudes, rios, lagoas e aquíferos) sem adução da COGERH</t>
  </si>
  <si>
    <t>IV - Carnicicultura</t>
  </si>
  <si>
    <t>b) Com captação em estrutura hídrica com adução da COGERH</t>
  </si>
  <si>
    <t>V - Água Mineral e Água Potável da COGERH</t>
  </si>
  <si>
    <t>VI - Irrigação</t>
  </si>
  <si>
    <t>a) Irrigação em Perímetros Públicos ou Irrigação Privada com captações em mananciais (açudes, rios, lagoas e aquíferos) sem adução da COGERH                               a.1) Consumo de 1.440 a 18.999 m³/mês</t>
  </si>
  <si>
    <t>a) Irrigação em Perímetros Públicos ou Irrigação Privada com captações em mananciais (açudes, rios, lagoas e aquíferos) sem adução da COGERH                               a.2) Consumo a partir de 19.000 m³/mês</t>
  </si>
  <si>
    <t>b) Irrigação em Perímetros Públicos ou Irrigação Privada
com captações em estrutura hídrica com adução da COGERH:                              b.1) Consumo de 1.440 a 46.999 m³/mês</t>
  </si>
  <si>
    <t>b) Irrigação em Perímetros Públicos ou Irrigação Privada
com captações em estrutura hídrica com adução da COGERH                                 b.2) Consumo a partir de 47.000 m³/mês</t>
  </si>
  <si>
    <t>VII - Demais Categorias de Uso</t>
  </si>
  <si>
    <t>a) Fornecimento de água com captação e adução completa ou parcial, por parte do usuário a partir de manancial tipo: açudes, rios, lagoas, aquíferos ou canais</t>
  </si>
  <si>
    <t>b) Fornecimento de água com captação e adução por parte da COGERH, através de tubulação de múltiplos usos, pressurizada por bombeamento</t>
  </si>
  <si>
    <t>tanque escavado</t>
  </si>
  <si>
    <t>tanque rede</t>
  </si>
  <si>
    <t>tanque escavado sem adução COGERH</t>
  </si>
  <si>
    <t>tanque escavado com adução COGERH</t>
  </si>
  <si>
    <t>Usuários</t>
  </si>
  <si>
    <t>RMF = Região Metropolitana de Fortaleza.</t>
  </si>
  <si>
    <t>Irrigação</t>
  </si>
  <si>
    <t>Piscicultura</t>
  </si>
  <si>
    <t>Carcinicultura</t>
  </si>
  <si>
    <t>Água mineral e água potável de mesa</t>
  </si>
  <si>
    <t>Outros</t>
  </si>
  <si>
    <r>
      <t>mínimo</t>
    </r>
    <r>
      <rPr>
        <vertAlign val="superscript"/>
        <sz val="11"/>
        <color theme="1"/>
        <rFont val="Calibri"/>
        <family val="2"/>
        <scheme val="minor"/>
      </rPr>
      <t>1</t>
    </r>
  </si>
  <si>
    <t>1- Onde tem CBH, CBH estabelece através de Portaria da COGERH. Onde não CBH, COGERH estabelece após discussão com usuários.</t>
  </si>
  <si>
    <r>
      <t>a partir de 47.000m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/mês</t>
    </r>
  </si>
  <si>
    <r>
      <t>a partir de 19.000m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/mês</t>
    </r>
  </si>
  <si>
    <t>2- Fixada para cada sistema por portaria do Secretário de Recursos Hídricos.</t>
  </si>
  <si>
    <t>(2)</t>
  </si>
  <si>
    <r>
      <t>Cobrança pelo Uso de Recursos Hídricos no Estado do Ceará, em R$/m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</si>
  <si>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(1)</t>
  </si>
  <si>
    <t>sem adução COGERH</t>
  </si>
  <si>
    <t>com adução COGERH</t>
  </si>
  <si>
    <t>Abastecimento público</t>
  </si>
  <si>
    <t>na RMF</t>
  </si>
  <si>
    <t>na RMF ou com adução da COGERH</t>
  </si>
  <si>
    <t>na RMF ou de adução gravitária</t>
  </si>
  <si>
    <t>sem adução ou adução parcial COGERH</t>
  </si>
  <si>
    <t>com adução completa COGERH</t>
  </si>
  <si>
    <t>Indústria</t>
  </si>
  <si>
    <t>pressurizada por bombeamento COGERH</t>
  </si>
  <si>
    <t>De sistema pressurizado, com bombeamento ou conduzida em canais</t>
  </si>
  <si>
    <r>
      <t xml:space="preserve">de 1.441 </t>
    </r>
    <r>
      <rPr>
        <sz val="10"/>
        <color theme="1"/>
        <rFont val="Calibri"/>
        <family val="2"/>
        <scheme val="minor"/>
      </rPr>
      <t>até 5.999m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/mês</t>
    </r>
  </si>
  <si>
    <r>
      <t xml:space="preserve">6.000 </t>
    </r>
    <r>
      <rPr>
        <sz val="10"/>
        <color theme="1"/>
        <rFont val="Calibri"/>
        <family val="2"/>
        <scheme val="minor"/>
      </rPr>
      <t>até 11.999 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/mês</t>
    </r>
  </si>
  <si>
    <r>
      <t xml:space="preserve">12.000 </t>
    </r>
    <r>
      <rPr>
        <sz val="10"/>
        <color theme="1"/>
        <rFont val="Calibri"/>
        <family val="2"/>
        <scheme val="minor"/>
      </rPr>
      <t>até 18.999m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/mês</t>
    </r>
  </si>
  <si>
    <r>
      <t xml:space="preserve">19.000 </t>
    </r>
    <r>
      <rPr>
        <sz val="10"/>
        <color theme="1"/>
        <rFont val="Calibri"/>
        <family val="2"/>
        <scheme val="minor"/>
      </rPr>
      <t>até 46.999m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/mês</t>
    </r>
  </si>
  <si>
    <r>
      <t xml:space="preserve">de 1.440 </t>
    </r>
    <r>
      <rPr>
        <sz val="10"/>
        <color theme="1"/>
        <rFont val="Calibri"/>
        <family val="2"/>
        <scheme val="minor"/>
      </rPr>
      <t>até 18.999m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/mês</t>
    </r>
  </si>
  <si>
    <t>Decreto CE nº 24.293/96</t>
  </si>
  <si>
    <t>Decreto CE nº 24.264/96</t>
  </si>
  <si>
    <t>Deliberação CONERH nº 001/96</t>
  </si>
  <si>
    <t>Decreto CE nº 24.870/98</t>
  </si>
  <si>
    <t>Deliberação CONERH nº 003/97</t>
  </si>
  <si>
    <t>Decreto CE nº 25.461/99</t>
  </si>
  <si>
    <t>Decreto CE nº 25.721/99</t>
  </si>
  <si>
    <t>Decreto CE nº 25.980/00</t>
  </si>
  <si>
    <t>Decreto CE nº 27.005/03</t>
  </si>
  <si>
    <t>Resolução CONERH nº 002/03</t>
  </si>
  <si>
    <t>Decreto CE nº 27.271/03</t>
  </si>
  <si>
    <t>Resolução CONERH nº 002/99</t>
  </si>
  <si>
    <t>Decreto CE nº 28.074/05</t>
  </si>
  <si>
    <t>Decreto CE nº 28.244/06</t>
  </si>
  <si>
    <t>Resolução CONERH nº 002/06</t>
  </si>
  <si>
    <t>Decreto CE nº 29.373/08</t>
  </si>
  <si>
    <t>Resolução CONERH nº 003/09</t>
  </si>
  <si>
    <t>Decreto CE nº 30.159/10</t>
  </si>
  <si>
    <t>Decreto CE nº 30.374/10</t>
  </si>
  <si>
    <t>Resolução CONERH nº 001/11/SRH</t>
  </si>
  <si>
    <t>Decreto CE nº 30.629/11</t>
  </si>
  <si>
    <t>Resolução CONERH nº 004/SRH/12</t>
  </si>
  <si>
    <t>Resolução CONERH nº 005/12</t>
  </si>
  <si>
    <t>Decreto CE nº 31.195/13</t>
  </si>
  <si>
    <t>Resolução CONERH nº 001/08</t>
  </si>
  <si>
    <t>Resolução CONERH nº 001/10</t>
  </si>
  <si>
    <t>Resolução CONERH nº 003/10</t>
  </si>
  <si>
    <r>
      <t>25/05/1999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</si>
  <si>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3- O Decreto CE nº 25.461/99 entrou em vigor em 25/05/99. Entretanto, o Decreto CE nº 25.721/99 entrou em vigor em 06/01/00 mas com efeitos retroativos a 24/05/99.</t>
  </si>
  <si>
    <r>
      <t>01/01/2006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</si>
  <si>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t>4- O Decreto CE nº 28.074/05 entrou em vigor em 01/01/06. Entretanto, o Decreto CE nº 28.244/06 entrou em vigor em 16/05/06 revogando o Decreto CE nº 28.074/05.</t>
  </si>
  <si>
    <t>Resolução CONERH nº 5/13</t>
  </si>
  <si>
    <r>
      <t>de 1.440 até 46.999m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/mês</t>
    </r>
  </si>
  <si>
    <t>+ 6 meses</t>
  </si>
  <si>
    <t>Resolução CONERH nº 2/15</t>
  </si>
  <si>
    <t>decreto não editado</t>
  </si>
  <si>
    <t>Decreto CE nº 31.734/15</t>
  </si>
  <si>
    <t>(5)</t>
  </si>
  <si>
    <t>5- Por ausência de decreto, os valores não entraram em vigor.</t>
  </si>
  <si>
    <t>Decreto CE nº 31.898/16</t>
  </si>
  <si>
    <t>Decreto CE nº 32.032/16</t>
  </si>
  <si>
    <t>Resolução CONERH nº 5/2016</t>
  </si>
  <si>
    <t>Resolução CONERH nº 1/16</t>
  </si>
  <si>
    <t>Resolução CONERH nº 3/2017</t>
  </si>
  <si>
    <t>Resolução CONERH nº 6/2016</t>
  </si>
  <si>
    <t>tarifa de contingência (6)</t>
  </si>
  <si>
    <t>Decreto CE nº 32.004/16</t>
  </si>
  <si>
    <t>às empresas termoelétricas Porto do Pecém Geração de Energia, MPX Pecem II Geração de Energia S/A e MPX Mineração e Energia Ltda</t>
  </si>
  <si>
    <t>Resolução CONERH nº 4/2017</t>
  </si>
  <si>
    <t>usuários enquadrados pela Lei nº 14.920/11</t>
  </si>
  <si>
    <t>demais termoelétricas</t>
  </si>
  <si>
    <t>Decreto CE nº 32.159/17</t>
  </si>
  <si>
    <t>Decreto CE nº 32.160/17</t>
  </si>
  <si>
    <t>Serviço e Comércio</t>
  </si>
  <si>
    <t>adução por parte da COGERH</t>
  </si>
  <si>
    <t>adução completa ou parcial por parte do usuário</t>
  </si>
  <si>
    <t>Resolução CONERH nº 6/2017</t>
  </si>
  <si>
    <t>Resolução CONERH nº 5/2018</t>
  </si>
  <si>
    <t>Decreto CE nº 32.858/18</t>
  </si>
  <si>
    <t>Decreto CE nº 32.422/17</t>
  </si>
  <si>
    <t>Decreto CE nº 33.024/19</t>
  </si>
  <si>
    <t>Resolução CONERH nº 1/2019</t>
  </si>
  <si>
    <t>Decreto CE nº 32.305/17</t>
  </si>
  <si>
    <t>6- Somado ao valor da tarifa de cobrança pelo uso dos recursos hídricos e aplicado sobre todo o volume consumido. Cobrado enquanto perdurar a vigência do Ato
Declaratório nº 01/2015/SRH, publicado no DOE/CE de 07 de outubro de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</si>
</sst>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_(* #,##0.0_);_(* \(#,##0.0\);_(* &quot;-&quot;?_);_(@_)"/>
    <numFmt numFmtId="169" formatCode="_(* #,##0.00000_);_(* \(#,##0.00000\);_(* &quot;-&quot;??_);_(@_)"/>
    <numFmt numFmtId="170" formatCode="_(* #,##0.0000_);_(* \(#,##0.00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34">
    <xf numFmtId="0" fontId="0" fillId="0" borderId="0" xfId="0"/>
    <xf numFmtId="167" fontId="0" fillId="0" borderId="0" xfId="1" applyNumberFormat="1" applyFont="1"/>
    <xf numFmtId="166" fontId="0" fillId="0" borderId="0" xfId="1" applyNumberFormat="1" applyFont="1"/>
    <xf numFmtId="168" fontId="0" fillId="0" borderId="0" xfId="0" applyNumberFormat="1"/>
    <xf numFmtId="164" fontId="0" fillId="0" borderId="0" xfId="1" applyFont="1"/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17" fontId="0" fillId="2" borderId="1" xfId="0" applyNumberFormat="1" applyFill="1" applyBorder="1" applyAlignment="1">
      <alignment horizontal="left" vertical="center" wrapText="1"/>
    </xf>
    <xf numFmtId="166" fontId="0" fillId="2" borderId="1" xfId="1" applyNumberFormat="1" applyFont="1" applyFill="1" applyBorder="1" applyAlignment="1">
      <alignment horizontal="left" vertical="center" wrapText="1"/>
    </xf>
    <xf numFmtId="1" fontId="0" fillId="2" borderId="1" xfId="0" applyNumberForma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164" fontId="0" fillId="2" borderId="1" xfId="1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11" borderId="1" xfId="0" applyFill="1" applyBorder="1" applyAlignment="1">
      <alignment vertical="center"/>
    </xf>
    <xf numFmtId="0" fontId="0" fillId="16" borderId="1" xfId="0" applyFill="1" applyBorder="1" applyAlignment="1">
      <alignment horizontal="left" vertical="center" wrapText="1"/>
    </xf>
    <xf numFmtId="0" fontId="0" fillId="16" borderId="1" xfId="0" applyFill="1" applyBorder="1" applyAlignment="1">
      <alignment vertical="center"/>
    </xf>
    <xf numFmtId="0" fontId="0" fillId="8" borderId="1" xfId="0" applyFill="1" applyBorder="1" applyAlignment="1">
      <alignment vertical="center" wrapText="1"/>
    </xf>
    <xf numFmtId="0" fontId="0" fillId="13" borderId="1" xfId="0" applyFill="1" applyBorder="1" applyAlignment="1">
      <alignment vertical="center"/>
    </xf>
    <xf numFmtId="0" fontId="0" fillId="15" borderId="1" xfId="0" applyFill="1" applyBorder="1" applyAlignment="1">
      <alignment vertical="center"/>
    </xf>
    <xf numFmtId="0" fontId="0" fillId="12" borderId="1" xfId="0" applyFill="1" applyBorder="1" applyAlignment="1">
      <alignment vertical="center"/>
    </xf>
    <xf numFmtId="0" fontId="0" fillId="14" borderId="1" xfId="0" applyFill="1" applyBorder="1" applyAlignment="1">
      <alignment vertical="center"/>
    </xf>
    <xf numFmtId="0" fontId="7" fillId="0" borderId="0" xfId="0" applyFont="1"/>
    <xf numFmtId="0" fontId="3" fillId="0" borderId="0" xfId="0" applyFont="1"/>
    <xf numFmtId="0" fontId="6" fillId="2" borderId="12" xfId="0" applyFont="1" applyFill="1" applyBorder="1" applyAlignment="1">
      <alignment horizontal="center" vertical="center" wrapText="1"/>
    </xf>
    <xf numFmtId="17" fontId="0" fillId="2" borderId="0" xfId="0" applyNumberFormat="1" applyFill="1" applyAlignment="1">
      <alignment horizontal="left" vertical="center" wrapText="1"/>
    </xf>
    <xf numFmtId="0" fontId="10" fillId="0" borderId="2" xfId="0" quotePrefix="1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3" fillId="0" borderId="0" xfId="0" applyFont="1"/>
    <xf numFmtId="169" fontId="0" fillId="0" borderId="1" xfId="1" applyNumberFormat="1" applyFont="1" applyBorder="1"/>
    <xf numFmtId="0" fontId="0" fillId="0" borderId="1" xfId="0" quotePrefix="1" applyBorder="1" applyAlignment="1">
      <alignment horizontal="center" vertical="center"/>
    </xf>
    <xf numFmtId="169" fontId="0" fillId="0" borderId="16" xfId="1" applyNumberFormat="1" applyFont="1" applyBorder="1"/>
    <xf numFmtId="0" fontId="0" fillId="0" borderId="18" xfId="0" quotePrefix="1" applyBorder="1" applyAlignment="1">
      <alignment horizontal="center" vertical="center"/>
    </xf>
    <xf numFmtId="170" fontId="0" fillId="0" borderId="1" xfId="1" applyNumberFormat="1" applyFont="1" applyBorder="1"/>
    <xf numFmtId="165" fontId="0" fillId="0" borderId="1" xfId="1" applyNumberFormat="1" applyFont="1" applyBorder="1"/>
    <xf numFmtId="164" fontId="0" fillId="0" borderId="1" xfId="1" applyFont="1" applyBorder="1"/>
    <xf numFmtId="0" fontId="4" fillId="0" borderId="0" xfId="0" applyFont="1"/>
    <xf numFmtId="0" fontId="0" fillId="18" borderId="0" xfId="0" applyFill="1"/>
    <xf numFmtId="169" fontId="0" fillId="17" borderId="1" xfId="1" applyNumberFormat="1" applyFont="1" applyFill="1" applyBorder="1"/>
    <xf numFmtId="164" fontId="0" fillId="17" borderId="1" xfId="1" applyFont="1" applyFill="1" applyBorder="1"/>
    <xf numFmtId="0" fontId="0" fillId="17" borderId="1" xfId="0" applyFill="1" applyBorder="1"/>
    <xf numFmtId="0" fontId="0" fillId="17" borderId="1" xfId="0" quotePrefix="1" applyFill="1" applyBorder="1" applyAlignment="1">
      <alignment horizontal="center" vertical="center"/>
    </xf>
    <xf numFmtId="0" fontId="0" fillId="17" borderId="18" xfId="0" applyFill="1" applyBorder="1" applyAlignment="1">
      <alignment vertical="center"/>
    </xf>
    <xf numFmtId="0" fontId="0" fillId="17" borderId="18" xfId="0" applyFill="1" applyBorder="1" applyAlignment="1">
      <alignment horizontal="center" vertical="center"/>
    </xf>
    <xf numFmtId="165" fontId="0" fillId="17" borderId="1" xfId="1" applyNumberFormat="1" applyFont="1" applyFill="1" applyBorder="1"/>
    <xf numFmtId="170" fontId="0" fillId="17" borderId="1" xfId="1" applyNumberFormat="1" applyFont="1" applyFill="1" applyBorder="1"/>
    <xf numFmtId="0" fontId="13" fillId="19" borderId="1" xfId="0" applyFont="1" applyFill="1" applyBorder="1"/>
    <xf numFmtId="0" fontId="2" fillId="19" borderId="15" xfId="0" applyFont="1" applyFill="1" applyBorder="1"/>
    <xf numFmtId="0" fontId="2" fillId="19" borderId="1" xfId="0" applyFont="1" applyFill="1" applyBorder="1"/>
    <xf numFmtId="0" fontId="0" fillId="19" borderId="1" xfId="0" applyFill="1" applyBorder="1"/>
    <xf numFmtId="14" fontId="2" fillId="19" borderId="14" xfId="0" applyNumberFormat="1" applyFont="1" applyFill="1" applyBorder="1" applyAlignment="1">
      <alignment horizontal="center"/>
    </xf>
    <xf numFmtId="14" fontId="18" fillId="19" borderId="1" xfId="0" applyNumberFormat="1" applyFont="1" applyFill="1" applyBorder="1" applyAlignment="1">
      <alignment horizontal="center"/>
    </xf>
    <xf numFmtId="14" fontId="18" fillId="19" borderId="1" xfId="0" quotePrefix="1" applyNumberFormat="1" applyFont="1" applyFill="1" applyBorder="1" applyAlignment="1">
      <alignment horizontal="center"/>
    </xf>
    <xf numFmtId="0" fontId="13" fillId="19" borderId="1" xfId="0" applyFont="1" applyFill="1" applyBorder="1" applyAlignment="1">
      <alignment horizontal="left"/>
    </xf>
    <xf numFmtId="0" fontId="17" fillId="19" borderId="1" xfId="2" applyFont="1" applyFill="1" applyBorder="1" applyAlignment="1">
      <alignment horizontal="center" vertical="center"/>
    </xf>
    <xf numFmtId="0" fontId="17" fillId="19" borderId="1" xfId="2" applyFont="1" applyFill="1" applyBorder="1" applyAlignment="1">
      <alignment horizontal="center"/>
    </xf>
    <xf numFmtId="14" fontId="17" fillId="19" borderId="1" xfId="2" applyNumberFormat="1" applyFont="1" applyFill="1" applyBorder="1" applyAlignment="1">
      <alignment horizontal="center"/>
    </xf>
    <xf numFmtId="14" fontId="4" fillId="19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9" fontId="0" fillId="17" borderId="18" xfId="1" applyNumberFormat="1" applyFont="1" applyFill="1" applyBorder="1" applyAlignment="1">
      <alignment vertical="center"/>
    </xf>
    <xf numFmtId="14" fontId="18" fillId="19" borderId="1" xfId="0" applyNumberFormat="1" applyFont="1" applyFill="1" applyBorder="1"/>
    <xf numFmtId="0" fontId="0" fillId="17" borderId="1" xfId="0" applyFill="1" applyBorder="1" applyAlignment="1">
      <alignment vertical="center"/>
    </xf>
    <xf numFmtId="0" fontId="0" fillId="17" borderId="1" xfId="0" applyFill="1" applyBorder="1" applyAlignment="1">
      <alignment horizontal="center" vertical="center"/>
    </xf>
    <xf numFmtId="169" fontId="0" fillId="17" borderId="1" xfId="1" applyNumberFormat="1" applyFont="1" applyFill="1" applyBorder="1" applyAlignment="1">
      <alignment vertical="center"/>
    </xf>
    <xf numFmtId="0" fontId="0" fillId="0" borderId="16" xfId="0" applyBorder="1"/>
    <xf numFmtId="0" fontId="0" fillId="0" borderId="19" xfId="0" applyBorder="1"/>
    <xf numFmtId="10" fontId="0" fillId="0" borderId="0" xfId="3" applyNumberFormat="1" applyFont="1"/>
    <xf numFmtId="14" fontId="2" fillId="19" borderId="21" xfId="0" applyNumberFormat="1" applyFont="1" applyFill="1" applyBorder="1" applyAlignment="1">
      <alignment horizontal="center"/>
    </xf>
    <xf numFmtId="0" fontId="17" fillId="19" borderId="22" xfId="2" applyFont="1" applyFill="1" applyBorder="1" applyAlignment="1">
      <alignment horizontal="center"/>
    </xf>
    <xf numFmtId="0" fontId="17" fillId="19" borderId="22" xfId="2" applyFont="1" applyFill="1" applyBorder="1" applyAlignment="1">
      <alignment horizontal="center" vertical="center"/>
    </xf>
    <xf numFmtId="0" fontId="0" fillId="0" borderId="22" xfId="0" applyBorder="1"/>
    <xf numFmtId="169" fontId="0" fillId="0" borderId="22" xfId="1" applyNumberFormat="1" applyFont="1" applyBorder="1"/>
    <xf numFmtId="0" fontId="0" fillId="0" borderId="23" xfId="0" applyBorder="1"/>
    <xf numFmtId="0" fontId="0" fillId="19" borderId="16" xfId="0" applyFill="1" applyBorder="1"/>
    <xf numFmtId="14" fontId="2" fillId="19" borderId="20" xfId="0" applyNumberFormat="1" applyFont="1" applyFill="1" applyBorder="1" applyAlignment="1">
      <alignment horizontal="center"/>
    </xf>
    <xf numFmtId="0" fontId="17" fillId="19" borderId="1" xfId="2" applyFont="1" applyFill="1" applyBorder="1" applyAlignment="1">
      <alignment horizontal="center" vertical="center"/>
    </xf>
    <xf numFmtId="0" fontId="0" fillId="19" borderId="22" xfId="0" applyFill="1" applyBorder="1"/>
    <xf numFmtId="0" fontId="17" fillId="19" borderId="16" xfId="2" applyFont="1" applyFill="1" applyBorder="1" applyAlignment="1">
      <alignment horizontal="center" vertical="center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2" fillId="19" borderId="15" xfId="0" applyFont="1" applyFill="1" applyBorder="1" applyAlignment="1">
      <alignment vertical="center"/>
    </xf>
    <xf numFmtId="14" fontId="2" fillId="19" borderId="14" xfId="0" applyNumberFormat="1" applyFont="1" applyFill="1" applyBorder="1" applyAlignment="1">
      <alignment horizontal="center"/>
    </xf>
    <xf numFmtId="14" fontId="2" fillId="19" borderId="14" xfId="0" quotePrefix="1" applyNumberFormat="1" applyFont="1" applyFill="1" applyBorder="1" applyAlignment="1">
      <alignment horizontal="center"/>
    </xf>
    <xf numFmtId="0" fontId="17" fillId="19" borderId="1" xfId="2" applyFont="1" applyFill="1" applyBorder="1" applyAlignment="1">
      <alignment horizontal="center" vertical="center"/>
    </xf>
    <xf numFmtId="14" fontId="4" fillId="19" borderId="1" xfId="0" applyNumberFormat="1" applyFont="1" applyFill="1" applyBorder="1" applyAlignment="1">
      <alignment horizontal="center"/>
    </xf>
    <xf numFmtId="14" fontId="17" fillId="19" borderId="1" xfId="2" applyNumberFormat="1" applyFont="1" applyFill="1" applyBorder="1" applyAlignment="1">
      <alignment horizontal="center"/>
    </xf>
    <xf numFmtId="0" fontId="2" fillId="19" borderId="15" xfId="0" applyFont="1" applyFill="1" applyBorder="1" applyAlignment="1">
      <alignment vertical="center" wrapText="1"/>
    </xf>
    <xf numFmtId="0" fontId="17" fillId="19" borderId="1" xfId="2" applyFont="1" applyFill="1" applyBorder="1" applyAlignment="1">
      <alignment horizontal="center"/>
    </xf>
    <xf numFmtId="0" fontId="2" fillId="19" borderId="13" xfId="0" applyFont="1" applyFill="1" applyBorder="1" applyAlignment="1">
      <alignment horizontal="center" vertical="center"/>
    </xf>
    <xf numFmtId="0" fontId="2" fillId="19" borderId="14" xfId="0" applyFont="1" applyFill="1" applyBorder="1" applyAlignment="1">
      <alignment horizontal="center" vertical="center"/>
    </xf>
    <xf numFmtId="0" fontId="2" fillId="19" borderId="15" xfId="0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 vertical="center"/>
    </xf>
    <xf numFmtId="0" fontId="13" fillId="19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9" fontId="0" fillId="0" borderId="1" xfId="1" applyNumberFormat="1" applyFont="1" applyBorder="1" applyAlignment="1">
      <alignment vertical="top"/>
    </xf>
    <xf numFmtId="0" fontId="13" fillId="19" borderId="1" xfId="0" applyFont="1" applyFill="1" applyBorder="1" applyAlignment="1">
      <alignment vertical="center" wrapText="1"/>
    </xf>
    <xf numFmtId="0" fontId="2" fillId="19" borderId="1" xfId="0" applyFont="1" applyFill="1" applyBorder="1" applyAlignment="1">
      <alignment vertical="center" wrapText="1"/>
    </xf>
    <xf numFmtId="0" fontId="13" fillId="19" borderId="1" xfId="0" applyFont="1" applyFill="1" applyBorder="1" applyAlignment="1">
      <alignment wrapText="1"/>
    </xf>
    <xf numFmtId="0" fontId="2" fillId="19" borderId="15" xfId="0" applyFont="1" applyFill="1" applyBorder="1" applyAlignment="1">
      <alignment horizontal="center" vertical="center" wrapText="1"/>
    </xf>
    <xf numFmtId="0" fontId="2" fillId="19" borderId="17" xfId="0" applyFont="1" applyFill="1" applyBorder="1" applyAlignment="1">
      <alignment horizontal="center" vertical="center" wrapText="1"/>
    </xf>
    <xf numFmtId="0" fontId="13" fillId="19" borderId="18" xfId="0" applyFont="1" applyFill="1" applyBorder="1" applyAlignment="1">
      <alignment horizontal="left"/>
    </xf>
    <xf numFmtId="0" fontId="19" fillId="19" borderId="1" xfId="2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1" fillId="10" borderId="3" xfId="0" applyFont="1" applyFill="1" applyBorder="1" applyAlignment="1">
      <alignment horizontal="center" vertical="center" wrapText="1"/>
    </xf>
    <xf numFmtId="0" fontId="8" fillId="10" borderId="0" xfId="0" applyFont="1" applyFill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4">
    <cellStyle name="Hiperlink" xfId="2" builtinId="8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FFFF00"/>
      <color rgb="FFCCCC00"/>
      <color rgb="FF6B9EDB"/>
      <color rgb="FFD07C7A"/>
      <color rgb="FFF79F57"/>
      <color rgb="FFABC674"/>
      <color rgb="FFFF6600"/>
      <color rgb="FFFFFF66"/>
      <color rgb="FFF68D3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arquivos.ana.gov.br/institucional/sag/CobrancaUso/Cobranca/Resolucao_CONERH_CE_nr_02_03.pdf" TargetMode="External"/><Relationship Id="rId18" Type="http://schemas.openxmlformats.org/officeDocument/2006/relationships/hyperlink" Target="http://arquivos.ana.gov.br/institucional/sag/CobrancaUso/Cobranca/Decreto%20CE_nr_29.373_08.pdf" TargetMode="External"/><Relationship Id="rId26" Type="http://schemas.openxmlformats.org/officeDocument/2006/relationships/hyperlink" Target="http://arquivos.ana.gov.br/institucional/sag/CobrancaUso/Cobranca/ResolucaoCONERH_Nr_05_12.pdf" TargetMode="External"/><Relationship Id="rId39" Type="http://schemas.openxmlformats.org/officeDocument/2006/relationships/hyperlink" Target="http://arquivos.ana.gov.br/institucional/sag/CobrancaUso/Legislacao/Resolucao_CONERH-CE_n_06_16.pdf" TargetMode="External"/><Relationship Id="rId3" Type="http://schemas.openxmlformats.org/officeDocument/2006/relationships/hyperlink" Target="http://arquivos.ana.gov.br/institucional/sag/CobrancaUso/Cobranca/Decreto%20CE_nr_24.264_96.pdf" TargetMode="External"/><Relationship Id="rId21" Type="http://schemas.openxmlformats.org/officeDocument/2006/relationships/hyperlink" Target="http://arquivos.ana.gov.br/institucional/sag/CobrancaUso/Cobranca/Decreto%20CE_nr_30.159_10.pdf" TargetMode="External"/><Relationship Id="rId34" Type="http://schemas.openxmlformats.org/officeDocument/2006/relationships/hyperlink" Target="http://arquivos.ana.gov.br/institucional/sag/CobrancaUso/Legislacao/ResolucaoCONERH_Nr_04_12.pdf" TargetMode="External"/><Relationship Id="rId42" Type="http://schemas.openxmlformats.org/officeDocument/2006/relationships/hyperlink" Target="http://www3.ana.gov.br/portal/ANA/todos-os-documentos-do-portal/documentos-sas/arquivos-cobranca/resolucao-conerh-ce-no-06_17.pdf" TargetMode="External"/><Relationship Id="rId47" Type="http://schemas.openxmlformats.org/officeDocument/2006/relationships/hyperlink" Target="http://www3.ana.gov.br/portal/ANA/todos-os-documentos-do-portal/documentos-sas/arquivos-cobranca/resolucao-conerh-ce-no-05_18.pdf" TargetMode="External"/><Relationship Id="rId7" Type="http://schemas.openxmlformats.org/officeDocument/2006/relationships/hyperlink" Target="http://arquivos.ana.gov.br/institucional/sag/CobrancaUso/Cobranca/Decreto%20CE_nr_25.721_99.pdf" TargetMode="External"/><Relationship Id="rId12" Type="http://schemas.openxmlformats.org/officeDocument/2006/relationships/hyperlink" Target="http://arquivos.ana.gov.br/institucional/sag/CobrancaUso/Cobranca/Decreto%20CE_nr_27.005_03.pdf" TargetMode="External"/><Relationship Id="rId17" Type="http://schemas.openxmlformats.org/officeDocument/2006/relationships/hyperlink" Target="http://arquivos.ana.gov.br/institucional/sag/CobrancaUso/Cobranca/Decreto%20CE_nr_28.244_06.pdf" TargetMode="External"/><Relationship Id="rId25" Type="http://schemas.openxmlformats.org/officeDocument/2006/relationships/hyperlink" Target="http://arquivos.ana.gov.br/institucional/sag/CobrancaUso/Cobranca/ResolucaoCONERH_Nr_04_12.pdf" TargetMode="External"/><Relationship Id="rId33" Type="http://schemas.openxmlformats.org/officeDocument/2006/relationships/hyperlink" Target="http://arquivos.ana.gov.br/institucional/sag/CobrancaUso/Legislacao/ResolucaoCONERH_Nr_05_12.pdf" TargetMode="External"/><Relationship Id="rId38" Type="http://schemas.openxmlformats.org/officeDocument/2006/relationships/hyperlink" Target="http://arquivos.ana.gov.br/institucional/sag/CobrancaUso/Legislacao/DecretoCE_n_32.032_16.pdf" TargetMode="External"/><Relationship Id="rId46" Type="http://schemas.openxmlformats.org/officeDocument/2006/relationships/hyperlink" Target="http://arquivos.ana.gov.br/institucional/sag/CobrancaUso/Legislacao/Resolucao_CONERH-CE_n_003-2017.pdf" TargetMode="External"/><Relationship Id="rId2" Type="http://schemas.openxmlformats.org/officeDocument/2006/relationships/hyperlink" Target="http://arquivos.ana.gov.br/institucional/sag/CobrancaUso/Cobranca/Decreto%20CE_nr_24.293_96.pdf" TargetMode="External"/><Relationship Id="rId16" Type="http://schemas.openxmlformats.org/officeDocument/2006/relationships/hyperlink" Target="http://arquivos.ana.gov.br/institucional/sag/CobrancaUso/Cobranca/Decreto%20CE_nr_28.074_05.pdf" TargetMode="External"/><Relationship Id="rId20" Type="http://schemas.openxmlformats.org/officeDocument/2006/relationships/hyperlink" Target="http://arquivos.ana.gov.br/institucional/sag/CobrancaUso/Cobranca/Decreto%20CE_nr_30.159_10.pdf" TargetMode="External"/><Relationship Id="rId29" Type="http://schemas.openxmlformats.org/officeDocument/2006/relationships/hyperlink" Target="http://arquivos.ana.gov.br/institucional/sag/CobrancaUso/Legislacao/ResolucaoCONERH_CE_nr_05_13.pdf" TargetMode="External"/><Relationship Id="rId41" Type="http://schemas.openxmlformats.org/officeDocument/2006/relationships/hyperlink" Target="http://www3.ana.gov.br/portal/ANA/todos-os-documentos-do-portal/documentos-sas/arquivos-cobranca/decreto-ce_nr_32-422_17.pdf" TargetMode="External"/><Relationship Id="rId1" Type="http://schemas.openxmlformats.org/officeDocument/2006/relationships/hyperlink" Target="http://arquivos.ana.gov.br/institucional/sag/CobrancaUso/Cobranca/Decreto%20CE_nr_24.264_96.pdf" TargetMode="External"/><Relationship Id="rId6" Type="http://schemas.openxmlformats.org/officeDocument/2006/relationships/hyperlink" Target="http://arquivos.ana.gov.br/institucional/sag/CobrancaUso/Cobranca/Decreto%20CE_nr_25.461_99.pdf" TargetMode="External"/><Relationship Id="rId11" Type="http://schemas.openxmlformats.org/officeDocument/2006/relationships/hyperlink" Target="http://arquivos.ana.gov.br/institucional/sag/CobrancaUso/Cobranca/Decreto%20CE_nr_24.264_96.pdf" TargetMode="External"/><Relationship Id="rId24" Type="http://schemas.openxmlformats.org/officeDocument/2006/relationships/hyperlink" Target="http://arquivos.ana.gov.br/institucional/sag/CobrancaUso/Legislacao/Decreto_nr_30.629_19-08-11.pdf" TargetMode="External"/><Relationship Id="rId32" Type="http://schemas.openxmlformats.org/officeDocument/2006/relationships/hyperlink" Target="http://arquivos.ana.gov.br/institucional/sag/CobrancaUso/Legislacao/Decreto%20CE_nr_31.195_13.pdf" TargetMode="External"/><Relationship Id="rId37" Type="http://schemas.openxmlformats.org/officeDocument/2006/relationships/hyperlink" Target="http://arquivos.ana.gov.br/institucional/sag/CobrancaUso/Legislacao/Resolucao_CONERH-CE_n_05_16.pdf" TargetMode="External"/><Relationship Id="rId40" Type="http://schemas.openxmlformats.org/officeDocument/2006/relationships/hyperlink" Target="http://arquivos.ana.gov.br/institucional/sag/CobrancaUso/Legislacao/DecretoCE_n_32.044_16.pdf" TargetMode="External"/><Relationship Id="rId45" Type="http://schemas.openxmlformats.org/officeDocument/2006/relationships/hyperlink" Target="http://arquivos.ana.gov.br/institucional/sag/CobrancaUso/Legislacao/DecretoCE_n_32.160_17.pdf" TargetMode="External"/><Relationship Id="rId5" Type="http://schemas.openxmlformats.org/officeDocument/2006/relationships/hyperlink" Target="http://arquivos.ana.gov.br/institucional/sag/CobrancaUso/Cobranca/Decreto%20CE_nr_24.264_96.pdf" TargetMode="External"/><Relationship Id="rId15" Type="http://schemas.openxmlformats.org/officeDocument/2006/relationships/hyperlink" Target="http://arquivos.ana.gov.br/institucional/sag/CobrancaUso/Cobranca/Decreto%20CE_nr_27.271_03.pdf" TargetMode="External"/><Relationship Id="rId23" Type="http://schemas.openxmlformats.org/officeDocument/2006/relationships/hyperlink" Target="http://arquivos.ana.gov.br/institucional/sag/CobrancaUso/Legislacao/ResolucaoCONERH_Nr_01_11.pdf" TargetMode="External"/><Relationship Id="rId28" Type="http://schemas.openxmlformats.org/officeDocument/2006/relationships/hyperlink" Target="http://arquivos.ana.gov.br/institucional/sag/CobrancaUso/Cobranca/DeliberacaoCONERH_CE_nr_01_96.pdf" TargetMode="External"/><Relationship Id="rId36" Type="http://schemas.openxmlformats.org/officeDocument/2006/relationships/hyperlink" Target="http://arquivos.ana.gov.br/institucional/sag/CobrancaUso/Legislacao/Decreto_CE_nr_31_898_16.pdf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://arquivos.ana.gov.br/institucional/sag/CobrancaUso/Cobranca/Decreto%20CE_nr_25.980_00.pdf" TargetMode="External"/><Relationship Id="rId19" Type="http://schemas.openxmlformats.org/officeDocument/2006/relationships/hyperlink" Target="http://arquivos.ana.gov.br/institucional/sag/CobrancaUso/Cobranca/Resolucao_CONERH_CE_nr_03_09.pdf" TargetMode="External"/><Relationship Id="rId31" Type="http://schemas.openxmlformats.org/officeDocument/2006/relationships/hyperlink" Target="http://arquivos.ana.gov.br/institucional/sag/CobrancaUso/Legislacao/Resolucao_CONERH_CE_nr_02_15.pdf" TargetMode="External"/><Relationship Id="rId44" Type="http://schemas.openxmlformats.org/officeDocument/2006/relationships/hyperlink" Target="http://arquivos.ana.gov.br/institucional/sag/CobrancaUso/Legislacao/Resolucao_CONERH-CE_n_004-2017.pdf" TargetMode="External"/><Relationship Id="rId4" Type="http://schemas.openxmlformats.org/officeDocument/2006/relationships/hyperlink" Target="http://arquivos.ana.gov.br/institucional/sag/CobrancaUso/Cobranca/Decreto%20CE_nr_24.870_98.pdf" TargetMode="External"/><Relationship Id="rId9" Type="http://schemas.openxmlformats.org/officeDocument/2006/relationships/hyperlink" Target="http://arquivos.ana.gov.br/institucional/sag/CobrancaUso/Cobranca/Decreto%20CE_nr_25.721_99.pdf" TargetMode="External"/><Relationship Id="rId14" Type="http://schemas.openxmlformats.org/officeDocument/2006/relationships/hyperlink" Target="http://arquivos.ana.gov.br/institucional/sag/CobrancaUso/Cobranca/Decreto%20CE_nr_27.271_03.pdf" TargetMode="External"/><Relationship Id="rId22" Type="http://schemas.openxmlformats.org/officeDocument/2006/relationships/hyperlink" Target="http://arquivos.ana.gov.br/institucional/sag/CobrancaUso/Cobranca/Decreto%20CE_nr_30.374-10.pdf" TargetMode="External"/><Relationship Id="rId27" Type="http://schemas.openxmlformats.org/officeDocument/2006/relationships/hyperlink" Target="http://arquivos.ana.gov.br/institucional/sag/CobrancaUso/Cobranca/Decreto%20CE_nr_31.195_13.pdf" TargetMode="External"/><Relationship Id="rId30" Type="http://schemas.openxmlformats.org/officeDocument/2006/relationships/hyperlink" Target="http://arquivos.ana.gov.br/institucional/sag/CobrancaUso/Legislacao/Decreto_CE_n_31.734-15.pdf" TargetMode="External"/><Relationship Id="rId35" Type="http://schemas.openxmlformats.org/officeDocument/2006/relationships/hyperlink" Target="http://arquivos.ana.gov.br/institucional/sag/CobrancaUso/Legislacao/Resolucao_CONERH-CE_01_16.pdf" TargetMode="External"/><Relationship Id="rId43" Type="http://schemas.openxmlformats.org/officeDocument/2006/relationships/hyperlink" Target="http://arquivos.ana.gov.br/institucional/sag/CobrancaUso/Legislacao/DecretoCE_n_32.159_17.pdf" TargetMode="External"/><Relationship Id="rId48" Type="http://schemas.openxmlformats.org/officeDocument/2006/relationships/hyperlink" Target="http://www3.ana.gov.br/portal/ANA/todos-os-documentos-do-portal/documentos-sas/arquivos-cobranca/decreto-ce_nr_32-858_18.pdf" TargetMode="External"/><Relationship Id="rId8" Type="http://schemas.openxmlformats.org/officeDocument/2006/relationships/hyperlink" Target="http://arquivos.ana.gov.br/institucional/sag/CobrancaUso/Cobranca/Decreto%20CE_nr_24.264_96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61"/>
  <sheetViews>
    <sheetView tabSelected="1" workbookViewId="0">
      <pane xSplit="3" ySplit="6" topLeftCell="V7" activePane="bottomRight" state="frozen"/>
      <selection pane="topRight" activeCell="D1" sqref="D1"/>
      <selection pane="bottomLeft" activeCell="A7" sqref="A7"/>
      <selection pane="bottomRight" sqref="A1:W1"/>
    </sheetView>
  </sheetViews>
  <sheetFormatPr defaultRowHeight="15" x14ac:dyDescent="0.25"/>
  <cols>
    <col min="1" max="1" width="19.140625" customWidth="1"/>
    <col min="2" max="2" width="10.42578125" customWidth="1"/>
    <col min="3" max="3" width="29.5703125" style="43" customWidth="1"/>
    <col min="4" max="5" width="25.140625" bestFit="1" customWidth="1"/>
    <col min="6" max="7" width="12.85546875" customWidth="1"/>
    <col min="8" max="9" width="25.140625" bestFit="1" customWidth="1"/>
    <col min="10" max="10" width="23.7109375" bestFit="1" customWidth="1"/>
    <col min="11" max="11" width="12.85546875" style="52" customWidth="1"/>
    <col min="12" max="12" width="12.85546875" customWidth="1"/>
    <col min="13" max="15" width="23.7109375" bestFit="1" customWidth="1"/>
    <col min="16" max="16" width="27.5703125" bestFit="1" customWidth="1"/>
    <col min="17" max="18" width="14.140625" customWidth="1"/>
    <col min="19" max="20" width="11.7109375" customWidth="1"/>
    <col min="21" max="21" width="22" bestFit="1" customWidth="1"/>
    <col min="22" max="22" width="27.5703125" bestFit="1" customWidth="1"/>
    <col min="23" max="23" width="23.7109375" bestFit="1" customWidth="1"/>
    <col min="24" max="24" width="23.7109375" customWidth="1"/>
    <col min="25" max="28" width="23.7109375" bestFit="1" customWidth="1"/>
    <col min="29" max="29" width="23.7109375" customWidth="1"/>
  </cols>
  <sheetData>
    <row r="1" spans="1:30" ht="18" thickBot="1" x14ac:dyDescent="0.3">
      <c r="A1" s="94" t="s">
        <v>170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73"/>
    </row>
    <row r="2" spans="1:30" ht="17.25" x14ac:dyDescent="0.25">
      <c r="A2" s="103" t="s">
        <v>157</v>
      </c>
      <c r="B2" s="104"/>
      <c r="C2" s="104"/>
      <c r="D2" s="65">
        <v>35370</v>
      </c>
      <c r="E2" s="65">
        <v>35893</v>
      </c>
      <c r="F2" s="65" t="s">
        <v>215</v>
      </c>
      <c r="G2" s="65">
        <v>36304</v>
      </c>
      <c r="H2" s="65">
        <v>36708</v>
      </c>
      <c r="I2" s="65">
        <v>37712</v>
      </c>
      <c r="J2" s="65">
        <v>37958</v>
      </c>
      <c r="K2" s="65" t="s">
        <v>217</v>
      </c>
      <c r="L2" s="65">
        <v>38853</v>
      </c>
      <c r="M2" s="65">
        <v>39630</v>
      </c>
      <c r="N2" s="65">
        <v>40302</v>
      </c>
      <c r="O2" s="65">
        <v>40519</v>
      </c>
      <c r="P2" s="65">
        <v>40778</v>
      </c>
      <c r="Q2" s="96">
        <v>41382</v>
      </c>
      <c r="R2" s="96"/>
      <c r="S2" s="97" t="s">
        <v>225</v>
      </c>
      <c r="T2" s="96"/>
      <c r="U2" s="65">
        <v>42156</v>
      </c>
      <c r="V2" s="65">
        <v>42439</v>
      </c>
      <c r="W2" s="65">
        <v>42615</v>
      </c>
      <c r="X2" s="65" t="s">
        <v>233</v>
      </c>
      <c r="Y2" s="65">
        <v>42790</v>
      </c>
      <c r="Z2" s="65" t="s">
        <v>233</v>
      </c>
      <c r="AA2" s="82">
        <v>43056</v>
      </c>
      <c r="AB2" s="82">
        <v>43410</v>
      </c>
      <c r="AC2" s="89">
        <v>43552</v>
      </c>
    </row>
    <row r="3" spans="1:30" x14ac:dyDescent="0.25">
      <c r="A3" s="105"/>
      <c r="B3" s="106"/>
      <c r="C3" s="106"/>
      <c r="D3" s="71" t="s">
        <v>190</v>
      </c>
      <c r="E3" s="72" t="s">
        <v>192</v>
      </c>
      <c r="F3" s="99" t="s">
        <v>192</v>
      </c>
      <c r="G3" s="99"/>
      <c r="H3" s="72" t="s">
        <v>192</v>
      </c>
      <c r="I3" s="72" t="s">
        <v>192</v>
      </c>
      <c r="J3" s="71" t="s">
        <v>197</v>
      </c>
      <c r="K3" s="100" t="s">
        <v>198</v>
      </c>
      <c r="L3" s="100"/>
      <c r="M3" s="72" t="s">
        <v>212</v>
      </c>
      <c r="N3" s="69" t="s">
        <v>204</v>
      </c>
      <c r="O3" s="72" t="s">
        <v>213</v>
      </c>
      <c r="P3" s="69" t="s">
        <v>207</v>
      </c>
      <c r="Q3" s="98" t="s">
        <v>209</v>
      </c>
      <c r="R3" s="98"/>
      <c r="S3" s="98" t="s">
        <v>219</v>
      </c>
      <c r="T3" s="98"/>
      <c r="U3" s="69" t="s">
        <v>222</v>
      </c>
      <c r="V3" s="69" t="s">
        <v>230</v>
      </c>
      <c r="W3" s="69" t="s">
        <v>229</v>
      </c>
      <c r="X3" s="69" t="s">
        <v>232</v>
      </c>
      <c r="Y3" s="69" t="s">
        <v>231</v>
      </c>
      <c r="Z3" s="69" t="s">
        <v>236</v>
      </c>
      <c r="AA3" s="83" t="s">
        <v>244</v>
      </c>
      <c r="AB3" s="83" t="s">
        <v>245</v>
      </c>
      <c r="AC3" s="92" t="s">
        <v>249</v>
      </c>
    </row>
    <row r="4" spans="1:30" x14ac:dyDescent="0.25">
      <c r="A4" s="105"/>
      <c r="B4" s="106"/>
      <c r="C4" s="106"/>
      <c r="D4" s="71" t="s">
        <v>189</v>
      </c>
      <c r="E4" s="71" t="s">
        <v>189</v>
      </c>
      <c r="F4" s="100" t="s">
        <v>189</v>
      </c>
      <c r="G4" s="100"/>
      <c r="H4" s="71" t="s">
        <v>189</v>
      </c>
      <c r="I4" s="72" t="s">
        <v>199</v>
      </c>
      <c r="J4" s="71" t="s">
        <v>198</v>
      </c>
      <c r="K4" s="100" t="s">
        <v>200</v>
      </c>
      <c r="L4" s="100"/>
      <c r="M4" s="70" t="s">
        <v>203</v>
      </c>
      <c r="N4" s="70" t="s">
        <v>205</v>
      </c>
      <c r="O4" s="72" t="s">
        <v>214</v>
      </c>
      <c r="P4" s="70" t="s">
        <v>208</v>
      </c>
      <c r="Q4" s="98" t="s">
        <v>210</v>
      </c>
      <c r="R4" s="98"/>
      <c r="S4" s="116" t="s">
        <v>223</v>
      </c>
      <c r="T4" s="116"/>
      <c r="U4" s="69" t="s">
        <v>224</v>
      </c>
      <c r="V4" s="69" t="s">
        <v>227</v>
      </c>
      <c r="W4" s="69" t="s">
        <v>228</v>
      </c>
      <c r="X4" s="69" t="s">
        <v>234</v>
      </c>
      <c r="Y4" s="69" t="s">
        <v>240</v>
      </c>
      <c r="Z4" s="69" t="s">
        <v>239</v>
      </c>
      <c r="AA4" s="84" t="s">
        <v>247</v>
      </c>
      <c r="AB4" s="84" t="s">
        <v>246</v>
      </c>
      <c r="AC4" s="92" t="s">
        <v>248</v>
      </c>
    </row>
    <row r="5" spans="1:30" x14ac:dyDescent="0.25">
      <c r="A5" s="105"/>
      <c r="B5" s="106"/>
      <c r="C5" s="106"/>
      <c r="D5" s="71" t="s">
        <v>188</v>
      </c>
      <c r="E5" s="71" t="s">
        <v>191</v>
      </c>
      <c r="F5" s="100" t="s">
        <v>193</v>
      </c>
      <c r="G5" s="100"/>
      <c r="H5" s="71" t="s">
        <v>194</v>
      </c>
      <c r="I5" s="71" t="s">
        <v>189</v>
      </c>
      <c r="J5" s="66"/>
      <c r="K5" s="99" t="s">
        <v>202</v>
      </c>
      <c r="L5" s="99"/>
      <c r="M5" s="66"/>
      <c r="N5" s="66"/>
      <c r="O5" s="69" t="s">
        <v>205</v>
      </c>
      <c r="P5" s="66"/>
      <c r="Q5" s="102" t="s">
        <v>211</v>
      </c>
      <c r="R5" s="102"/>
      <c r="S5" s="102"/>
      <c r="T5" s="102"/>
      <c r="U5" s="70"/>
      <c r="V5" s="70"/>
      <c r="W5" s="70"/>
      <c r="X5" s="70"/>
      <c r="Y5" s="70"/>
      <c r="Z5" s="90" t="s">
        <v>250</v>
      </c>
      <c r="AA5" s="83"/>
      <c r="AB5" s="91"/>
      <c r="AC5" s="88"/>
    </row>
    <row r="6" spans="1:30" x14ac:dyDescent="0.25">
      <c r="A6" s="105"/>
      <c r="B6" s="106"/>
      <c r="C6" s="106"/>
      <c r="D6" s="71"/>
      <c r="E6" s="71"/>
      <c r="F6" s="100" t="s">
        <v>194</v>
      </c>
      <c r="G6" s="100"/>
      <c r="H6" s="71" t="s">
        <v>195</v>
      </c>
      <c r="I6" s="71" t="s">
        <v>196</v>
      </c>
      <c r="J6" s="66"/>
      <c r="K6" s="102" t="s">
        <v>201</v>
      </c>
      <c r="L6" s="102"/>
      <c r="M6" s="66"/>
      <c r="N6" s="66"/>
      <c r="O6" s="70" t="s">
        <v>206</v>
      </c>
      <c r="P6" s="66"/>
      <c r="Q6" s="66"/>
      <c r="R6" s="67" t="s">
        <v>221</v>
      </c>
      <c r="S6" s="75"/>
      <c r="T6" s="67" t="s">
        <v>221</v>
      </c>
      <c r="U6" s="66"/>
      <c r="V6" s="66"/>
      <c r="W6" s="66"/>
      <c r="X6" s="66"/>
      <c r="Y6" s="66"/>
      <c r="Z6" s="66"/>
      <c r="AA6" s="83"/>
      <c r="AB6" s="91"/>
      <c r="AC6" s="88"/>
    </row>
    <row r="7" spans="1:30" x14ac:dyDescent="0.25">
      <c r="A7" s="101" t="s">
        <v>174</v>
      </c>
      <c r="B7" s="112" t="str">
        <f>A7</f>
        <v>Abastecimento público</v>
      </c>
      <c r="C7" s="112"/>
      <c r="D7" s="50">
        <v>0.01</v>
      </c>
      <c r="E7" s="44">
        <f>12.17/1000</f>
        <v>1.217E-2</v>
      </c>
      <c r="F7" s="49">
        <f>13/1000</f>
        <v>1.2999999999999999E-2</v>
      </c>
      <c r="G7" s="48">
        <f>12.1/1000</f>
        <v>1.21E-2</v>
      </c>
      <c r="H7" s="48">
        <f>G7</f>
        <v>1.21E-2</v>
      </c>
      <c r="I7" s="44">
        <f>14.51/1000</f>
        <v>1.451E-2</v>
      </c>
      <c r="J7" s="49">
        <f>26/1000</f>
        <v>2.5999999999999999E-2</v>
      </c>
      <c r="K7" s="44">
        <f>32.77/1000</f>
        <v>3.2770000000000001E-2</v>
      </c>
      <c r="L7" s="44">
        <f>32.77/1000</f>
        <v>3.2770000000000001E-2</v>
      </c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85"/>
      <c r="AB7" s="85"/>
      <c r="AC7" s="79"/>
    </row>
    <row r="8" spans="1:30" x14ac:dyDescent="0.25">
      <c r="A8" s="101"/>
      <c r="B8" s="107" t="s">
        <v>172</v>
      </c>
      <c r="C8" s="107"/>
      <c r="D8" s="54"/>
      <c r="E8" s="53"/>
      <c r="F8" s="53"/>
      <c r="G8" s="53"/>
      <c r="H8" s="53"/>
      <c r="I8" s="53"/>
      <c r="J8" s="53"/>
      <c r="K8" s="53"/>
      <c r="L8" s="53"/>
      <c r="M8" s="44">
        <f>32.77/1000</f>
        <v>3.2770000000000001E-2</v>
      </c>
      <c r="N8" s="44">
        <f>32.77/1000</f>
        <v>3.2770000000000001E-2</v>
      </c>
      <c r="O8" s="44">
        <f>N8</f>
        <v>3.2770000000000001E-2</v>
      </c>
      <c r="P8" s="44">
        <f>32.77/1000</f>
        <v>3.2770000000000001E-2</v>
      </c>
      <c r="Q8" s="44">
        <f>34.79/1000</f>
        <v>3.4790000000000001E-2</v>
      </c>
      <c r="R8" s="44"/>
      <c r="S8" s="44">
        <f>36.23/1000</f>
        <v>3.6229999999999998E-2</v>
      </c>
      <c r="T8" s="44">
        <f>S8</f>
        <v>3.6229999999999998E-2</v>
      </c>
      <c r="U8" s="44">
        <f>41.1/1000</f>
        <v>4.1100000000000005E-2</v>
      </c>
      <c r="V8" s="44">
        <f>45.49/1000</f>
        <v>4.5490000000000003E-2</v>
      </c>
      <c r="W8" s="44">
        <f>45.49/1000</f>
        <v>4.5490000000000003E-2</v>
      </c>
      <c r="X8" s="53"/>
      <c r="Y8" s="44">
        <f>52.43/1000</f>
        <v>5.2429999999999997E-2</v>
      </c>
      <c r="Z8" s="53"/>
      <c r="AA8" s="86">
        <f>52.43/1000</f>
        <v>5.2429999999999997E-2</v>
      </c>
      <c r="AB8" s="86">
        <f>55.28/1000</f>
        <v>5.5280000000000003E-2</v>
      </c>
      <c r="AC8" s="46">
        <f>61.92/1000</f>
        <v>6.1920000000000003E-2</v>
      </c>
      <c r="AD8" s="81"/>
    </row>
    <row r="9" spans="1:30" x14ac:dyDescent="0.25">
      <c r="A9" s="101"/>
      <c r="B9" s="107" t="s">
        <v>175</v>
      </c>
      <c r="C9" s="107"/>
      <c r="D9" s="54"/>
      <c r="E9" s="53"/>
      <c r="F9" s="53"/>
      <c r="G9" s="53"/>
      <c r="H9" s="49">
        <f>28/1000</f>
        <v>2.8000000000000001E-2</v>
      </c>
      <c r="I9" s="48">
        <f>33.6/1000</f>
        <v>3.3600000000000005E-2</v>
      </c>
      <c r="J9" s="49">
        <f>55/1000</f>
        <v>5.5E-2</v>
      </c>
      <c r="K9" s="48">
        <f>69.3/1000</f>
        <v>6.93E-2</v>
      </c>
      <c r="L9" s="48">
        <f>69.3/1000</f>
        <v>6.93E-2</v>
      </c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85"/>
      <c r="AB9" s="85"/>
      <c r="AC9" s="79"/>
      <c r="AD9" s="81"/>
    </row>
    <row r="10" spans="1:30" x14ac:dyDescent="0.25">
      <c r="A10" s="101"/>
      <c r="B10" s="107" t="s">
        <v>176</v>
      </c>
      <c r="C10" s="107"/>
      <c r="D10" s="54"/>
      <c r="E10" s="53"/>
      <c r="F10" s="53"/>
      <c r="G10" s="53"/>
      <c r="H10" s="53"/>
      <c r="I10" s="53"/>
      <c r="J10" s="53"/>
      <c r="K10" s="53"/>
      <c r="L10" s="53"/>
      <c r="M10" s="44">
        <f>86.54/1000</f>
        <v>8.6540000000000006E-2</v>
      </c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85"/>
      <c r="AB10" s="85"/>
      <c r="AC10" s="79"/>
      <c r="AD10" s="81"/>
    </row>
    <row r="11" spans="1:30" x14ac:dyDescent="0.25">
      <c r="A11" s="101"/>
      <c r="B11" s="107" t="s">
        <v>177</v>
      </c>
      <c r="C11" s="107"/>
      <c r="D11" s="54"/>
      <c r="E11" s="53"/>
      <c r="F11" s="53"/>
      <c r="G11" s="53"/>
      <c r="H11" s="53"/>
      <c r="I11" s="53"/>
      <c r="J11" s="53"/>
      <c r="K11" s="53"/>
      <c r="L11" s="53"/>
      <c r="M11" s="53"/>
      <c r="N11" s="44">
        <f>86.54/1000</f>
        <v>8.6540000000000006E-2</v>
      </c>
      <c r="O11" s="44">
        <f>N11</f>
        <v>8.6540000000000006E-2</v>
      </c>
      <c r="P11" s="44">
        <f>99.24/1000</f>
        <v>9.9239999999999995E-2</v>
      </c>
      <c r="Q11" s="44">
        <f>105.36/1000</f>
        <v>0.10536</v>
      </c>
      <c r="R11" s="44"/>
      <c r="S11" s="44">
        <f>109.71/1000</f>
        <v>0.10970999999999999</v>
      </c>
      <c r="T11" s="44">
        <f>S11</f>
        <v>0.10970999999999999</v>
      </c>
      <c r="U11" s="44">
        <f>124.48/1000</f>
        <v>0.12448000000000001</v>
      </c>
      <c r="V11" s="44">
        <f>137.76/1000</f>
        <v>0.13775999999999999</v>
      </c>
      <c r="W11" s="44">
        <f>137.76/1000</f>
        <v>0.13775999999999999</v>
      </c>
      <c r="X11" s="53"/>
      <c r="Y11" s="44">
        <f>158.79/1000</f>
        <v>0.15878999999999999</v>
      </c>
      <c r="Z11" s="53"/>
      <c r="AA11" s="86">
        <v>0.15878999999999999</v>
      </c>
      <c r="AB11" s="86">
        <v>0.16743</v>
      </c>
      <c r="AC11" s="46">
        <v>0.18751999999999999</v>
      </c>
      <c r="AD11" s="81"/>
    </row>
    <row r="12" spans="1:30" x14ac:dyDescent="0.25">
      <c r="A12" s="101"/>
      <c r="B12" s="107" t="s">
        <v>181</v>
      </c>
      <c r="C12" s="107"/>
      <c r="D12" s="54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0">
        <f>300/1000</f>
        <v>0.3</v>
      </c>
      <c r="P12" s="50">
        <f>300/1000</f>
        <v>0.3</v>
      </c>
      <c r="Q12" s="44">
        <f>318.51/1000</f>
        <v>0.31851000000000002</v>
      </c>
      <c r="R12" s="44"/>
      <c r="S12" s="44">
        <f>331.64/1000</f>
        <v>0.33163999999999999</v>
      </c>
      <c r="T12" s="44">
        <f>S12</f>
        <v>0.33163999999999999</v>
      </c>
      <c r="U12" s="44">
        <f>376.32/1000</f>
        <v>0.37631999999999999</v>
      </c>
      <c r="V12" s="44">
        <f>416.47/1000</f>
        <v>0.41647000000000001</v>
      </c>
      <c r="W12" s="44">
        <f>416.47/1000</f>
        <v>0.41647000000000001</v>
      </c>
      <c r="X12" s="53"/>
      <c r="Y12" s="44">
        <f>480.05/1000</f>
        <v>0.48005000000000003</v>
      </c>
      <c r="Z12" s="53"/>
      <c r="AA12" s="86">
        <f>480.05/1000</f>
        <v>0.48005000000000003</v>
      </c>
      <c r="AB12" s="86">
        <f>506.17/1000</f>
        <v>0.50617000000000001</v>
      </c>
      <c r="AC12" s="46">
        <f>566.91/1000</f>
        <v>0.56690999999999991</v>
      </c>
      <c r="AD12" s="81"/>
    </row>
    <row r="13" spans="1:30" x14ac:dyDescent="0.25">
      <c r="A13" s="95" t="s">
        <v>180</v>
      </c>
      <c r="B13" s="107" t="str">
        <f>A13</f>
        <v>Indústria</v>
      </c>
      <c r="C13" s="107"/>
      <c r="D13" s="50">
        <v>0.6</v>
      </c>
      <c r="E13" s="50">
        <f>730/1000</f>
        <v>0.73</v>
      </c>
      <c r="F13" s="50">
        <v>0.8</v>
      </c>
      <c r="G13" s="50">
        <v>0.67</v>
      </c>
      <c r="H13" s="50">
        <f>G13</f>
        <v>0.67</v>
      </c>
      <c r="I13" s="48">
        <f>80.36/100</f>
        <v>0.80359999999999998</v>
      </c>
      <c r="J13" s="48">
        <f>803.6/1000</f>
        <v>0.80359999999999998</v>
      </c>
      <c r="K13" s="44">
        <f>1036.65/1000</f>
        <v>1.0366500000000001</v>
      </c>
      <c r="L13" s="44">
        <f>1036.65/1000</f>
        <v>1.0366500000000001</v>
      </c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85"/>
      <c r="AB13" s="85"/>
      <c r="AC13" s="79"/>
      <c r="AD13" s="81"/>
    </row>
    <row r="14" spans="1:30" x14ac:dyDescent="0.25">
      <c r="A14" s="95"/>
      <c r="B14" s="107" t="s">
        <v>172</v>
      </c>
      <c r="C14" s="107"/>
      <c r="D14" s="53"/>
      <c r="E14" s="53"/>
      <c r="F14" s="53"/>
      <c r="G14" s="53"/>
      <c r="H14" s="53"/>
      <c r="I14" s="53"/>
      <c r="J14" s="53"/>
      <c r="K14" s="53"/>
      <c r="L14" s="53"/>
      <c r="M14" s="44">
        <f>431.56/1000</f>
        <v>0.43156</v>
      </c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85"/>
      <c r="AB14" s="85"/>
      <c r="AC14" s="79"/>
      <c r="AD14" s="81"/>
    </row>
    <row r="15" spans="1:30" x14ac:dyDescent="0.25">
      <c r="A15" s="95"/>
      <c r="B15" s="107" t="s">
        <v>178</v>
      </c>
      <c r="C15" s="107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44">
        <f>431.56/1000</f>
        <v>0.43156</v>
      </c>
      <c r="O15" s="44">
        <f>N15</f>
        <v>0.43156</v>
      </c>
      <c r="P15" s="44">
        <f>431.56/1000</f>
        <v>0.43156</v>
      </c>
      <c r="Q15" s="44">
        <f>459.65/1000</f>
        <v>0.45965</v>
      </c>
      <c r="R15" s="44"/>
      <c r="S15" s="44">
        <f>478.59/1000</f>
        <v>0.47858999999999996</v>
      </c>
      <c r="T15" s="44">
        <f>S15</f>
        <v>0.47858999999999996</v>
      </c>
      <c r="U15" s="44">
        <f>543.08/1000</f>
        <v>0.54308000000000001</v>
      </c>
      <c r="V15" s="44">
        <f>601.03/1000</f>
        <v>0.60102999999999995</v>
      </c>
      <c r="W15" s="44">
        <f>601.03/1000</f>
        <v>0.60102999999999995</v>
      </c>
      <c r="X15" s="53"/>
      <c r="Y15" s="44">
        <f>692.78/1000</f>
        <v>0.69277999999999995</v>
      </c>
      <c r="Z15" s="53"/>
      <c r="AA15" s="86">
        <f>692.78/1000</f>
        <v>0.69277999999999995</v>
      </c>
      <c r="AB15" s="86">
        <f>730.47/1000</f>
        <v>0.73047000000000006</v>
      </c>
      <c r="AC15" s="46">
        <f>818.13/1000</f>
        <v>0.81813000000000002</v>
      </c>
      <c r="AD15" s="81"/>
    </row>
    <row r="16" spans="1:30" x14ac:dyDescent="0.25">
      <c r="A16" s="95"/>
      <c r="B16" s="107" t="s">
        <v>173</v>
      </c>
      <c r="C16" s="107"/>
      <c r="D16" s="53"/>
      <c r="E16" s="53"/>
      <c r="F16" s="53"/>
      <c r="G16" s="53"/>
      <c r="H16" s="53"/>
      <c r="I16" s="53"/>
      <c r="J16" s="53"/>
      <c r="K16" s="53"/>
      <c r="L16" s="53"/>
      <c r="M16" s="44">
        <f>1294.67/1000</f>
        <v>1.29467</v>
      </c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85"/>
      <c r="AB16" s="85"/>
      <c r="AC16" s="79"/>
      <c r="AD16" s="81"/>
    </row>
    <row r="17" spans="1:30" x14ac:dyDescent="0.25">
      <c r="A17" s="95"/>
      <c r="B17" s="107" t="s">
        <v>179</v>
      </c>
      <c r="C17" s="107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44">
        <f>1294.67/1000</f>
        <v>1.29467</v>
      </c>
      <c r="O17" s="44">
        <f>N17</f>
        <v>1.29467</v>
      </c>
      <c r="P17" s="48">
        <f>1484.6/1000</f>
        <v>1.4845999999999999</v>
      </c>
      <c r="Q17" s="44">
        <f>1581.25/1000</f>
        <v>1.58125</v>
      </c>
      <c r="R17" s="44">
        <f>Q17</f>
        <v>1.58125</v>
      </c>
      <c r="S17" s="48">
        <f>1646.4/1000</f>
        <v>1.6464000000000001</v>
      </c>
      <c r="T17" s="48">
        <f>S17</f>
        <v>1.6464000000000001</v>
      </c>
      <c r="U17" s="44">
        <f>1868.25/1000</f>
        <v>1.86825</v>
      </c>
      <c r="V17" s="44">
        <f>2067.59/1000</f>
        <v>2.06759</v>
      </c>
      <c r="W17" s="44">
        <f>2067.59/1000</f>
        <v>2.06759</v>
      </c>
      <c r="X17" s="53"/>
      <c r="Y17" s="44">
        <f>2383.24/1000</f>
        <v>2.3832399999999998</v>
      </c>
      <c r="Z17" s="53"/>
      <c r="AA17" s="86">
        <f>2383.24/1000</f>
        <v>2.3832399999999998</v>
      </c>
      <c r="AB17" s="86">
        <f>2512.89/1000</f>
        <v>2.5128900000000001</v>
      </c>
      <c r="AC17" s="46">
        <f>2814.44/1000</f>
        <v>2.8144400000000003</v>
      </c>
      <c r="AD17" s="81"/>
    </row>
    <row r="18" spans="1:30" x14ac:dyDescent="0.25">
      <c r="A18" s="95"/>
      <c r="B18" s="68" t="s">
        <v>235</v>
      </c>
      <c r="C18" s="68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48">
        <f>7210/1000</f>
        <v>7.21</v>
      </c>
      <c r="Y18" s="53"/>
      <c r="Z18" s="53"/>
      <c r="AA18" s="85"/>
      <c r="AB18" s="85"/>
      <c r="AC18" s="79"/>
      <c r="AD18" s="81"/>
    </row>
    <row r="19" spans="1:30" x14ac:dyDescent="0.25">
      <c r="A19" s="95"/>
      <c r="B19" s="68" t="s">
        <v>237</v>
      </c>
      <c r="C19" s="68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4">
        <f>3101.39/1000</f>
        <v>3.1013899999999999</v>
      </c>
      <c r="AA19" s="85"/>
      <c r="AB19" s="85"/>
      <c r="AC19" s="79"/>
      <c r="AD19" s="81"/>
    </row>
    <row r="20" spans="1:30" x14ac:dyDescent="0.25">
      <c r="A20" s="95"/>
      <c r="B20" s="68" t="s">
        <v>238</v>
      </c>
      <c r="C20" s="68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44">
        <f>2067.59/1000</f>
        <v>2.06759</v>
      </c>
      <c r="AA20" s="85"/>
      <c r="AB20" s="85"/>
      <c r="AC20" s="79"/>
      <c r="AD20" s="81"/>
    </row>
    <row r="21" spans="1:30" ht="17.25" customHeight="1" x14ac:dyDescent="0.25">
      <c r="A21" s="95" t="s">
        <v>159</v>
      </c>
      <c r="B21" s="107" t="s">
        <v>183</v>
      </c>
      <c r="C21" s="107"/>
      <c r="D21" s="55"/>
      <c r="E21" s="55"/>
      <c r="F21" s="55"/>
      <c r="G21" s="55"/>
      <c r="H21" s="55"/>
      <c r="I21" s="108" t="s">
        <v>164</v>
      </c>
      <c r="J21" s="48">
        <f>2.5/1000</f>
        <v>2.5000000000000001E-3</v>
      </c>
      <c r="K21" s="49">
        <f>3/1000</f>
        <v>3.0000000000000001E-3</v>
      </c>
      <c r="L21" s="49">
        <f>3/1000</f>
        <v>3.0000000000000001E-3</v>
      </c>
      <c r="M21" s="49">
        <f>3/1000</f>
        <v>3.0000000000000001E-3</v>
      </c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85"/>
      <c r="AB21" s="85"/>
      <c r="AC21" s="79"/>
      <c r="AD21" s="81"/>
    </row>
    <row r="22" spans="1:30" ht="15.75" x14ac:dyDescent="0.25">
      <c r="A22" s="95"/>
      <c r="B22" s="107" t="s">
        <v>184</v>
      </c>
      <c r="C22" s="107"/>
      <c r="D22" s="55"/>
      <c r="E22" s="55"/>
      <c r="F22" s="55"/>
      <c r="G22" s="55"/>
      <c r="H22" s="55"/>
      <c r="I22" s="108"/>
      <c r="J22" s="48">
        <f>5.6/1000</f>
        <v>5.5999999999999999E-3</v>
      </c>
      <c r="K22" s="44">
        <f>6.72/1000</f>
        <v>6.7199999999999994E-3</v>
      </c>
      <c r="L22" s="44">
        <f>6.72/1000</f>
        <v>6.7199999999999994E-3</v>
      </c>
      <c r="M22" s="44">
        <f>6.72/1000</f>
        <v>6.7199999999999994E-3</v>
      </c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85"/>
      <c r="AB22" s="85"/>
      <c r="AC22" s="79"/>
      <c r="AD22" s="81"/>
    </row>
    <row r="23" spans="1:30" ht="15.75" x14ac:dyDescent="0.25">
      <c r="A23" s="95"/>
      <c r="B23" s="107" t="s">
        <v>185</v>
      </c>
      <c r="C23" s="107"/>
      <c r="D23" s="55"/>
      <c r="E23" s="55"/>
      <c r="F23" s="55"/>
      <c r="G23" s="55"/>
      <c r="H23" s="55"/>
      <c r="I23" s="109">
        <f>1/600*I13</f>
        <v>1.3393333333333334E-3</v>
      </c>
      <c r="J23" s="48">
        <f>6.5/1000</f>
        <v>6.4999999999999997E-3</v>
      </c>
      <c r="K23" s="48">
        <f>7.8/1000</f>
        <v>7.7999999999999996E-3</v>
      </c>
      <c r="L23" s="48">
        <f>7.8/1000</f>
        <v>7.7999999999999996E-3</v>
      </c>
      <c r="M23" s="48">
        <f>7.8/1000</f>
        <v>7.7999999999999996E-3</v>
      </c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85"/>
      <c r="AB23" s="85"/>
      <c r="AC23" s="79"/>
      <c r="AD23" s="81"/>
    </row>
    <row r="24" spans="1:30" ht="15.75" x14ac:dyDescent="0.25">
      <c r="A24" s="95"/>
      <c r="B24" s="107" t="s">
        <v>186</v>
      </c>
      <c r="C24" s="107"/>
      <c r="D24" s="55"/>
      <c r="E24" s="55"/>
      <c r="F24" s="55"/>
      <c r="G24" s="55"/>
      <c r="H24" s="55"/>
      <c r="I24" s="109"/>
      <c r="J24" s="49">
        <f>7/1000</f>
        <v>7.0000000000000001E-3</v>
      </c>
      <c r="K24" s="48">
        <f>8.4/1000</f>
        <v>8.4000000000000012E-3</v>
      </c>
      <c r="L24" s="48">
        <f>8.4/1000</f>
        <v>8.4000000000000012E-3</v>
      </c>
      <c r="M24" s="48">
        <f>8.4/1000</f>
        <v>8.4000000000000012E-3</v>
      </c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85"/>
      <c r="AB24" s="85"/>
      <c r="AC24" s="79"/>
      <c r="AD24" s="81"/>
    </row>
    <row r="25" spans="1:30" ht="15.75" x14ac:dyDescent="0.25">
      <c r="A25" s="95"/>
      <c r="B25" s="107" t="s">
        <v>166</v>
      </c>
      <c r="C25" s="107"/>
      <c r="D25" s="55"/>
      <c r="E25" s="55"/>
      <c r="F25" s="55"/>
      <c r="G25" s="55"/>
      <c r="H25" s="55"/>
      <c r="I25" s="109"/>
      <c r="J25" s="49">
        <f>8/1000</f>
        <v>8.0000000000000002E-3</v>
      </c>
      <c r="K25" s="48">
        <f>9.6/1000</f>
        <v>9.5999999999999992E-3</v>
      </c>
      <c r="L25" s="48">
        <f>9.6/1000</f>
        <v>9.5999999999999992E-3</v>
      </c>
      <c r="M25" s="48">
        <f>9.6/1000</f>
        <v>9.5999999999999992E-3</v>
      </c>
      <c r="N25" s="53"/>
      <c r="O25" s="60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85"/>
      <c r="AB25" s="85"/>
      <c r="AC25" s="79"/>
      <c r="AD25" s="81"/>
    </row>
    <row r="26" spans="1:30" ht="15.75" customHeight="1" x14ac:dyDescent="0.25">
      <c r="A26" s="95"/>
      <c r="B26" s="110" t="s">
        <v>172</v>
      </c>
      <c r="C26" s="61" t="s">
        <v>187</v>
      </c>
      <c r="D26" s="55"/>
      <c r="E26" s="55"/>
      <c r="F26" s="55"/>
      <c r="G26" s="55"/>
      <c r="H26" s="55"/>
      <c r="I26" s="55"/>
      <c r="J26" s="53"/>
      <c r="K26" s="53"/>
      <c r="L26" s="53"/>
      <c r="M26" s="53"/>
      <c r="N26" s="49">
        <f>1/1000</f>
        <v>1E-3</v>
      </c>
      <c r="O26" s="49">
        <f>N26</f>
        <v>1E-3</v>
      </c>
      <c r="P26" s="49">
        <f>1/1000</f>
        <v>1E-3</v>
      </c>
      <c r="Q26" s="49">
        <f>1/1000</f>
        <v>1E-3</v>
      </c>
      <c r="R26" s="49">
        <f>Q26</f>
        <v>1E-3</v>
      </c>
      <c r="S26" s="49">
        <f>1/1000</f>
        <v>1E-3</v>
      </c>
      <c r="T26" s="49">
        <f>S26</f>
        <v>1E-3</v>
      </c>
      <c r="U26" s="44">
        <f>1.18/1000</f>
        <v>1.1799999999999998E-3</v>
      </c>
      <c r="V26" s="44">
        <f>1.31/1000</f>
        <v>1.31E-3</v>
      </c>
      <c r="W26" s="44">
        <f>1.35/1000</f>
        <v>1.3500000000000001E-3</v>
      </c>
      <c r="X26" s="53"/>
      <c r="Y26" s="44">
        <f>1.56/1000</f>
        <v>1.56E-3</v>
      </c>
      <c r="Z26" s="53"/>
      <c r="AA26" s="86">
        <f>1.56/1000</f>
        <v>1.56E-3</v>
      </c>
      <c r="AB26" s="86">
        <f>1.64/1000</f>
        <v>1.64E-3</v>
      </c>
      <c r="AC26" s="46">
        <f>1.84/1000</f>
        <v>1.8400000000000001E-3</v>
      </c>
      <c r="AD26" s="81"/>
    </row>
    <row r="27" spans="1:30" ht="15.75" x14ac:dyDescent="0.25">
      <c r="A27" s="95"/>
      <c r="B27" s="110"/>
      <c r="C27" s="61" t="s">
        <v>167</v>
      </c>
      <c r="D27" s="55"/>
      <c r="E27" s="55"/>
      <c r="F27" s="55"/>
      <c r="G27" s="55"/>
      <c r="H27" s="55"/>
      <c r="I27" s="55"/>
      <c r="J27" s="53"/>
      <c r="K27" s="53"/>
      <c r="L27" s="53"/>
      <c r="M27" s="53"/>
      <c r="N27" s="49">
        <f>3/1000</f>
        <v>3.0000000000000001E-3</v>
      </c>
      <c r="O27" s="49">
        <f t="shared" ref="O27:O29" si="0">N27</f>
        <v>3.0000000000000001E-3</v>
      </c>
      <c r="P27" s="49">
        <f>3/1000</f>
        <v>3.0000000000000001E-3</v>
      </c>
      <c r="Q27" s="49">
        <f>3/1000</f>
        <v>3.0000000000000001E-3</v>
      </c>
      <c r="R27" s="49">
        <f>Q27</f>
        <v>3.0000000000000001E-3</v>
      </c>
      <c r="S27" s="49">
        <f>3/1000</f>
        <v>3.0000000000000001E-3</v>
      </c>
      <c r="T27" s="49">
        <f>S27</f>
        <v>3.0000000000000001E-3</v>
      </c>
      <c r="U27" s="44">
        <f>3.54/1000</f>
        <v>3.5400000000000002E-3</v>
      </c>
      <c r="V27" s="44">
        <f>3.92/1000</f>
        <v>3.9199999999999999E-3</v>
      </c>
      <c r="W27" s="44">
        <f>4.06/1000</f>
        <v>4.0599999999999994E-3</v>
      </c>
      <c r="X27" s="53"/>
      <c r="Y27" s="44">
        <f>4.68/1000</f>
        <v>4.6800000000000001E-3</v>
      </c>
      <c r="Z27" s="53"/>
      <c r="AA27" s="86">
        <f>4.68/1000</f>
        <v>4.6800000000000001E-3</v>
      </c>
      <c r="AB27" s="86">
        <f>4.93/1000</f>
        <v>4.9299999999999995E-3</v>
      </c>
      <c r="AC27" s="46">
        <f>5.53/1000</f>
        <v>5.5300000000000002E-3</v>
      </c>
      <c r="AD27" s="81"/>
    </row>
    <row r="28" spans="1:30" ht="15.75" customHeight="1" x14ac:dyDescent="0.25">
      <c r="A28" s="95"/>
      <c r="B28" s="110" t="s">
        <v>173</v>
      </c>
      <c r="C28" s="61" t="s">
        <v>220</v>
      </c>
      <c r="D28" s="55"/>
      <c r="E28" s="55"/>
      <c r="F28" s="55"/>
      <c r="G28" s="55"/>
      <c r="H28" s="55"/>
      <c r="I28" s="55"/>
      <c r="J28" s="53"/>
      <c r="K28" s="53"/>
      <c r="L28" s="53"/>
      <c r="M28" s="53"/>
      <c r="N28" s="49">
        <f>6/1000</f>
        <v>6.0000000000000001E-3</v>
      </c>
      <c r="O28" s="49">
        <f t="shared" si="0"/>
        <v>6.0000000000000001E-3</v>
      </c>
      <c r="P28" s="44">
        <f>7.84/1000</f>
        <v>7.8399999999999997E-3</v>
      </c>
      <c r="Q28" s="44">
        <f>7.84/1000</f>
        <v>7.8399999999999997E-3</v>
      </c>
      <c r="R28" s="44">
        <f>8.35/1000</f>
        <v>8.3499999999999998E-3</v>
      </c>
      <c r="S28" s="48">
        <f>8.1/1000</f>
        <v>8.0999999999999996E-3</v>
      </c>
      <c r="T28" s="44">
        <f>8.35/1000</f>
        <v>8.3499999999999998E-3</v>
      </c>
      <c r="U28" s="44">
        <f>9.87/1000</f>
        <v>9.8699999999999986E-3</v>
      </c>
      <c r="V28" s="44">
        <f>10.92/1000</f>
        <v>1.0919999999999999E-2</v>
      </c>
      <c r="W28" s="44">
        <f>11.69/1000</f>
        <v>1.1689999999999999E-2</v>
      </c>
      <c r="X28" s="53"/>
      <c r="Y28" s="44">
        <f>13.47/1000</f>
        <v>1.3470000000000001E-2</v>
      </c>
      <c r="Z28" s="53"/>
      <c r="AA28" s="86">
        <f>13.47/1000</f>
        <v>1.3470000000000001E-2</v>
      </c>
      <c r="AB28" s="86">
        <f>14.21/1000</f>
        <v>1.421E-2</v>
      </c>
      <c r="AC28" s="46">
        <f>15.91/1000</f>
        <v>1.5910000000000001E-2</v>
      </c>
      <c r="AD28" s="81"/>
    </row>
    <row r="29" spans="1:30" ht="15.75" x14ac:dyDescent="0.25">
      <c r="A29" s="95"/>
      <c r="B29" s="110"/>
      <c r="C29" s="61" t="s">
        <v>166</v>
      </c>
      <c r="D29" s="55"/>
      <c r="E29" s="55"/>
      <c r="F29" s="55"/>
      <c r="G29" s="55"/>
      <c r="H29" s="55"/>
      <c r="I29" s="55"/>
      <c r="J29" s="53"/>
      <c r="K29" s="53"/>
      <c r="L29" s="53"/>
      <c r="M29" s="53"/>
      <c r="N29" s="48">
        <f>9.6/1000</f>
        <v>9.5999999999999992E-3</v>
      </c>
      <c r="O29" s="48">
        <f t="shared" si="0"/>
        <v>9.5999999999999992E-3</v>
      </c>
      <c r="P29" s="44">
        <f>12.55/1000</f>
        <v>1.255E-2</v>
      </c>
      <c r="Q29" s="44">
        <f>12.55/1000</f>
        <v>1.255E-2</v>
      </c>
      <c r="R29" s="44">
        <f>13.36/1000</f>
        <v>1.3359999999999999E-2</v>
      </c>
      <c r="S29" s="48">
        <f>13/1000</f>
        <v>1.2999999999999999E-2</v>
      </c>
      <c r="T29" s="44">
        <f>13.91/1000</f>
        <v>1.391E-2</v>
      </c>
      <c r="U29" s="44">
        <f>15.79/1000</f>
        <v>1.5789999999999998E-2</v>
      </c>
      <c r="V29" s="44">
        <f>17.47/1000</f>
        <v>1.7469999999999999E-2</v>
      </c>
      <c r="W29" s="44">
        <f>20/1000</f>
        <v>0.02</v>
      </c>
      <c r="X29" s="53"/>
      <c r="Y29" s="44">
        <f>23.05/1000</f>
        <v>2.3050000000000001E-2</v>
      </c>
      <c r="Z29" s="53"/>
      <c r="AA29" s="86">
        <f>23.05/1000</f>
        <v>2.3050000000000001E-2</v>
      </c>
      <c r="AB29" s="86">
        <f>24.31/1000</f>
        <v>2.4309999999999998E-2</v>
      </c>
      <c r="AC29" s="46">
        <f>27.22/1000</f>
        <v>2.7219999999999998E-2</v>
      </c>
      <c r="AD29" s="81"/>
    </row>
    <row r="30" spans="1:30" x14ac:dyDescent="0.25">
      <c r="A30" s="95" t="s">
        <v>160</v>
      </c>
      <c r="B30" s="107" t="str">
        <f>A30</f>
        <v>Piscicultura</v>
      </c>
      <c r="C30" s="107"/>
      <c r="D30" s="55"/>
      <c r="E30" s="55"/>
      <c r="F30" s="55"/>
      <c r="G30" s="55"/>
      <c r="H30" s="55"/>
      <c r="I30" s="45" t="s">
        <v>171</v>
      </c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3"/>
      <c r="U30" s="53"/>
      <c r="V30" s="53"/>
      <c r="W30" s="53"/>
      <c r="X30" s="53"/>
      <c r="Y30" s="53"/>
      <c r="Z30" s="53"/>
      <c r="AA30" s="85"/>
      <c r="AB30" s="85"/>
      <c r="AC30" s="79"/>
      <c r="AD30" s="81"/>
    </row>
    <row r="31" spans="1:30" x14ac:dyDescent="0.25">
      <c r="A31" s="95"/>
      <c r="B31" s="107" t="s">
        <v>153</v>
      </c>
      <c r="C31" s="107"/>
      <c r="D31" s="55"/>
      <c r="E31" s="55"/>
      <c r="F31" s="55"/>
      <c r="G31" s="55"/>
      <c r="H31" s="55"/>
      <c r="I31" s="56"/>
      <c r="J31" s="49">
        <f>13/1000</f>
        <v>1.2999999999999999E-2</v>
      </c>
      <c r="K31" s="48">
        <f>15.6/1000</f>
        <v>1.5599999999999999E-2</v>
      </c>
      <c r="L31" s="48">
        <f>15.6/1000</f>
        <v>1.5599999999999999E-2</v>
      </c>
      <c r="M31" s="48">
        <f>15.6/1000</f>
        <v>1.5599999999999999E-2</v>
      </c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85"/>
      <c r="AB31" s="85"/>
      <c r="AC31" s="79"/>
      <c r="AD31" s="81"/>
    </row>
    <row r="32" spans="1:30" x14ac:dyDescent="0.25">
      <c r="A32" s="95"/>
      <c r="B32" s="107" t="s">
        <v>155</v>
      </c>
      <c r="C32" s="107"/>
      <c r="D32" s="55"/>
      <c r="E32" s="55"/>
      <c r="F32" s="55"/>
      <c r="G32" s="55"/>
      <c r="H32" s="55"/>
      <c r="I32" s="55"/>
      <c r="J32" s="53"/>
      <c r="K32" s="53"/>
      <c r="L32" s="53"/>
      <c r="M32" s="53"/>
      <c r="N32" s="49">
        <f>3/1000</f>
        <v>3.0000000000000001E-3</v>
      </c>
      <c r="O32" s="49">
        <f>N32</f>
        <v>3.0000000000000001E-3</v>
      </c>
      <c r="P32" s="49">
        <f>3/1000</f>
        <v>3.0000000000000001E-3</v>
      </c>
      <c r="Q32" s="48">
        <f>3.2/1000</f>
        <v>3.2000000000000002E-3</v>
      </c>
      <c r="R32" s="48">
        <f>Q32</f>
        <v>3.2000000000000002E-3</v>
      </c>
      <c r="S32" s="44">
        <f>3.34/1000</f>
        <v>3.3399999999999997E-3</v>
      </c>
      <c r="T32" s="44">
        <f>S32</f>
        <v>3.3399999999999997E-3</v>
      </c>
      <c r="U32" s="44">
        <f>3.78/1000</f>
        <v>3.7799999999999999E-3</v>
      </c>
      <c r="V32" s="44">
        <f>4.18/1000</f>
        <v>4.1799999999999997E-3</v>
      </c>
      <c r="W32" s="44">
        <f>4.18/1000</f>
        <v>4.1799999999999997E-3</v>
      </c>
      <c r="X32" s="53"/>
      <c r="Y32" s="44">
        <f>4.82/1000</f>
        <v>4.8200000000000005E-3</v>
      </c>
      <c r="Z32" s="53"/>
      <c r="AA32" s="86">
        <f>4.82/1000</f>
        <v>4.8200000000000005E-3</v>
      </c>
      <c r="AB32" s="86">
        <f>5.08/1000</f>
        <v>5.0800000000000003E-3</v>
      </c>
      <c r="AC32" s="46">
        <f>5.69/1000</f>
        <v>5.6900000000000006E-3</v>
      </c>
      <c r="AD32" s="81"/>
    </row>
    <row r="33" spans="1:30" x14ac:dyDescent="0.25">
      <c r="A33" s="95"/>
      <c r="B33" s="107" t="s">
        <v>156</v>
      </c>
      <c r="C33" s="107"/>
      <c r="D33" s="55"/>
      <c r="E33" s="55"/>
      <c r="F33" s="55"/>
      <c r="G33" s="55"/>
      <c r="H33" s="55"/>
      <c r="I33" s="55"/>
      <c r="J33" s="53"/>
      <c r="K33" s="53"/>
      <c r="L33" s="53"/>
      <c r="M33" s="53"/>
      <c r="N33" s="48">
        <f>9.6/1000</f>
        <v>9.5999999999999992E-3</v>
      </c>
      <c r="O33" s="48">
        <f t="shared" ref="O33:O34" si="1">N33</f>
        <v>9.5999999999999992E-3</v>
      </c>
      <c r="P33" s="44">
        <f>12.55/1000</f>
        <v>1.255E-2</v>
      </c>
      <c r="Q33" s="44">
        <f>12.55/1000</f>
        <v>1.255E-2</v>
      </c>
      <c r="R33" s="44">
        <f>13.36/1000</f>
        <v>1.3359999999999999E-2</v>
      </c>
      <c r="S33" s="44">
        <f>13.07/1000</f>
        <v>1.307E-2</v>
      </c>
      <c r="T33" s="44">
        <f>13.91/1000</f>
        <v>1.391E-2</v>
      </c>
      <c r="U33" s="44">
        <f>15.78/1000</f>
        <v>1.5779999999999999E-2</v>
      </c>
      <c r="V33" s="44">
        <f>17.46/1000</f>
        <v>1.746E-2</v>
      </c>
      <c r="W33" s="44">
        <f>17.46/1000</f>
        <v>1.746E-2</v>
      </c>
      <c r="X33" s="53"/>
      <c r="Y33" s="44">
        <f>20.13/1000</f>
        <v>2.0129999999999999E-2</v>
      </c>
      <c r="Z33" s="53"/>
      <c r="AA33" s="86">
        <f>20.13/1000</f>
        <v>2.0129999999999999E-2</v>
      </c>
      <c r="AB33" s="86">
        <f>21.22/1000</f>
        <v>2.1219999999999999E-2</v>
      </c>
      <c r="AC33" s="46">
        <f>23.77/1000</f>
        <v>2.3769999999999999E-2</v>
      </c>
      <c r="AD33" s="81"/>
    </row>
    <row r="34" spans="1:30" x14ac:dyDescent="0.25">
      <c r="A34" s="95"/>
      <c r="B34" s="107" t="s">
        <v>154</v>
      </c>
      <c r="C34" s="107"/>
      <c r="D34" s="55"/>
      <c r="E34" s="55"/>
      <c r="F34" s="55"/>
      <c r="G34" s="55"/>
      <c r="H34" s="55"/>
      <c r="I34" s="55"/>
      <c r="J34" s="49">
        <f>26/1000</f>
        <v>2.5999999999999999E-2</v>
      </c>
      <c r="K34" s="48">
        <f>31.2/1000</f>
        <v>3.1199999999999999E-2</v>
      </c>
      <c r="L34" s="48">
        <f>31.2/1000</f>
        <v>3.1199999999999999E-2</v>
      </c>
      <c r="M34" s="48">
        <f>31.2/1000</f>
        <v>3.1199999999999999E-2</v>
      </c>
      <c r="N34" s="48">
        <f>31.2/1000</f>
        <v>3.1199999999999999E-2</v>
      </c>
      <c r="O34" s="48">
        <f t="shared" si="1"/>
        <v>3.1199999999999999E-2</v>
      </c>
      <c r="P34" s="44">
        <f>35.78/1000</f>
        <v>3.5779999999999999E-2</v>
      </c>
      <c r="Q34" s="44">
        <f>38.11/1000</f>
        <v>3.8109999999999998E-2</v>
      </c>
      <c r="R34" s="44">
        <f>Q34</f>
        <v>3.8109999999999998E-2</v>
      </c>
      <c r="S34" s="44">
        <f>39.68/1000</f>
        <v>3.968E-2</v>
      </c>
      <c r="T34" s="44">
        <f>S34</f>
        <v>3.968E-2</v>
      </c>
      <c r="U34" s="44">
        <f>45.03/1000</f>
        <v>4.5030000000000001E-2</v>
      </c>
      <c r="V34" s="44">
        <f>49.83/1000</f>
        <v>4.9829999999999999E-2</v>
      </c>
      <c r="W34" s="44">
        <f>49.83/1000</f>
        <v>4.9829999999999999E-2</v>
      </c>
      <c r="X34" s="53"/>
      <c r="Y34" s="44">
        <f>57.44/1000</f>
        <v>5.7439999999999998E-2</v>
      </c>
      <c r="Z34" s="53"/>
      <c r="AA34" s="86">
        <f>57.44/1000</f>
        <v>5.7439999999999998E-2</v>
      </c>
      <c r="AB34" s="86">
        <f>60.57/1000</f>
        <v>6.0569999999999999E-2</v>
      </c>
      <c r="AC34" s="46">
        <f>67.84/1000</f>
        <v>6.7839999999999998E-2</v>
      </c>
      <c r="AD34" s="81"/>
    </row>
    <row r="35" spans="1:30" x14ac:dyDescent="0.25">
      <c r="A35" s="95" t="s">
        <v>161</v>
      </c>
      <c r="B35" s="107" t="str">
        <f>A35</f>
        <v>Carcinicultura</v>
      </c>
      <c r="C35" s="107"/>
      <c r="D35" s="55"/>
      <c r="E35" s="55"/>
      <c r="F35" s="55"/>
      <c r="G35" s="55"/>
      <c r="H35" s="55"/>
      <c r="I35" s="45" t="s">
        <v>171</v>
      </c>
      <c r="J35" s="49">
        <f>26/1000</f>
        <v>2.5999999999999999E-2</v>
      </c>
      <c r="K35" s="48">
        <f>31.2/1000</f>
        <v>3.1199999999999999E-2</v>
      </c>
      <c r="L35" s="48">
        <f>31.2/1000</f>
        <v>3.1199999999999999E-2</v>
      </c>
      <c r="M35" s="48">
        <f>31.2/1000</f>
        <v>3.1199999999999999E-2</v>
      </c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85"/>
      <c r="AB35" s="85"/>
      <c r="AC35" s="79"/>
      <c r="AD35" s="81"/>
    </row>
    <row r="36" spans="1:30" x14ac:dyDescent="0.25">
      <c r="A36" s="95"/>
      <c r="B36" s="107" t="s">
        <v>172</v>
      </c>
      <c r="C36" s="107"/>
      <c r="D36" s="55"/>
      <c r="E36" s="55"/>
      <c r="F36" s="55"/>
      <c r="G36" s="55"/>
      <c r="H36" s="55"/>
      <c r="I36" s="55"/>
      <c r="J36" s="53"/>
      <c r="K36" s="53"/>
      <c r="L36" s="53"/>
      <c r="M36" s="53"/>
      <c r="N36" s="49">
        <f>3/1000</f>
        <v>3.0000000000000001E-3</v>
      </c>
      <c r="O36" s="49">
        <f>N36</f>
        <v>3.0000000000000001E-3</v>
      </c>
      <c r="P36" s="49">
        <f>3/1000</f>
        <v>3.0000000000000001E-3</v>
      </c>
      <c r="Q36" s="48">
        <f>3.2/1000</f>
        <v>3.2000000000000002E-3</v>
      </c>
      <c r="R36" s="48">
        <f>Q36</f>
        <v>3.2000000000000002E-3</v>
      </c>
      <c r="S36" s="44">
        <f>3.34/1000</f>
        <v>3.3399999999999997E-3</v>
      </c>
      <c r="T36" s="44">
        <f>S36</f>
        <v>3.3399999999999997E-3</v>
      </c>
      <c r="U36" s="44">
        <f>3.78/1000</f>
        <v>3.7799999999999999E-3</v>
      </c>
      <c r="V36" s="44">
        <f>4.18/1000</f>
        <v>4.1799999999999997E-3</v>
      </c>
      <c r="W36" s="44">
        <f>6.27/1000</f>
        <v>6.2699999999999995E-3</v>
      </c>
      <c r="X36" s="53"/>
      <c r="Y36" s="44">
        <f>7.23/1000</f>
        <v>7.2300000000000003E-3</v>
      </c>
      <c r="Z36" s="53"/>
      <c r="AA36" s="86">
        <f>7.23/1000</f>
        <v>7.2300000000000003E-3</v>
      </c>
      <c r="AB36" s="86">
        <f>7.62/1000</f>
        <v>7.62E-3</v>
      </c>
      <c r="AC36" s="46">
        <f>8.53/1000</f>
        <v>8.5299999999999994E-3</v>
      </c>
      <c r="AD36" s="81"/>
    </row>
    <row r="37" spans="1:30" x14ac:dyDescent="0.25">
      <c r="A37" s="95"/>
      <c r="B37" s="107" t="s">
        <v>173</v>
      </c>
      <c r="C37" s="107"/>
      <c r="D37" s="55"/>
      <c r="E37" s="55"/>
      <c r="F37" s="55"/>
      <c r="G37" s="55"/>
      <c r="H37" s="55"/>
      <c r="I37" s="55"/>
      <c r="J37" s="53"/>
      <c r="K37" s="53"/>
      <c r="L37" s="53"/>
      <c r="M37" s="53"/>
      <c r="N37" s="48">
        <f>9.6/1000</f>
        <v>9.5999999999999992E-3</v>
      </c>
      <c r="O37" s="48">
        <f>N37</f>
        <v>9.5999999999999992E-3</v>
      </c>
      <c r="P37" s="44">
        <f>12.55/1000</f>
        <v>1.255E-2</v>
      </c>
      <c r="Q37" s="44">
        <f>12.55/1000</f>
        <v>1.255E-2</v>
      </c>
      <c r="R37" s="44">
        <f>13.363/1000</f>
        <v>1.3363E-2</v>
      </c>
      <c r="S37" s="44">
        <f>13.07/1000</f>
        <v>1.307E-2</v>
      </c>
      <c r="T37" s="44">
        <f>13.91/1000</f>
        <v>1.391E-2</v>
      </c>
      <c r="U37" s="44">
        <f>15.78/1000</f>
        <v>1.5779999999999999E-2</v>
      </c>
      <c r="V37" s="44">
        <f>17.46/1000</f>
        <v>1.746E-2</v>
      </c>
      <c r="W37" s="44">
        <f>130.25/1000</f>
        <v>0.13025</v>
      </c>
      <c r="X37" s="53"/>
      <c r="Y37" s="44">
        <f>150.13/1000</f>
        <v>0.15012999999999999</v>
      </c>
      <c r="Z37" s="53"/>
      <c r="AA37" s="86">
        <f>150.13/1000</f>
        <v>0.15012999999999999</v>
      </c>
      <c r="AB37" s="86">
        <f>158.3/1000</f>
        <v>0.15830000000000002</v>
      </c>
      <c r="AC37" s="46">
        <f>177.3/1000</f>
        <v>0.17730000000000001</v>
      </c>
      <c r="AD37" s="81"/>
    </row>
    <row r="38" spans="1:30" x14ac:dyDescent="0.25">
      <c r="A38" s="62" t="s">
        <v>162</v>
      </c>
      <c r="B38" s="63"/>
      <c r="C38" s="64"/>
      <c r="D38" s="55"/>
      <c r="E38" s="55"/>
      <c r="F38" s="55"/>
      <c r="G38" s="55"/>
      <c r="H38" s="55"/>
      <c r="I38" s="55"/>
      <c r="J38" s="48">
        <f>803.6/1000</f>
        <v>0.80359999999999998</v>
      </c>
      <c r="K38" s="44">
        <f>1036.65/1000</f>
        <v>1.0366500000000001</v>
      </c>
      <c r="L38" s="44">
        <f>1036.65/1000</f>
        <v>1.0366500000000001</v>
      </c>
      <c r="M38" s="44">
        <f>1036.65/1000</f>
        <v>1.0366500000000001</v>
      </c>
      <c r="N38" s="44">
        <f>1036.65/1000</f>
        <v>1.0366500000000001</v>
      </c>
      <c r="O38" s="44">
        <f>431.56/1000</f>
        <v>0.43156</v>
      </c>
      <c r="P38" s="44">
        <f>431.56/1000</f>
        <v>0.43156</v>
      </c>
      <c r="Q38" s="44">
        <f>459.65/1000</f>
        <v>0.45965</v>
      </c>
      <c r="R38" s="44">
        <f>Q38</f>
        <v>0.45965</v>
      </c>
      <c r="S38" s="44">
        <f>478.59/1000</f>
        <v>0.47858999999999996</v>
      </c>
      <c r="T38" s="44">
        <f>S38</f>
        <v>0.47858999999999996</v>
      </c>
      <c r="U38" s="44">
        <f>543.08/1000</f>
        <v>0.54308000000000001</v>
      </c>
      <c r="V38" s="44">
        <f>601.03/1000</f>
        <v>0.60102999999999995</v>
      </c>
      <c r="W38" s="44">
        <f>601.03/1000</f>
        <v>0.60102999999999995</v>
      </c>
      <c r="X38" s="53"/>
      <c r="Y38" s="44">
        <f>692.78/1000</f>
        <v>0.69277999999999995</v>
      </c>
      <c r="Z38" s="53"/>
      <c r="AA38" s="86">
        <f>692.78/1000</f>
        <v>0.69277999999999995</v>
      </c>
      <c r="AB38" s="86">
        <f>730.47/1000</f>
        <v>0.73047000000000006</v>
      </c>
      <c r="AC38" s="46">
        <f>818.13/1000</f>
        <v>0.81813000000000002</v>
      </c>
      <c r="AD38" s="81"/>
    </row>
    <row r="39" spans="1:30" x14ac:dyDescent="0.25">
      <c r="A39" s="95" t="s">
        <v>163</v>
      </c>
      <c r="B39" s="107" t="str">
        <f>A39</f>
        <v>Outros</v>
      </c>
      <c r="C39" s="107"/>
      <c r="D39" s="55"/>
      <c r="E39" s="55"/>
      <c r="F39" s="55"/>
      <c r="G39" s="55"/>
      <c r="H39" s="55"/>
      <c r="I39" s="44">
        <f>1/60*I13</f>
        <v>1.3393333333333333E-2</v>
      </c>
      <c r="J39" s="49">
        <f>55/1000</f>
        <v>5.5E-2</v>
      </c>
      <c r="K39" s="48">
        <f>69.3/1000</f>
        <v>6.93E-2</v>
      </c>
      <c r="L39" s="48">
        <f>69.3/1000</f>
        <v>6.93E-2</v>
      </c>
      <c r="M39" s="44">
        <f>86.54/1000</f>
        <v>8.6540000000000006E-2</v>
      </c>
      <c r="N39" s="53"/>
      <c r="O39" s="53"/>
      <c r="P39" s="53"/>
      <c r="Q39" s="60"/>
      <c r="R39" s="60"/>
      <c r="S39" s="60"/>
      <c r="T39" s="53"/>
      <c r="U39" s="53"/>
      <c r="V39" s="53"/>
      <c r="W39" s="53"/>
      <c r="X39" s="53"/>
      <c r="Y39" s="53"/>
      <c r="Z39" s="53"/>
      <c r="AA39" s="85"/>
      <c r="AB39" s="85"/>
      <c r="AC39" s="79"/>
      <c r="AD39" s="81"/>
    </row>
    <row r="40" spans="1:30" x14ac:dyDescent="0.25">
      <c r="A40" s="95"/>
      <c r="B40" s="107" t="s">
        <v>178</v>
      </c>
      <c r="C40" s="107"/>
      <c r="D40" s="55"/>
      <c r="E40" s="55"/>
      <c r="F40" s="55"/>
      <c r="G40" s="55"/>
      <c r="H40" s="55"/>
      <c r="I40" s="53"/>
      <c r="J40" s="59"/>
      <c r="K40" s="59"/>
      <c r="L40" s="60"/>
      <c r="M40" s="53"/>
      <c r="N40" s="44">
        <f>86.54/1000</f>
        <v>8.6540000000000006E-2</v>
      </c>
      <c r="O40" s="44">
        <f>N40</f>
        <v>8.6540000000000006E-2</v>
      </c>
      <c r="P40" s="44">
        <f>99.24/1000</f>
        <v>9.9239999999999995E-2</v>
      </c>
      <c r="Q40" s="48">
        <f>105.7/1000</f>
        <v>0.1057</v>
      </c>
      <c r="R40" s="48">
        <f>Q40</f>
        <v>0.1057</v>
      </c>
      <c r="S40" s="44">
        <f>110.06/1000</f>
        <v>0.11006000000000001</v>
      </c>
      <c r="T40" s="44">
        <f>S40</f>
        <v>0.11006000000000001</v>
      </c>
      <c r="U40" s="44">
        <f>124.88/1000</f>
        <v>0.12487999999999999</v>
      </c>
      <c r="V40" s="44">
        <f>138.2/1000</f>
        <v>0.13819999999999999</v>
      </c>
      <c r="W40" s="44">
        <f>138.2/1000</f>
        <v>0.13819999999999999</v>
      </c>
      <c r="X40" s="53"/>
      <c r="Y40" s="44">
        <f>159.3/1000</f>
        <v>0.15930000000000002</v>
      </c>
      <c r="Z40" s="53"/>
      <c r="AA40" s="86">
        <f>159.3/1000</f>
        <v>0.15930000000000002</v>
      </c>
      <c r="AB40" s="86">
        <f>167.97/1000</f>
        <v>0.16797000000000001</v>
      </c>
      <c r="AC40" s="46">
        <f>188.13/1000</f>
        <v>0.18812999999999999</v>
      </c>
      <c r="AD40" s="81"/>
    </row>
    <row r="41" spans="1:30" x14ac:dyDescent="0.25">
      <c r="A41" s="95"/>
      <c r="B41" s="107" t="s">
        <v>181</v>
      </c>
      <c r="C41" s="107"/>
      <c r="D41" s="55"/>
      <c r="E41" s="55"/>
      <c r="F41" s="55"/>
      <c r="G41" s="55"/>
      <c r="H41" s="55"/>
      <c r="I41" s="55"/>
      <c r="J41" s="53"/>
      <c r="K41" s="53"/>
      <c r="L41" s="53"/>
      <c r="M41" s="53"/>
      <c r="N41" s="53"/>
      <c r="O41" s="50">
        <f>300/1000</f>
        <v>0.3</v>
      </c>
      <c r="P41" s="50">
        <f>300/1000</f>
        <v>0.3</v>
      </c>
      <c r="Q41" s="44">
        <f>319.53/1000</f>
        <v>0.31952999999999998</v>
      </c>
      <c r="R41" s="44">
        <f>Q41</f>
        <v>0.31952999999999998</v>
      </c>
      <c r="S41" s="44">
        <f>332.65/1000</f>
        <v>0.33265</v>
      </c>
      <c r="T41" s="44">
        <f>S41</f>
        <v>0.33265</v>
      </c>
      <c r="U41" s="44">
        <f>377.52/1000</f>
        <v>0.37751999999999997</v>
      </c>
      <c r="V41" s="44">
        <f>417.8/1000</f>
        <v>0.4178</v>
      </c>
      <c r="W41" s="44">
        <f>417.8/1000</f>
        <v>0.4178</v>
      </c>
      <c r="X41" s="53"/>
      <c r="Y41" s="44">
        <f>481.59/1000</f>
        <v>0.48158999999999996</v>
      </c>
      <c r="Z41" s="53"/>
      <c r="AA41" s="86">
        <f>481.59/1000</f>
        <v>0.48158999999999996</v>
      </c>
      <c r="AB41" s="86">
        <f>507.78/1000</f>
        <v>0.50778000000000001</v>
      </c>
      <c r="AC41" s="46">
        <f>568.72/1000</f>
        <v>0.56872</v>
      </c>
      <c r="AD41" s="81"/>
    </row>
    <row r="42" spans="1:30" ht="29.25" customHeight="1" x14ac:dyDescent="0.25">
      <c r="A42" s="101" t="s">
        <v>182</v>
      </c>
      <c r="B42" s="111"/>
      <c r="C42" s="111"/>
      <c r="D42" s="76"/>
      <c r="E42" s="45" t="s">
        <v>169</v>
      </c>
      <c r="F42" s="77"/>
      <c r="G42" s="77"/>
      <c r="H42" s="77"/>
      <c r="I42" s="45" t="s">
        <v>169</v>
      </c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8"/>
      <c r="U42" s="78"/>
      <c r="V42" s="78"/>
      <c r="W42" s="78"/>
      <c r="X42" s="78"/>
      <c r="Y42" s="78"/>
      <c r="Z42" s="78"/>
      <c r="AA42" s="85"/>
      <c r="AB42" s="85"/>
      <c r="AC42" s="79"/>
      <c r="AD42" s="81"/>
    </row>
    <row r="43" spans="1:30" x14ac:dyDescent="0.25">
      <c r="A43" s="113" t="s">
        <v>241</v>
      </c>
      <c r="B43" s="107" t="s">
        <v>243</v>
      </c>
      <c r="C43" s="107"/>
      <c r="D43" s="76"/>
      <c r="E43" s="45"/>
      <c r="F43" s="77"/>
      <c r="G43" s="77"/>
      <c r="H43" s="77"/>
      <c r="I43" s="45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8"/>
      <c r="U43" s="78"/>
      <c r="V43" s="78"/>
      <c r="W43" s="78"/>
      <c r="X43" s="78"/>
      <c r="Y43" s="78"/>
      <c r="Z43" s="78"/>
      <c r="AA43" s="85">
        <f>277.11/1000</f>
        <v>0.27711000000000002</v>
      </c>
      <c r="AB43" s="85">
        <f>286.39/1000</f>
        <v>0.28638999999999998</v>
      </c>
      <c r="AC43" s="79">
        <f>320.76/1000</f>
        <v>0.32075999999999999</v>
      </c>
      <c r="AD43" s="81"/>
    </row>
    <row r="44" spans="1:30" ht="15.75" thickBot="1" x14ac:dyDescent="0.3">
      <c r="A44" s="114"/>
      <c r="B44" s="115" t="s">
        <v>242</v>
      </c>
      <c r="C44" s="115"/>
      <c r="D44" s="57"/>
      <c r="E44" s="47"/>
      <c r="F44" s="58"/>
      <c r="G44" s="58"/>
      <c r="H44" s="58"/>
      <c r="I44" s="4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74"/>
      <c r="U44" s="74"/>
      <c r="V44" s="74"/>
      <c r="W44" s="74"/>
      <c r="X44" s="74"/>
      <c r="Y44" s="74"/>
      <c r="Z44" s="74"/>
      <c r="AA44" s="87">
        <f>554.22/1000</f>
        <v>0.55422000000000005</v>
      </c>
      <c r="AB44" s="87">
        <f>572.79/1000</f>
        <v>0.57278999999999991</v>
      </c>
      <c r="AC44" s="80">
        <f>641.52/1000</f>
        <v>0.64151999999999998</v>
      </c>
      <c r="AD44" s="81"/>
    </row>
    <row r="45" spans="1:30" s="51" customFormat="1" ht="12.75" x14ac:dyDescent="0.2">
      <c r="A45" s="51" t="s">
        <v>158</v>
      </c>
      <c r="C45" s="43"/>
    </row>
    <row r="46" spans="1:30" s="51" customFormat="1" ht="12.75" x14ac:dyDescent="0.2">
      <c r="A46" s="51" t="s">
        <v>165</v>
      </c>
      <c r="C46" s="43"/>
    </row>
    <row r="47" spans="1:30" s="51" customFormat="1" ht="12.75" x14ac:dyDescent="0.2">
      <c r="A47" s="51" t="s">
        <v>168</v>
      </c>
      <c r="C47" s="43"/>
    </row>
    <row r="48" spans="1:30" s="51" customFormat="1" ht="12" x14ac:dyDescent="0.2">
      <c r="A48" s="51" t="s">
        <v>216</v>
      </c>
    </row>
    <row r="49" spans="1:11" s="51" customFormat="1" ht="12" x14ac:dyDescent="0.2">
      <c r="A49" s="51" t="s">
        <v>218</v>
      </c>
    </row>
    <row r="50" spans="1:11" s="51" customFormat="1" ht="12" x14ac:dyDescent="0.2">
      <c r="A50" s="51" t="s">
        <v>226</v>
      </c>
    </row>
    <row r="51" spans="1:11" s="51" customFormat="1" ht="12" x14ac:dyDescent="0.2">
      <c r="A51" s="93" t="s">
        <v>251</v>
      </c>
    </row>
    <row r="52" spans="1:11" x14ac:dyDescent="0.25">
      <c r="K52"/>
    </row>
    <row r="53" spans="1:11" x14ac:dyDescent="0.25">
      <c r="K53"/>
    </row>
    <row r="54" spans="1:11" x14ac:dyDescent="0.25">
      <c r="K54"/>
    </row>
    <row r="55" spans="1:11" x14ac:dyDescent="0.25">
      <c r="K55"/>
    </row>
    <row r="56" spans="1:11" x14ac:dyDescent="0.25">
      <c r="K56"/>
    </row>
    <row r="57" spans="1:11" x14ac:dyDescent="0.25">
      <c r="K57"/>
    </row>
    <row r="58" spans="1:11" x14ac:dyDescent="0.25">
      <c r="K58"/>
    </row>
    <row r="59" spans="1:11" x14ac:dyDescent="0.25">
      <c r="K59"/>
    </row>
    <row r="60" spans="1:11" x14ac:dyDescent="0.25">
      <c r="K60"/>
    </row>
    <row r="61" spans="1:11" x14ac:dyDescent="0.25">
      <c r="K61"/>
    </row>
    <row r="62" spans="1:11" x14ac:dyDescent="0.25">
      <c r="K62"/>
    </row>
    <row r="63" spans="1:11" x14ac:dyDescent="0.25">
      <c r="K63"/>
    </row>
    <row r="64" spans="1:11" x14ac:dyDescent="0.25">
      <c r="K64"/>
    </row>
    <row r="65" spans="11:11" x14ac:dyDescent="0.25">
      <c r="K65"/>
    </row>
    <row r="66" spans="11:11" x14ac:dyDescent="0.25">
      <c r="K66"/>
    </row>
    <row r="67" spans="11:11" x14ac:dyDescent="0.25">
      <c r="K67"/>
    </row>
    <row r="68" spans="11:11" x14ac:dyDescent="0.25">
      <c r="K68"/>
    </row>
    <row r="69" spans="11:11" x14ac:dyDescent="0.25">
      <c r="K69"/>
    </row>
    <row r="70" spans="11:11" x14ac:dyDescent="0.25">
      <c r="K70"/>
    </row>
    <row r="71" spans="11:11" x14ac:dyDescent="0.25">
      <c r="K71"/>
    </row>
    <row r="72" spans="11:11" x14ac:dyDescent="0.25">
      <c r="K72"/>
    </row>
    <row r="73" spans="11:11" x14ac:dyDescent="0.25">
      <c r="K73"/>
    </row>
    <row r="74" spans="11:11" x14ac:dyDescent="0.25">
      <c r="K74"/>
    </row>
    <row r="75" spans="11:11" x14ac:dyDescent="0.25">
      <c r="K75"/>
    </row>
    <row r="76" spans="11:11" x14ac:dyDescent="0.25">
      <c r="K76"/>
    </row>
    <row r="77" spans="11:11" x14ac:dyDescent="0.25">
      <c r="K77"/>
    </row>
    <row r="78" spans="11:11" x14ac:dyDescent="0.25">
      <c r="K78"/>
    </row>
    <row r="79" spans="11:11" x14ac:dyDescent="0.25">
      <c r="K79"/>
    </row>
    <row r="80" spans="11:11" x14ac:dyDescent="0.25">
      <c r="K80"/>
    </row>
    <row r="81" spans="11:11" x14ac:dyDescent="0.25">
      <c r="K81"/>
    </row>
    <row r="82" spans="11:11" x14ac:dyDescent="0.25">
      <c r="K82"/>
    </row>
    <row r="83" spans="11:11" x14ac:dyDescent="0.25">
      <c r="K83"/>
    </row>
    <row r="84" spans="11:11" x14ac:dyDescent="0.25">
      <c r="K84"/>
    </row>
    <row r="85" spans="11:11" x14ac:dyDescent="0.25">
      <c r="K85"/>
    </row>
    <row r="86" spans="11:11" x14ac:dyDescent="0.25">
      <c r="K86"/>
    </row>
    <row r="87" spans="11:11" x14ac:dyDescent="0.25">
      <c r="K87"/>
    </row>
    <row r="88" spans="11:11" x14ac:dyDescent="0.25">
      <c r="K88"/>
    </row>
    <row r="89" spans="11:11" x14ac:dyDescent="0.25">
      <c r="K89"/>
    </row>
    <row r="90" spans="11:11" x14ac:dyDescent="0.25">
      <c r="K90"/>
    </row>
    <row r="91" spans="11:11" x14ac:dyDescent="0.25">
      <c r="K91"/>
    </row>
    <row r="92" spans="11:11" x14ac:dyDescent="0.25">
      <c r="K92"/>
    </row>
    <row r="93" spans="11:11" x14ac:dyDescent="0.25">
      <c r="K93"/>
    </row>
    <row r="94" spans="11:11" x14ac:dyDescent="0.25">
      <c r="K94"/>
    </row>
    <row r="95" spans="11:11" x14ac:dyDescent="0.25">
      <c r="K95"/>
    </row>
    <row r="96" spans="11:11" x14ac:dyDescent="0.25">
      <c r="K96"/>
    </row>
    <row r="97" spans="11:11" x14ac:dyDescent="0.25">
      <c r="K97"/>
    </row>
    <row r="98" spans="11:11" x14ac:dyDescent="0.25">
      <c r="K98"/>
    </row>
    <row r="99" spans="11:11" x14ac:dyDescent="0.25">
      <c r="K99"/>
    </row>
    <row r="100" spans="11:11" x14ac:dyDescent="0.25">
      <c r="K100"/>
    </row>
    <row r="101" spans="11:11" x14ac:dyDescent="0.25">
      <c r="K101"/>
    </row>
    <row r="102" spans="11:11" x14ac:dyDescent="0.25">
      <c r="K102"/>
    </row>
    <row r="103" spans="11:11" x14ac:dyDescent="0.25">
      <c r="K103"/>
    </row>
    <row r="104" spans="11:11" x14ac:dyDescent="0.25">
      <c r="K104"/>
    </row>
    <row r="105" spans="11:11" x14ac:dyDescent="0.25">
      <c r="K105"/>
    </row>
    <row r="106" spans="11:11" x14ac:dyDescent="0.25">
      <c r="K106"/>
    </row>
    <row r="107" spans="11:11" x14ac:dyDescent="0.25">
      <c r="K107"/>
    </row>
    <row r="108" spans="11:11" x14ac:dyDescent="0.25">
      <c r="K108"/>
    </row>
    <row r="109" spans="11:11" x14ac:dyDescent="0.25">
      <c r="K109"/>
    </row>
    <row r="110" spans="11:11" x14ac:dyDescent="0.25">
      <c r="K110"/>
    </row>
    <row r="111" spans="11:11" x14ac:dyDescent="0.25">
      <c r="K111"/>
    </row>
    <row r="112" spans="11:11" x14ac:dyDescent="0.25">
      <c r="K112"/>
    </row>
    <row r="113" spans="11:11" x14ac:dyDescent="0.25">
      <c r="K113"/>
    </row>
    <row r="114" spans="11:11" x14ac:dyDescent="0.25">
      <c r="K114"/>
    </row>
    <row r="115" spans="11:11" x14ac:dyDescent="0.25">
      <c r="K115"/>
    </row>
    <row r="116" spans="11:11" x14ac:dyDescent="0.25">
      <c r="K116"/>
    </row>
    <row r="117" spans="11:11" x14ac:dyDescent="0.25">
      <c r="K117"/>
    </row>
    <row r="118" spans="11:11" x14ac:dyDescent="0.25">
      <c r="K118"/>
    </row>
    <row r="119" spans="11:11" x14ac:dyDescent="0.25">
      <c r="K119"/>
    </row>
    <row r="120" spans="11:11" x14ac:dyDescent="0.25">
      <c r="K120"/>
    </row>
    <row r="121" spans="11:11" x14ac:dyDescent="0.25">
      <c r="K121"/>
    </row>
    <row r="122" spans="11:11" x14ac:dyDescent="0.25">
      <c r="K122"/>
    </row>
    <row r="123" spans="11:11" x14ac:dyDescent="0.25">
      <c r="K123"/>
    </row>
    <row r="124" spans="11:11" x14ac:dyDescent="0.25">
      <c r="K124"/>
    </row>
    <row r="125" spans="11:11" x14ac:dyDescent="0.25">
      <c r="K125"/>
    </row>
    <row r="126" spans="11:11" x14ac:dyDescent="0.25">
      <c r="K126"/>
    </row>
    <row r="127" spans="11:11" x14ac:dyDescent="0.25">
      <c r="K127"/>
    </row>
    <row r="128" spans="11:11" x14ac:dyDescent="0.25">
      <c r="K128"/>
    </row>
    <row r="129" spans="11:11" x14ac:dyDescent="0.25">
      <c r="K129"/>
    </row>
    <row r="130" spans="11:11" x14ac:dyDescent="0.25">
      <c r="K130"/>
    </row>
    <row r="131" spans="11:11" x14ac:dyDescent="0.25">
      <c r="K131"/>
    </row>
    <row r="132" spans="11:11" x14ac:dyDescent="0.25">
      <c r="K132"/>
    </row>
    <row r="133" spans="11:11" x14ac:dyDescent="0.25">
      <c r="K133"/>
    </row>
    <row r="134" spans="11:11" x14ac:dyDescent="0.25">
      <c r="K134"/>
    </row>
    <row r="135" spans="11:11" x14ac:dyDescent="0.25">
      <c r="K135"/>
    </row>
    <row r="136" spans="11:11" x14ac:dyDescent="0.25">
      <c r="K136"/>
    </row>
    <row r="137" spans="11:11" x14ac:dyDescent="0.25">
      <c r="K137"/>
    </row>
    <row r="138" spans="11:11" x14ac:dyDescent="0.25">
      <c r="K138"/>
    </row>
    <row r="139" spans="11:11" x14ac:dyDescent="0.25">
      <c r="K139"/>
    </row>
    <row r="140" spans="11:11" x14ac:dyDescent="0.25">
      <c r="K140"/>
    </row>
    <row r="141" spans="11:11" x14ac:dyDescent="0.25">
      <c r="K141"/>
    </row>
    <row r="142" spans="11:11" x14ac:dyDescent="0.25">
      <c r="K142"/>
    </row>
    <row r="143" spans="11:11" x14ac:dyDescent="0.25">
      <c r="K143"/>
    </row>
    <row r="144" spans="11:11" x14ac:dyDescent="0.25">
      <c r="K144"/>
    </row>
    <row r="145" spans="11:11" x14ac:dyDescent="0.25">
      <c r="K145"/>
    </row>
    <row r="146" spans="11:11" x14ac:dyDescent="0.25">
      <c r="K146"/>
    </row>
    <row r="147" spans="11:11" x14ac:dyDescent="0.25">
      <c r="K147"/>
    </row>
    <row r="148" spans="11:11" x14ac:dyDescent="0.25">
      <c r="K148"/>
    </row>
    <row r="149" spans="11:11" x14ac:dyDescent="0.25">
      <c r="K149"/>
    </row>
    <row r="150" spans="11:11" x14ac:dyDescent="0.25">
      <c r="K150"/>
    </row>
    <row r="151" spans="11:11" x14ac:dyDescent="0.25">
      <c r="K151"/>
    </row>
    <row r="152" spans="11:11" x14ac:dyDescent="0.25">
      <c r="K152"/>
    </row>
    <row r="153" spans="11:11" x14ac:dyDescent="0.25">
      <c r="K153"/>
    </row>
    <row r="154" spans="11:11" x14ac:dyDescent="0.25">
      <c r="K154"/>
    </row>
    <row r="155" spans="11:11" x14ac:dyDescent="0.25">
      <c r="K155"/>
    </row>
    <row r="156" spans="11:11" x14ac:dyDescent="0.25">
      <c r="K156"/>
    </row>
    <row r="157" spans="11:11" x14ac:dyDescent="0.25">
      <c r="K157"/>
    </row>
    <row r="158" spans="11:11" x14ac:dyDescent="0.25">
      <c r="K158"/>
    </row>
    <row r="159" spans="11:11" x14ac:dyDescent="0.25">
      <c r="K159"/>
    </row>
    <row r="160" spans="11:11" x14ac:dyDescent="0.25">
      <c r="K160"/>
    </row>
    <row r="161" spans="11:11" x14ac:dyDescent="0.25">
      <c r="K161"/>
    </row>
    <row r="162" spans="11:11" x14ac:dyDescent="0.25">
      <c r="K162"/>
    </row>
    <row r="163" spans="11:11" x14ac:dyDescent="0.25">
      <c r="K163"/>
    </row>
    <row r="164" spans="11:11" x14ac:dyDescent="0.25">
      <c r="K164"/>
    </row>
    <row r="165" spans="11:11" x14ac:dyDescent="0.25">
      <c r="K165"/>
    </row>
    <row r="166" spans="11:11" x14ac:dyDescent="0.25">
      <c r="K166"/>
    </row>
    <row r="167" spans="11:11" x14ac:dyDescent="0.25">
      <c r="K167"/>
    </row>
    <row r="168" spans="11:11" x14ac:dyDescent="0.25">
      <c r="K168"/>
    </row>
    <row r="169" spans="11:11" x14ac:dyDescent="0.25">
      <c r="K169"/>
    </row>
    <row r="170" spans="11:11" x14ac:dyDescent="0.25">
      <c r="K170"/>
    </row>
    <row r="171" spans="11:11" x14ac:dyDescent="0.25">
      <c r="K171"/>
    </row>
    <row r="172" spans="11:11" x14ac:dyDescent="0.25">
      <c r="K172"/>
    </row>
    <row r="173" spans="11:11" x14ac:dyDescent="0.25">
      <c r="K173"/>
    </row>
    <row r="174" spans="11:11" x14ac:dyDescent="0.25">
      <c r="K174"/>
    </row>
    <row r="175" spans="11:11" x14ac:dyDescent="0.25">
      <c r="K175"/>
    </row>
    <row r="176" spans="11:11" x14ac:dyDescent="0.25">
      <c r="K176"/>
    </row>
    <row r="177" spans="11:11" x14ac:dyDescent="0.25">
      <c r="K177"/>
    </row>
    <row r="178" spans="11:11" x14ac:dyDescent="0.25">
      <c r="K178"/>
    </row>
    <row r="179" spans="11:11" x14ac:dyDescent="0.25">
      <c r="K179"/>
    </row>
    <row r="180" spans="11:11" x14ac:dyDescent="0.25">
      <c r="K180"/>
    </row>
    <row r="181" spans="11:11" x14ac:dyDescent="0.25">
      <c r="K181"/>
    </row>
    <row r="182" spans="11:11" x14ac:dyDescent="0.25">
      <c r="K182"/>
    </row>
    <row r="183" spans="11:11" x14ac:dyDescent="0.25">
      <c r="K183"/>
    </row>
    <row r="184" spans="11:11" x14ac:dyDescent="0.25">
      <c r="K184"/>
    </row>
    <row r="185" spans="11:11" x14ac:dyDescent="0.25">
      <c r="K185"/>
    </row>
    <row r="186" spans="11:11" x14ac:dyDescent="0.25">
      <c r="K186"/>
    </row>
    <row r="187" spans="11:11" x14ac:dyDescent="0.25">
      <c r="K187"/>
    </row>
    <row r="188" spans="11:11" x14ac:dyDescent="0.25">
      <c r="K188"/>
    </row>
    <row r="189" spans="11:11" x14ac:dyDescent="0.25">
      <c r="K189"/>
    </row>
    <row r="190" spans="11:11" x14ac:dyDescent="0.25">
      <c r="K190"/>
    </row>
    <row r="191" spans="11:11" x14ac:dyDescent="0.25">
      <c r="K191"/>
    </row>
    <row r="192" spans="11:11" x14ac:dyDescent="0.25">
      <c r="K192"/>
    </row>
    <row r="193" spans="11:11" x14ac:dyDescent="0.25">
      <c r="K193"/>
    </row>
    <row r="194" spans="11:11" x14ac:dyDescent="0.25">
      <c r="K194"/>
    </row>
    <row r="195" spans="11:11" x14ac:dyDescent="0.25">
      <c r="K195"/>
    </row>
    <row r="196" spans="11:11" x14ac:dyDescent="0.25">
      <c r="K196"/>
    </row>
    <row r="197" spans="11:11" x14ac:dyDescent="0.25">
      <c r="K197"/>
    </row>
    <row r="198" spans="11:11" x14ac:dyDescent="0.25">
      <c r="K198"/>
    </row>
    <row r="199" spans="11:11" x14ac:dyDescent="0.25">
      <c r="K199"/>
    </row>
    <row r="200" spans="11:11" x14ac:dyDescent="0.25">
      <c r="K200"/>
    </row>
    <row r="201" spans="11:11" x14ac:dyDescent="0.25">
      <c r="K201"/>
    </row>
    <row r="202" spans="11:11" x14ac:dyDescent="0.25">
      <c r="K202"/>
    </row>
    <row r="203" spans="11:11" x14ac:dyDescent="0.25">
      <c r="K203"/>
    </row>
    <row r="204" spans="11:11" x14ac:dyDescent="0.25">
      <c r="K204"/>
    </row>
    <row r="205" spans="11:11" x14ac:dyDescent="0.25">
      <c r="K205"/>
    </row>
    <row r="206" spans="11:11" x14ac:dyDescent="0.25">
      <c r="K206"/>
    </row>
    <row r="207" spans="11:11" x14ac:dyDescent="0.25">
      <c r="K207"/>
    </row>
    <row r="208" spans="11:11" x14ac:dyDescent="0.25">
      <c r="K208"/>
    </row>
    <row r="209" spans="11:11" x14ac:dyDescent="0.25">
      <c r="K209"/>
    </row>
    <row r="210" spans="11:11" x14ac:dyDescent="0.25">
      <c r="K210"/>
    </row>
    <row r="211" spans="11:11" x14ac:dyDescent="0.25">
      <c r="K211"/>
    </row>
    <row r="212" spans="11:11" x14ac:dyDescent="0.25">
      <c r="K212"/>
    </row>
    <row r="213" spans="11:11" x14ac:dyDescent="0.25">
      <c r="K213"/>
    </row>
    <row r="214" spans="11:11" x14ac:dyDescent="0.25">
      <c r="K214"/>
    </row>
    <row r="215" spans="11:11" x14ac:dyDescent="0.25">
      <c r="K215"/>
    </row>
    <row r="216" spans="11:11" x14ac:dyDescent="0.25">
      <c r="K216"/>
    </row>
    <row r="217" spans="11:11" x14ac:dyDescent="0.25">
      <c r="K217"/>
    </row>
    <row r="218" spans="11:11" x14ac:dyDescent="0.25">
      <c r="K218"/>
    </row>
    <row r="219" spans="11:11" x14ac:dyDescent="0.25">
      <c r="K219"/>
    </row>
    <row r="220" spans="11:11" x14ac:dyDescent="0.25">
      <c r="K220"/>
    </row>
    <row r="221" spans="11:11" x14ac:dyDescent="0.25">
      <c r="K221"/>
    </row>
    <row r="222" spans="11:11" x14ac:dyDescent="0.25">
      <c r="K222"/>
    </row>
    <row r="223" spans="11:11" x14ac:dyDescent="0.25">
      <c r="K223"/>
    </row>
    <row r="224" spans="11:11" x14ac:dyDescent="0.25">
      <c r="K224"/>
    </row>
    <row r="225" spans="11:11" x14ac:dyDescent="0.25">
      <c r="K225"/>
    </row>
    <row r="226" spans="11:11" x14ac:dyDescent="0.25">
      <c r="K226"/>
    </row>
    <row r="227" spans="11:11" x14ac:dyDescent="0.25">
      <c r="K227"/>
    </row>
    <row r="228" spans="11:11" x14ac:dyDescent="0.25">
      <c r="K228"/>
    </row>
    <row r="229" spans="11:11" x14ac:dyDescent="0.25">
      <c r="K229"/>
    </row>
    <row r="230" spans="11:11" x14ac:dyDescent="0.25">
      <c r="K230"/>
    </row>
    <row r="231" spans="11:11" x14ac:dyDescent="0.25">
      <c r="K231"/>
    </row>
    <row r="232" spans="11:11" x14ac:dyDescent="0.25">
      <c r="K232"/>
    </row>
    <row r="233" spans="11:11" x14ac:dyDescent="0.25">
      <c r="K233"/>
    </row>
    <row r="234" spans="11:11" x14ac:dyDescent="0.25">
      <c r="K234"/>
    </row>
    <row r="235" spans="11:11" x14ac:dyDescent="0.25">
      <c r="K235"/>
    </row>
    <row r="236" spans="11:11" x14ac:dyDescent="0.25">
      <c r="K236"/>
    </row>
    <row r="237" spans="11:11" x14ac:dyDescent="0.25">
      <c r="K237"/>
    </row>
    <row r="238" spans="11:11" x14ac:dyDescent="0.25">
      <c r="K238"/>
    </row>
    <row r="239" spans="11:11" x14ac:dyDescent="0.25">
      <c r="K239"/>
    </row>
    <row r="240" spans="11:11" x14ac:dyDescent="0.25">
      <c r="K240"/>
    </row>
    <row r="241" spans="11:11" x14ac:dyDescent="0.25">
      <c r="K241"/>
    </row>
    <row r="242" spans="11:11" x14ac:dyDescent="0.25">
      <c r="K242"/>
    </row>
    <row r="243" spans="11:11" x14ac:dyDescent="0.25">
      <c r="K243"/>
    </row>
    <row r="244" spans="11:11" x14ac:dyDescent="0.25">
      <c r="K244"/>
    </row>
    <row r="245" spans="11:11" x14ac:dyDescent="0.25">
      <c r="K245"/>
    </row>
    <row r="246" spans="11:11" x14ac:dyDescent="0.25">
      <c r="K246"/>
    </row>
    <row r="247" spans="11:11" x14ac:dyDescent="0.25">
      <c r="K247"/>
    </row>
    <row r="248" spans="11:11" x14ac:dyDescent="0.25">
      <c r="K248"/>
    </row>
    <row r="249" spans="11:11" x14ac:dyDescent="0.25">
      <c r="K249"/>
    </row>
    <row r="250" spans="11:11" x14ac:dyDescent="0.25">
      <c r="K250"/>
    </row>
    <row r="251" spans="11:11" x14ac:dyDescent="0.25">
      <c r="K251"/>
    </row>
    <row r="252" spans="11:11" x14ac:dyDescent="0.25">
      <c r="K252"/>
    </row>
    <row r="253" spans="11:11" x14ac:dyDescent="0.25">
      <c r="K253"/>
    </row>
    <row r="254" spans="11:11" x14ac:dyDescent="0.25">
      <c r="K254"/>
    </row>
    <row r="255" spans="11:11" x14ac:dyDescent="0.25">
      <c r="K255"/>
    </row>
    <row r="256" spans="11:11" x14ac:dyDescent="0.25">
      <c r="K256"/>
    </row>
    <row r="257" spans="11:11" x14ac:dyDescent="0.25">
      <c r="K257"/>
    </row>
    <row r="258" spans="11:11" x14ac:dyDescent="0.25">
      <c r="K258"/>
    </row>
    <row r="259" spans="11:11" x14ac:dyDescent="0.25">
      <c r="K259"/>
    </row>
    <row r="260" spans="11:11" x14ac:dyDescent="0.25">
      <c r="K260"/>
    </row>
    <row r="261" spans="11:11" x14ac:dyDescent="0.25">
      <c r="K261"/>
    </row>
  </sheetData>
  <mergeCells count="59">
    <mergeCell ref="A43:A44"/>
    <mergeCell ref="B43:C43"/>
    <mergeCell ref="B44:C44"/>
    <mergeCell ref="B39:C39"/>
    <mergeCell ref="S3:T3"/>
    <mergeCell ref="S4:T4"/>
    <mergeCell ref="S5:T5"/>
    <mergeCell ref="B25:C25"/>
    <mergeCell ref="B17:C17"/>
    <mergeCell ref="B21:C21"/>
    <mergeCell ref="B22:C22"/>
    <mergeCell ref="B23:C23"/>
    <mergeCell ref="B24:C24"/>
    <mergeCell ref="F6:G6"/>
    <mergeCell ref="K3:L3"/>
    <mergeCell ref="K4:L4"/>
    <mergeCell ref="A42:C42"/>
    <mergeCell ref="B7:C7"/>
    <mergeCell ref="B8:C8"/>
    <mergeCell ref="B9:C9"/>
    <mergeCell ref="B10:C10"/>
    <mergeCell ref="B11:C11"/>
    <mergeCell ref="B12:C12"/>
    <mergeCell ref="B13:C13"/>
    <mergeCell ref="A39:A41"/>
    <mergeCell ref="B32:C32"/>
    <mergeCell ref="B14:C14"/>
    <mergeCell ref="B15:C15"/>
    <mergeCell ref="B40:C40"/>
    <mergeCell ref="B41:C41"/>
    <mergeCell ref="B33:C33"/>
    <mergeCell ref="B34:C34"/>
    <mergeCell ref="B30:C30"/>
    <mergeCell ref="B31:C31"/>
    <mergeCell ref="Q5:R5"/>
    <mergeCell ref="F5:G5"/>
    <mergeCell ref="A35:A37"/>
    <mergeCell ref="I21:I22"/>
    <mergeCell ref="I23:I25"/>
    <mergeCell ref="B35:C35"/>
    <mergeCell ref="B36:C36"/>
    <mergeCell ref="B37:C37"/>
    <mergeCell ref="B26:B27"/>
    <mergeCell ref="A30:A34"/>
    <mergeCell ref="B28:B29"/>
    <mergeCell ref="A21:A29"/>
    <mergeCell ref="A1:W1"/>
    <mergeCell ref="A13:A20"/>
    <mergeCell ref="Q2:R2"/>
    <mergeCell ref="S2:T2"/>
    <mergeCell ref="Q3:R3"/>
    <mergeCell ref="Q4:R4"/>
    <mergeCell ref="F3:G3"/>
    <mergeCell ref="F4:G4"/>
    <mergeCell ref="A7:A12"/>
    <mergeCell ref="K5:L5"/>
    <mergeCell ref="K6:L6"/>
    <mergeCell ref="A2:C6"/>
    <mergeCell ref="B16:C16"/>
  </mergeCells>
  <hyperlinks>
    <hyperlink ref="D4" r:id="rId1" xr:uid="{00000000-0004-0000-0000-000000000000}"/>
    <hyperlink ref="D5" r:id="rId2" xr:uid="{00000000-0004-0000-0000-000001000000}"/>
    <hyperlink ref="E4" r:id="rId3" display="http://arquivos.ana.gov.br/institucional/sag/CobrancaUso/Cobranca/Decreto CE_nr_24.264_96.pdf" xr:uid="{00000000-0004-0000-0000-000002000000}"/>
    <hyperlink ref="E5" r:id="rId4" display="http://arquivos.ana.gov.br/institucional/sag/CobrancaUso/Cobranca/Decreto CE_nr_24.870_98.pdf" xr:uid="{00000000-0004-0000-0000-000003000000}"/>
    <hyperlink ref="F4" r:id="rId5" display="http://arquivos.ana.gov.br/institucional/sag/CobrancaUso/Cobranca/Decreto CE_nr_24.264_96.pdf" xr:uid="{00000000-0004-0000-0000-000004000000}"/>
    <hyperlink ref="F5" r:id="rId6" display="http://arquivos.ana.gov.br/institucional/sag/CobrancaUso/Cobranca/Decreto CE_nr_25.461_99.pdf" xr:uid="{00000000-0004-0000-0000-000005000000}"/>
    <hyperlink ref="F6" r:id="rId7" display="http://arquivos.ana.gov.br/institucional/sag/CobrancaUso/Cobranca/Decreto CE_nr_25.721_99.pdf" xr:uid="{00000000-0004-0000-0000-000006000000}"/>
    <hyperlink ref="H4" r:id="rId8" display="http://arquivos.ana.gov.br/institucional/sag/CobrancaUso/Cobranca/Decreto CE_nr_24.264_96.pdf" xr:uid="{00000000-0004-0000-0000-000007000000}"/>
    <hyperlink ref="H5" r:id="rId9" display="http://arquivos.ana.gov.br/institucional/sag/CobrancaUso/Cobranca/Decreto CE_nr_25.721_99.pdf" xr:uid="{00000000-0004-0000-0000-000008000000}"/>
    <hyperlink ref="H6" r:id="rId10" display="http://arquivos.ana.gov.br/institucional/sag/CobrancaUso/Cobranca/Decreto CE_nr_25.980_00.pdf" xr:uid="{00000000-0004-0000-0000-000009000000}"/>
    <hyperlink ref="I5" r:id="rId11" display="http://arquivos.ana.gov.br/institucional/sag/CobrancaUso/Cobranca/Decreto CE_nr_24.264_96.pdf" xr:uid="{00000000-0004-0000-0000-00000A000000}"/>
    <hyperlink ref="I6" r:id="rId12" display="http://arquivos.ana.gov.br/institucional/sag/CobrancaUso/Cobranca/Decreto CE_nr_27.005_03.pdf" xr:uid="{00000000-0004-0000-0000-00000B000000}"/>
    <hyperlink ref="J3" r:id="rId13" display="http://arquivos.ana.gov.br/institucional/sag/CobrancaUso/Cobranca/Resolucao_CONERH_CE_nr_02_03.pdf" xr:uid="{00000000-0004-0000-0000-00000C000000}"/>
    <hyperlink ref="J4" r:id="rId14" display="http://arquivos.ana.gov.br/institucional/sag/CobrancaUso/Cobranca/Decreto CE_nr_27.271_03.pdf" xr:uid="{00000000-0004-0000-0000-00000D000000}"/>
    <hyperlink ref="K3" r:id="rId15" display="http://arquivos.ana.gov.br/institucional/sag/CobrancaUso/Cobranca/Decreto CE_nr_27.271_03.pdf" xr:uid="{00000000-0004-0000-0000-00000E000000}"/>
    <hyperlink ref="K4" r:id="rId16" display="http://arquivos.ana.gov.br/institucional/sag/CobrancaUso/Cobranca/Decreto CE_nr_28.074_05.pdf" xr:uid="{00000000-0004-0000-0000-00000F000000}"/>
    <hyperlink ref="K6" r:id="rId17" display="http://arquivos.ana.gov.br/institucional/sag/CobrancaUso/Cobranca/Decreto CE_nr_28.244_06.pdf" xr:uid="{00000000-0004-0000-0000-000010000000}"/>
    <hyperlink ref="M4" r:id="rId18" display="http://arquivos.ana.gov.br/institucional/sag/CobrancaUso/Cobranca/Decreto CE_nr_29.373_08.pdf" xr:uid="{00000000-0004-0000-0000-000011000000}"/>
    <hyperlink ref="N3" r:id="rId19" display="http://arquivos.ana.gov.br/institucional/sag/CobrancaUso/Cobranca/Resolucao_CONERH_CE_nr_03_09.pdf" xr:uid="{00000000-0004-0000-0000-000012000000}"/>
    <hyperlink ref="N4" r:id="rId20" display="http://arquivos.ana.gov.br/institucional/sag/CobrancaUso/Cobranca/Decreto CE_nr_30.159_10.pdf" xr:uid="{00000000-0004-0000-0000-000013000000}"/>
    <hyperlink ref="O5" r:id="rId21" display="http://arquivos.ana.gov.br/institucional/sag/CobrancaUso/Cobranca/Decreto CE_nr_30.159_10.pdf" xr:uid="{00000000-0004-0000-0000-000014000000}"/>
    <hyperlink ref="O6" r:id="rId22" display="http://arquivos.ana.gov.br/institucional/sag/CobrancaUso/Cobranca/Decreto CE_nr_30.374-10.pdf" xr:uid="{00000000-0004-0000-0000-000015000000}"/>
    <hyperlink ref="P3" r:id="rId23" xr:uid="{00000000-0004-0000-0000-000016000000}"/>
    <hyperlink ref="P4" r:id="rId24" xr:uid="{00000000-0004-0000-0000-000017000000}"/>
    <hyperlink ref="Q3" r:id="rId25" display="http://arquivos.ana.gov.br/institucional/sag/CobrancaUso/Cobranca/ResolucaoCONERH_Nr_04_12.pdf" xr:uid="{00000000-0004-0000-0000-000018000000}"/>
    <hyperlink ref="Q4" r:id="rId26" display="http://arquivos.ana.gov.br/institucional/sag/CobrancaUso/Cobranca/ResolucaoCONERH_Nr_05_12.pdf" xr:uid="{00000000-0004-0000-0000-000019000000}"/>
    <hyperlink ref="Q5" r:id="rId27" display="http://arquivos.ana.gov.br/institucional/sag/CobrancaUso/Cobranca/Decreto CE_nr_31.195_13.pdf" xr:uid="{00000000-0004-0000-0000-00001A000000}"/>
    <hyperlink ref="D3" r:id="rId28" xr:uid="{00000000-0004-0000-0000-00001B000000}"/>
    <hyperlink ref="S3:T3" r:id="rId29" display="Resolução CONERH nº 5/13" xr:uid="{00000000-0004-0000-0000-00001C000000}"/>
    <hyperlink ref="U4" r:id="rId30" xr:uid="{00000000-0004-0000-0000-00001D000000}"/>
    <hyperlink ref="U3" r:id="rId31" xr:uid="{00000000-0004-0000-0000-00001E000000}"/>
    <hyperlink ref="Q5:R5" r:id="rId32" display="Decreto CE nº 31.195/13" xr:uid="{00000000-0004-0000-0000-00001F000000}"/>
    <hyperlink ref="Q4:R4" r:id="rId33" display="Resolução CONERH nº 005/12" xr:uid="{00000000-0004-0000-0000-000020000000}"/>
    <hyperlink ref="Q3:R3" r:id="rId34" display="Resolução CONERH nº 004/SRH/12" xr:uid="{00000000-0004-0000-0000-000021000000}"/>
    <hyperlink ref="V3" r:id="rId35" xr:uid="{00000000-0004-0000-0000-000022000000}"/>
    <hyperlink ref="V4" r:id="rId36" xr:uid="{00000000-0004-0000-0000-000023000000}"/>
    <hyperlink ref="W3" r:id="rId37" xr:uid="{00000000-0004-0000-0000-000024000000}"/>
    <hyperlink ref="W4" r:id="rId38" xr:uid="{00000000-0004-0000-0000-000025000000}"/>
    <hyperlink ref="X3" r:id="rId39" xr:uid="{00000000-0004-0000-0000-000026000000}"/>
    <hyperlink ref="X4" r:id="rId40" xr:uid="{00000000-0004-0000-0000-000027000000}"/>
    <hyperlink ref="AA4" r:id="rId41" display="Decreto nº 32.422/17" xr:uid="{21FD4894-6AC4-48DB-A87B-1998E3837837}"/>
    <hyperlink ref="AA3" r:id="rId42" xr:uid="{24A38BBD-37FA-44E8-A275-0E8B1C90F9E5}"/>
    <hyperlink ref="Z4" r:id="rId43" xr:uid="{4F29B23B-3214-4FB6-A63D-23548C639F96}"/>
    <hyperlink ref="Z3" r:id="rId44" xr:uid="{E2946CE8-A4D2-430A-AC47-53F801967FC8}"/>
    <hyperlink ref="Y4" r:id="rId45" xr:uid="{9D15B4D6-416D-4E41-AFE8-670943C3627A}"/>
    <hyperlink ref="Y3" r:id="rId46" xr:uid="{ED9B351A-0AC5-4A57-BB76-1AF527FB1953}"/>
    <hyperlink ref="AB3" r:id="rId47" xr:uid="{8022309C-AEBD-4578-B398-78CFC553A1EC}"/>
    <hyperlink ref="AB4" r:id="rId48" xr:uid="{CDF138C7-FB3E-4838-9A91-5B54C2E48931}"/>
  </hyperlinks>
  <pageMargins left="0.51181102362204722" right="0.51181102362204722" top="0.78740157480314965" bottom="0.78740157480314965" header="0.31496062992125984" footer="0.31496062992125984"/>
  <pageSetup paperSize="9" scale="33" orientation="landscape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6"/>
  <sheetViews>
    <sheetView showGridLines="0" zoomScaleNormal="100" workbookViewId="0">
      <selection activeCell="C17" sqref="C17"/>
    </sheetView>
  </sheetViews>
  <sheetFormatPr defaultColWidth="15.85546875" defaultRowHeight="15.75" x14ac:dyDescent="0.25"/>
  <cols>
    <col min="1" max="1" width="40" style="34" customWidth="1"/>
    <col min="2" max="2" width="29" style="34" bestFit="1" customWidth="1"/>
  </cols>
  <sheetData>
    <row r="1" spans="1:2" x14ac:dyDescent="0.25">
      <c r="A1" s="36"/>
      <c r="B1" s="6"/>
    </row>
    <row r="2" spans="1:2" ht="30" customHeight="1" x14ac:dyDescent="0.25">
      <c r="A2" s="126" t="s">
        <v>130</v>
      </c>
      <c r="B2" s="125" t="s">
        <v>133</v>
      </c>
    </row>
    <row r="3" spans="1:2" ht="30" customHeight="1" x14ac:dyDescent="0.25">
      <c r="A3" s="126"/>
      <c r="B3" s="126"/>
    </row>
    <row r="4" spans="1:2" ht="30" customHeight="1" x14ac:dyDescent="0.25">
      <c r="A4" s="126"/>
      <c r="B4" s="126"/>
    </row>
    <row r="5" spans="1:2" ht="30" customHeight="1" x14ac:dyDescent="0.25">
      <c r="A5" s="126"/>
      <c r="B5" s="126"/>
    </row>
    <row r="6" spans="1:2" ht="30" customHeight="1" x14ac:dyDescent="0.25">
      <c r="A6" s="126"/>
      <c r="B6" s="126"/>
    </row>
    <row r="7" spans="1:2" ht="30" customHeight="1" x14ac:dyDescent="0.25">
      <c r="A7" s="126"/>
      <c r="B7" s="127"/>
    </row>
    <row r="8" spans="1:2" x14ac:dyDescent="0.25">
      <c r="A8" s="42"/>
      <c r="B8" s="7"/>
    </row>
    <row r="9" spans="1:2" ht="15" customHeight="1" x14ac:dyDescent="0.25">
      <c r="A9" s="117" t="s">
        <v>130</v>
      </c>
      <c r="B9" s="121" t="s">
        <v>132</v>
      </c>
    </row>
    <row r="10" spans="1:2" ht="15" x14ac:dyDescent="0.25">
      <c r="A10" s="118"/>
      <c r="B10" s="128"/>
    </row>
    <row r="11" spans="1:2" ht="15" x14ac:dyDescent="0.25">
      <c r="A11" s="118"/>
      <c r="B11" s="128"/>
    </row>
    <row r="12" spans="1:2" ht="15" x14ac:dyDescent="0.25">
      <c r="A12" s="118"/>
      <c r="B12" s="128"/>
    </row>
    <row r="13" spans="1:2" ht="15" x14ac:dyDescent="0.25">
      <c r="A13" s="118"/>
      <c r="B13" s="128"/>
    </row>
    <row r="14" spans="1:2" ht="15" x14ac:dyDescent="0.25">
      <c r="A14" s="118"/>
      <c r="B14" s="128"/>
    </row>
    <row r="15" spans="1:2" ht="15" x14ac:dyDescent="0.25">
      <c r="A15" s="130"/>
      <c r="B15" s="129"/>
    </row>
    <row r="16" spans="1:2" s="35" customFormat="1" ht="15" customHeight="1" x14ac:dyDescent="0.25">
      <c r="A16" s="41"/>
      <c r="B16" s="8"/>
    </row>
    <row r="17" spans="1:2" ht="15" customHeight="1" x14ac:dyDescent="0.25">
      <c r="A17" s="117" t="s">
        <v>130</v>
      </c>
      <c r="B17" s="121" t="s">
        <v>131</v>
      </c>
    </row>
    <row r="18" spans="1:2" ht="15" x14ac:dyDescent="0.25">
      <c r="A18" s="118"/>
      <c r="B18" s="122"/>
    </row>
    <row r="19" spans="1:2" ht="15" x14ac:dyDescent="0.25">
      <c r="A19" s="118"/>
      <c r="B19" s="122"/>
    </row>
    <row r="20" spans="1:2" ht="15" x14ac:dyDescent="0.25">
      <c r="A20" s="118"/>
      <c r="B20" s="122"/>
    </row>
    <row r="21" spans="1:2" ht="15" x14ac:dyDescent="0.25">
      <c r="A21" s="118"/>
      <c r="B21" s="122"/>
    </row>
    <row r="22" spans="1:2" ht="15" x14ac:dyDescent="0.25">
      <c r="A22" s="118"/>
      <c r="B22" s="122"/>
    </row>
    <row r="23" spans="1:2" ht="15" x14ac:dyDescent="0.25">
      <c r="A23" s="118"/>
      <c r="B23" s="122"/>
    </row>
    <row r="24" spans="1:2" ht="15" x14ac:dyDescent="0.25">
      <c r="A24" s="118"/>
      <c r="B24" s="122"/>
    </row>
    <row r="25" spans="1:2" ht="15" x14ac:dyDescent="0.25">
      <c r="A25" s="130"/>
      <c r="B25" s="123"/>
    </row>
    <row r="26" spans="1:2" x14ac:dyDescent="0.25">
      <c r="A26" s="39"/>
      <c r="B26" s="38"/>
    </row>
    <row r="27" spans="1:2" ht="15" customHeight="1" x14ac:dyDescent="0.25">
      <c r="A27" s="117" t="s">
        <v>134</v>
      </c>
      <c r="B27" s="121" t="s">
        <v>135</v>
      </c>
    </row>
    <row r="28" spans="1:2" ht="15" x14ac:dyDescent="0.25">
      <c r="A28" s="118"/>
      <c r="B28" s="128"/>
    </row>
    <row r="29" spans="1:2" ht="15" x14ac:dyDescent="0.25">
      <c r="A29" s="118"/>
      <c r="B29" s="128"/>
    </row>
    <row r="30" spans="1:2" ht="15" x14ac:dyDescent="0.25">
      <c r="A30" s="118"/>
      <c r="B30" s="128"/>
    </row>
    <row r="31" spans="1:2" ht="15" x14ac:dyDescent="0.25">
      <c r="A31" s="118"/>
      <c r="B31" s="128"/>
    </row>
    <row r="32" spans="1:2" ht="15" x14ac:dyDescent="0.25">
      <c r="A32" s="118"/>
      <c r="B32" s="128"/>
    </row>
    <row r="33" spans="1:2" ht="15" x14ac:dyDescent="0.25">
      <c r="A33" s="130"/>
      <c r="B33" s="129"/>
    </row>
    <row r="34" spans="1:2" s="35" customFormat="1" ht="15" customHeight="1" x14ac:dyDescent="0.25">
      <c r="A34" s="39"/>
      <c r="B34" s="7"/>
    </row>
    <row r="35" spans="1:2" ht="15" x14ac:dyDescent="0.25">
      <c r="A35" s="117" t="s">
        <v>134</v>
      </c>
      <c r="B35" s="121" t="s">
        <v>136</v>
      </c>
    </row>
    <row r="36" spans="1:2" ht="15" x14ac:dyDescent="0.25">
      <c r="A36" s="118"/>
      <c r="B36" s="122"/>
    </row>
    <row r="37" spans="1:2" ht="15" x14ac:dyDescent="0.25">
      <c r="A37" s="118"/>
      <c r="B37" s="122"/>
    </row>
    <row r="38" spans="1:2" s="35" customFormat="1" ht="15" x14ac:dyDescent="0.25">
      <c r="A38" s="119"/>
      <c r="B38" s="122"/>
    </row>
    <row r="39" spans="1:2" s="35" customFormat="1" ht="15" x14ac:dyDescent="0.25">
      <c r="A39" s="119"/>
      <c r="B39" s="122"/>
    </row>
    <row r="40" spans="1:2" ht="15" customHeight="1" x14ac:dyDescent="0.25">
      <c r="A40" s="119"/>
      <c r="B40" s="122"/>
    </row>
    <row r="41" spans="1:2" ht="15" customHeight="1" x14ac:dyDescent="0.25">
      <c r="A41" s="119"/>
      <c r="B41" s="122"/>
    </row>
    <row r="42" spans="1:2" ht="15" x14ac:dyDescent="0.25">
      <c r="A42" s="119"/>
      <c r="B42" s="122"/>
    </row>
    <row r="43" spans="1:2" ht="15" x14ac:dyDescent="0.25">
      <c r="A43" s="119"/>
      <c r="B43" s="122"/>
    </row>
    <row r="44" spans="1:2" ht="15" x14ac:dyDescent="0.25">
      <c r="A44" s="120"/>
      <c r="B44" s="123"/>
    </row>
    <row r="45" spans="1:2" s="35" customFormat="1" ht="15" customHeight="1" x14ac:dyDescent="0.25">
      <c r="A45" s="34"/>
      <c r="B45" s="7"/>
    </row>
    <row r="46" spans="1:2" ht="15" customHeight="1" x14ac:dyDescent="0.25">
      <c r="A46" s="117" t="s">
        <v>137</v>
      </c>
      <c r="B46" s="121" t="s">
        <v>138</v>
      </c>
    </row>
    <row r="47" spans="1:2" ht="15" customHeight="1" x14ac:dyDescent="0.25">
      <c r="A47" s="118"/>
      <c r="B47" s="122"/>
    </row>
    <row r="48" spans="1:2" ht="15" customHeight="1" x14ac:dyDescent="0.25">
      <c r="A48" s="118"/>
      <c r="B48" s="122"/>
    </row>
    <row r="49" spans="1:2" s="35" customFormat="1" ht="15" customHeight="1" x14ac:dyDescent="0.25">
      <c r="A49" s="119"/>
      <c r="B49" s="122"/>
    </row>
    <row r="50" spans="1:2" s="35" customFormat="1" ht="15" customHeight="1" x14ac:dyDescent="0.25">
      <c r="A50" s="119"/>
      <c r="B50" s="122"/>
    </row>
    <row r="51" spans="1:2" ht="15" customHeight="1" x14ac:dyDescent="0.25">
      <c r="A51" s="119"/>
      <c r="B51" s="122"/>
    </row>
    <row r="52" spans="1:2" ht="15" customHeight="1" x14ac:dyDescent="0.25">
      <c r="A52" s="119"/>
      <c r="B52" s="122"/>
    </row>
    <row r="53" spans="1:2" ht="15" customHeight="1" x14ac:dyDescent="0.25">
      <c r="A53" s="119"/>
      <c r="B53" s="122"/>
    </row>
    <row r="54" spans="1:2" ht="15" customHeight="1" x14ac:dyDescent="0.25">
      <c r="A54" s="119"/>
      <c r="B54" s="122"/>
    </row>
    <row r="55" spans="1:2" ht="15" customHeight="1" x14ac:dyDescent="0.25">
      <c r="A55" s="120"/>
      <c r="B55" s="123"/>
    </row>
    <row r="56" spans="1:2" s="35" customFormat="1" ht="15" customHeight="1" x14ac:dyDescent="0.25">
      <c r="A56" s="34"/>
      <c r="B56" s="7"/>
    </row>
    <row r="57" spans="1:2" ht="15" customHeight="1" x14ac:dyDescent="0.25">
      <c r="A57" s="117" t="s">
        <v>137</v>
      </c>
      <c r="B57" s="121" t="s">
        <v>139</v>
      </c>
    </row>
    <row r="58" spans="1:2" ht="15" customHeight="1" x14ac:dyDescent="0.25">
      <c r="A58" s="118"/>
      <c r="B58" s="122"/>
    </row>
    <row r="59" spans="1:2" ht="15" customHeight="1" x14ac:dyDescent="0.25">
      <c r="A59" s="118"/>
      <c r="B59" s="122"/>
    </row>
    <row r="60" spans="1:2" s="35" customFormat="1" ht="15" customHeight="1" x14ac:dyDescent="0.25">
      <c r="A60" s="119"/>
      <c r="B60" s="122"/>
    </row>
    <row r="61" spans="1:2" s="35" customFormat="1" ht="15" customHeight="1" x14ac:dyDescent="0.25">
      <c r="A61" s="119"/>
      <c r="B61" s="122"/>
    </row>
    <row r="62" spans="1:2" ht="15" customHeight="1" x14ac:dyDescent="0.25">
      <c r="A62" s="119"/>
      <c r="B62" s="122"/>
    </row>
    <row r="63" spans="1:2" ht="15" customHeight="1" x14ac:dyDescent="0.25">
      <c r="A63" s="119"/>
      <c r="B63" s="122"/>
    </row>
    <row r="64" spans="1:2" ht="15" customHeight="1" x14ac:dyDescent="0.25">
      <c r="A64" s="119"/>
      <c r="B64" s="122"/>
    </row>
    <row r="65" spans="1:2" ht="15" customHeight="1" x14ac:dyDescent="0.25">
      <c r="A65" s="119"/>
      <c r="B65" s="122"/>
    </row>
    <row r="66" spans="1:2" ht="15" customHeight="1" x14ac:dyDescent="0.25">
      <c r="A66" s="120"/>
      <c r="B66" s="123"/>
    </row>
    <row r="67" spans="1:2" s="35" customFormat="1" ht="15" customHeight="1" x14ac:dyDescent="0.25">
      <c r="A67" s="34"/>
      <c r="B67" s="7"/>
    </row>
    <row r="68" spans="1:2" ht="15" customHeight="1" x14ac:dyDescent="0.25">
      <c r="A68" s="117" t="s">
        <v>137</v>
      </c>
      <c r="B68" s="121" t="s">
        <v>140</v>
      </c>
    </row>
    <row r="69" spans="1:2" ht="15" customHeight="1" x14ac:dyDescent="0.25">
      <c r="A69" s="118"/>
      <c r="B69" s="122"/>
    </row>
    <row r="70" spans="1:2" ht="15" customHeight="1" x14ac:dyDescent="0.25">
      <c r="A70" s="118"/>
      <c r="B70" s="122"/>
    </row>
    <row r="71" spans="1:2" s="35" customFormat="1" ht="15" customHeight="1" x14ac:dyDescent="0.25">
      <c r="A71" s="119"/>
      <c r="B71" s="122"/>
    </row>
    <row r="72" spans="1:2" s="35" customFormat="1" ht="15" customHeight="1" x14ac:dyDescent="0.25">
      <c r="A72" s="119"/>
      <c r="B72" s="122"/>
    </row>
    <row r="73" spans="1:2" ht="15" customHeight="1" x14ac:dyDescent="0.25">
      <c r="A73" s="119"/>
      <c r="B73" s="122"/>
    </row>
    <row r="74" spans="1:2" ht="15" customHeight="1" x14ac:dyDescent="0.25">
      <c r="A74" s="119"/>
      <c r="B74" s="122"/>
    </row>
    <row r="75" spans="1:2" ht="15" customHeight="1" x14ac:dyDescent="0.25">
      <c r="A75" s="119"/>
      <c r="B75" s="122"/>
    </row>
    <row r="76" spans="1:2" ht="15" customHeight="1" x14ac:dyDescent="0.25">
      <c r="A76" s="119"/>
      <c r="B76" s="122"/>
    </row>
    <row r="77" spans="1:2" ht="15" customHeight="1" x14ac:dyDescent="0.25">
      <c r="A77" s="120"/>
      <c r="B77" s="123"/>
    </row>
    <row r="78" spans="1:2" s="35" customFormat="1" ht="18" customHeight="1" x14ac:dyDescent="0.25">
      <c r="A78" s="34"/>
      <c r="B78" s="40"/>
    </row>
    <row r="79" spans="1:2" ht="15" customHeight="1" x14ac:dyDescent="0.25">
      <c r="A79" s="117" t="s">
        <v>142</v>
      </c>
      <c r="B79" s="121" t="s">
        <v>141</v>
      </c>
    </row>
    <row r="80" spans="1:2" ht="15" customHeight="1" x14ac:dyDescent="0.25">
      <c r="A80" s="118"/>
      <c r="B80" s="122"/>
    </row>
    <row r="81" spans="1:2" ht="15" customHeight="1" x14ac:dyDescent="0.25">
      <c r="A81" s="118"/>
      <c r="B81" s="122"/>
    </row>
    <row r="82" spans="1:2" s="35" customFormat="1" ht="15" customHeight="1" x14ac:dyDescent="0.25">
      <c r="A82" s="119"/>
      <c r="B82" s="122"/>
    </row>
    <row r="83" spans="1:2" s="35" customFormat="1" ht="15" customHeight="1" x14ac:dyDescent="0.25">
      <c r="A83" s="119"/>
      <c r="B83" s="122"/>
    </row>
    <row r="84" spans="1:2" ht="15" customHeight="1" x14ac:dyDescent="0.25">
      <c r="A84" s="119"/>
      <c r="B84" s="122"/>
    </row>
    <row r="85" spans="1:2" ht="15" customHeight="1" x14ac:dyDescent="0.25">
      <c r="A85" s="119"/>
      <c r="B85" s="122"/>
    </row>
    <row r="86" spans="1:2" ht="15" customHeight="1" x14ac:dyDescent="0.25">
      <c r="A86" s="119"/>
      <c r="B86" s="122"/>
    </row>
    <row r="87" spans="1:2" ht="15" customHeight="1" x14ac:dyDescent="0.25">
      <c r="A87" s="119"/>
      <c r="B87" s="122"/>
    </row>
    <row r="88" spans="1:2" ht="15" customHeight="1" x14ac:dyDescent="0.25">
      <c r="A88" s="120"/>
      <c r="B88" s="123"/>
    </row>
    <row r="89" spans="1:2" s="35" customFormat="1" ht="18" customHeight="1" x14ac:dyDescent="0.25">
      <c r="A89" s="34"/>
      <c r="B89" s="40"/>
    </row>
    <row r="90" spans="1:2" ht="15" customHeight="1" x14ac:dyDescent="0.25">
      <c r="A90" s="117" t="s">
        <v>142</v>
      </c>
      <c r="B90" s="121" t="s">
        <v>143</v>
      </c>
    </row>
    <row r="91" spans="1:2" ht="15" customHeight="1" x14ac:dyDescent="0.25">
      <c r="A91" s="118"/>
      <c r="B91" s="122"/>
    </row>
    <row r="92" spans="1:2" ht="15" customHeight="1" x14ac:dyDescent="0.25">
      <c r="A92" s="118"/>
      <c r="B92" s="122"/>
    </row>
    <row r="93" spans="1:2" s="35" customFormat="1" ht="15" customHeight="1" x14ac:dyDescent="0.25">
      <c r="A93" s="119"/>
      <c r="B93" s="122"/>
    </row>
    <row r="94" spans="1:2" s="35" customFormat="1" ht="15" customHeight="1" x14ac:dyDescent="0.25">
      <c r="A94" s="119"/>
      <c r="B94" s="122"/>
    </row>
    <row r="95" spans="1:2" ht="15" customHeight="1" x14ac:dyDescent="0.25">
      <c r="A95" s="119"/>
      <c r="B95" s="122"/>
    </row>
    <row r="96" spans="1:2" ht="15" customHeight="1" x14ac:dyDescent="0.25">
      <c r="A96" s="119"/>
      <c r="B96" s="122"/>
    </row>
    <row r="97" spans="1:2" ht="15" customHeight="1" x14ac:dyDescent="0.25">
      <c r="A97" s="119"/>
      <c r="B97" s="122"/>
    </row>
    <row r="98" spans="1:2" ht="15" customHeight="1" x14ac:dyDescent="0.25">
      <c r="A98" s="119"/>
      <c r="B98" s="122"/>
    </row>
    <row r="99" spans="1:2" ht="15" customHeight="1" x14ac:dyDescent="0.25">
      <c r="A99" s="120"/>
      <c r="B99" s="123"/>
    </row>
    <row r="100" spans="1:2" s="35" customFormat="1" ht="18" customHeight="1" x14ac:dyDescent="0.25">
      <c r="A100" s="34"/>
      <c r="B100" s="40"/>
    </row>
    <row r="101" spans="1:2" ht="15" customHeight="1" x14ac:dyDescent="0.25">
      <c r="A101" s="117" t="s">
        <v>144</v>
      </c>
      <c r="B101" s="124"/>
    </row>
    <row r="102" spans="1:2" ht="15" customHeight="1" x14ac:dyDescent="0.25">
      <c r="A102" s="118"/>
      <c r="B102" s="122"/>
    </row>
    <row r="103" spans="1:2" ht="15" customHeight="1" x14ac:dyDescent="0.25">
      <c r="A103" s="118"/>
      <c r="B103" s="122"/>
    </row>
    <row r="104" spans="1:2" s="35" customFormat="1" ht="15" customHeight="1" x14ac:dyDescent="0.25">
      <c r="A104" s="119"/>
      <c r="B104" s="122"/>
    </row>
    <row r="105" spans="1:2" s="35" customFormat="1" ht="15" customHeight="1" x14ac:dyDescent="0.25">
      <c r="A105" s="119"/>
      <c r="B105" s="122"/>
    </row>
    <row r="106" spans="1:2" ht="15" customHeight="1" x14ac:dyDescent="0.25">
      <c r="A106" s="119"/>
      <c r="B106" s="122"/>
    </row>
    <row r="107" spans="1:2" ht="15" customHeight="1" x14ac:dyDescent="0.25">
      <c r="A107" s="119"/>
      <c r="B107" s="122"/>
    </row>
    <row r="108" spans="1:2" ht="15" customHeight="1" x14ac:dyDescent="0.25">
      <c r="A108" s="119"/>
      <c r="B108" s="122"/>
    </row>
    <row r="109" spans="1:2" ht="15" customHeight="1" x14ac:dyDescent="0.25">
      <c r="A109" s="119"/>
      <c r="B109" s="122"/>
    </row>
    <row r="110" spans="1:2" ht="15" customHeight="1" x14ac:dyDescent="0.25">
      <c r="A110" s="120"/>
      <c r="B110" s="123"/>
    </row>
    <row r="111" spans="1:2" s="35" customFormat="1" ht="18" customHeight="1" x14ac:dyDescent="0.25">
      <c r="A111" s="34"/>
      <c r="B111" s="40"/>
    </row>
    <row r="112" spans="1:2" ht="15" customHeight="1" x14ac:dyDescent="0.25">
      <c r="A112" s="117" t="s">
        <v>145</v>
      </c>
      <c r="B112" s="121" t="s">
        <v>146</v>
      </c>
    </row>
    <row r="113" spans="1:2" ht="15" customHeight="1" x14ac:dyDescent="0.25">
      <c r="A113" s="118"/>
      <c r="B113" s="122"/>
    </row>
    <row r="114" spans="1:2" ht="15" customHeight="1" x14ac:dyDescent="0.25">
      <c r="A114" s="118"/>
      <c r="B114" s="122"/>
    </row>
    <row r="115" spans="1:2" s="35" customFormat="1" ht="15" customHeight="1" x14ac:dyDescent="0.25">
      <c r="A115" s="119"/>
      <c r="B115" s="122"/>
    </row>
    <row r="116" spans="1:2" s="35" customFormat="1" ht="15" customHeight="1" x14ac:dyDescent="0.25">
      <c r="A116" s="119"/>
      <c r="B116" s="122"/>
    </row>
    <row r="117" spans="1:2" ht="15" customHeight="1" x14ac:dyDescent="0.25">
      <c r="A117" s="119"/>
      <c r="B117" s="122"/>
    </row>
    <row r="118" spans="1:2" ht="15" customHeight="1" x14ac:dyDescent="0.25">
      <c r="A118" s="119"/>
      <c r="B118" s="122"/>
    </row>
    <row r="119" spans="1:2" ht="15" customHeight="1" x14ac:dyDescent="0.25">
      <c r="A119" s="119"/>
      <c r="B119" s="122"/>
    </row>
    <row r="120" spans="1:2" ht="15" customHeight="1" x14ac:dyDescent="0.25">
      <c r="A120" s="119"/>
      <c r="B120" s="122"/>
    </row>
    <row r="121" spans="1:2" ht="15" customHeight="1" x14ac:dyDescent="0.25">
      <c r="A121" s="120"/>
      <c r="B121" s="123"/>
    </row>
    <row r="122" spans="1:2" s="35" customFormat="1" ht="18" customHeight="1" x14ac:dyDescent="0.25">
      <c r="A122" s="34"/>
      <c r="B122" s="40"/>
    </row>
    <row r="123" spans="1:2" ht="15" customHeight="1" x14ac:dyDescent="0.25">
      <c r="A123" s="117" t="s">
        <v>145</v>
      </c>
      <c r="B123" s="121" t="s">
        <v>147</v>
      </c>
    </row>
    <row r="124" spans="1:2" ht="15" customHeight="1" x14ac:dyDescent="0.25">
      <c r="A124" s="118"/>
      <c r="B124" s="122"/>
    </row>
    <row r="125" spans="1:2" ht="15" customHeight="1" x14ac:dyDescent="0.25">
      <c r="A125" s="118"/>
      <c r="B125" s="122"/>
    </row>
    <row r="126" spans="1:2" s="35" customFormat="1" ht="15" customHeight="1" x14ac:dyDescent="0.25">
      <c r="A126" s="119"/>
      <c r="B126" s="122"/>
    </row>
    <row r="127" spans="1:2" s="35" customFormat="1" ht="15" customHeight="1" x14ac:dyDescent="0.25">
      <c r="A127" s="119"/>
      <c r="B127" s="122"/>
    </row>
    <row r="128" spans="1:2" ht="15" customHeight="1" x14ac:dyDescent="0.25">
      <c r="A128" s="119"/>
      <c r="B128" s="122"/>
    </row>
    <row r="129" spans="1:2" ht="15" customHeight="1" x14ac:dyDescent="0.25">
      <c r="A129" s="119"/>
      <c r="B129" s="122"/>
    </row>
    <row r="130" spans="1:2" ht="15" customHeight="1" x14ac:dyDescent="0.25">
      <c r="A130" s="119"/>
      <c r="B130" s="122"/>
    </row>
    <row r="131" spans="1:2" ht="15" customHeight="1" x14ac:dyDescent="0.25">
      <c r="A131" s="119"/>
      <c r="B131" s="122"/>
    </row>
    <row r="132" spans="1:2" ht="15" customHeight="1" x14ac:dyDescent="0.25">
      <c r="A132" s="120"/>
      <c r="B132" s="123"/>
    </row>
    <row r="133" spans="1:2" s="35" customFormat="1" ht="18" customHeight="1" x14ac:dyDescent="0.25">
      <c r="A133" s="34"/>
      <c r="B133" s="40"/>
    </row>
    <row r="134" spans="1:2" ht="15" customHeight="1" x14ac:dyDescent="0.25">
      <c r="A134" s="117" t="s">
        <v>145</v>
      </c>
      <c r="B134" s="121" t="s">
        <v>148</v>
      </c>
    </row>
    <row r="135" spans="1:2" ht="15" customHeight="1" x14ac:dyDescent="0.25">
      <c r="A135" s="118"/>
      <c r="B135" s="122"/>
    </row>
    <row r="136" spans="1:2" ht="15" customHeight="1" x14ac:dyDescent="0.25">
      <c r="A136" s="118"/>
      <c r="B136" s="122"/>
    </row>
    <row r="137" spans="1:2" s="35" customFormat="1" ht="15" customHeight="1" x14ac:dyDescent="0.25">
      <c r="A137" s="119"/>
      <c r="B137" s="122"/>
    </row>
    <row r="138" spans="1:2" s="35" customFormat="1" ht="15" customHeight="1" x14ac:dyDescent="0.25">
      <c r="A138" s="119"/>
      <c r="B138" s="122"/>
    </row>
    <row r="139" spans="1:2" ht="15" customHeight="1" x14ac:dyDescent="0.25">
      <c r="A139" s="119"/>
      <c r="B139" s="122"/>
    </row>
    <row r="140" spans="1:2" ht="15" customHeight="1" x14ac:dyDescent="0.25">
      <c r="A140" s="119"/>
      <c r="B140" s="122"/>
    </row>
    <row r="141" spans="1:2" ht="15" customHeight="1" x14ac:dyDescent="0.25">
      <c r="A141" s="119"/>
      <c r="B141" s="122"/>
    </row>
    <row r="142" spans="1:2" ht="15" customHeight="1" x14ac:dyDescent="0.25">
      <c r="A142" s="119"/>
      <c r="B142" s="122"/>
    </row>
    <row r="143" spans="1:2" ht="15" customHeight="1" x14ac:dyDescent="0.25">
      <c r="A143" s="120"/>
      <c r="B143" s="123"/>
    </row>
    <row r="144" spans="1:2" s="35" customFormat="1" ht="18" customHeight="1" x14ac:dyDescent="0.25">
      <c r="A144" s="34"/>
      <c r="B144" s="40"/>
    </row>
    <row r="145" spans="1:2" ht="15" customHeight="1" x14ac:dyDescent="0.25">
      <c r="A145" s="117" t="s">
        <v>145</v>
      </c>
      <c r="B145" s="121" t="s">
        <v>149</v>
      </c>
    </row>
    <row r="146" spans="1:2" ht="15" customHeight="1" x14ac:dyDescent="0.25">
      <c r="A146" s="118"/>
      <c r="B146" s="122"/>
    </row>
    <row r="147" spans="1:2" ht="15" customHeight="1" x14ac:dyDescent="0.25">
      <c r="A147" s="118"/>
      <c r="B147" s="122"/>
    </row>
    <row r="148" spans="1:2" s="35" customFormat="1" ht="15" customHeight="1" x14ac:dyDescent="0.25">
      <c r="A148" s="119"/>
      <c r="B148" s="122"/>
    </row>
    <row r="149" spans="1:2" s="35" customFormat="1" ht="15" customHeight="1" x14ac:dyDescent="0.25">
      <c r="A149" s="119"/>
      <c r="B149" s="122"/>
    </row>
    <row r="150" spans="1:2" ht="15" customHeight="1" x14ac:dyDescent="0.25">
      <c r="A150" s="119"/>
      <c r="B150" s="122"/>
    </row>
    <row r="151" spans="1:2" ht="15" customHeight="1" x14ac:dyDescent="0.25">
      <c r="A151" s="119"/>
      <c r="B151" s="122"/>
    </row>
    <row r="152" spans="1:2" ht="15" customHeight="1" x14ac:dyDescent="0.25">
      <c r="A152" s="119"/>
      <c r="B152" s="122"/>
    </row>
    <row r="153" spans="1:2" ht="15" customHeight="1" x14ac:dyDescent="0.25">
      <c r="A153" s="119"/>
      <c r="B153" s="122"/>
    </row>
    <row r="154" spans="1:2" ht="15" customHeight="1" x14ac:dyDescent="0.25">
      <c r="A154" s="120"/>
      <c r="B154" s="123"/>
    </row>
    <row r="155" spans="1:2" s="35" customFormat="1" ht="18" customHeight="1" x14ac:dyDescent="0.25">
      <c r="A155" s="34"/>
      <c r="B155" s="40"/>
    </row>
    <row r="156" spans="1:2" ht="15" customHeight="1" x14ac:dyDescent="0.25">
      <c r="A156" s="117" t="s">
        <v>150</v>
      </c>
      <c r="B156" s="121" t="s">
        <v>151</v>
      </c>
    </row>
    <row r="157" spans="1:2" ht="15" customHeight="1" x14ac:dyDescent="0.25">
      <c r="A157" s="118"/>
      <c r="B157" s="122"/>
    </row>
    <row r="158" spans="1:2" ht="15" customHeight="1" x14ac:dyDescent="0.25">
      <c r="A158" s="118"/>
      <c r="B158" s="122"/>
    </row>
    <row r="159" spans="1:2" s="35" customFormat="1" ht="15" customHeight="1" x14ac:dyDescent="0.25">
      <c r="A159" s="119"/>
      <c r="B159" s="122"/>
    </row>
    <row r="160" spans="1:2" s="35" customFormat="1" ht="15" customHeight="1" x14ac:dyDescent="0.25">
      <c r="A160" s="119"/>
      <c r="B160" s="122"/>
    </row>
    <row r="161" spans="1:2" ht="15" customHeight="1" x14ac:dyDescent="0.25">
      <c r="A161" s="119"/>
      <c r="B161" s="122"/>
    </row>
    <row r="162" spans="1:2" ht="15" customHeight="1" x14ac:dyDescent="0.25">
      <c r="A162" s="119"/>
      <c r="B162" s="122"/>
    </row>
    <row r="163" spans="1:2" ht="15" customHeight="1" x14ac:dyDescent="0.25">
      <c r="A163" s="119"/>
      <c r="B163" s="122"/>
    </row>
    <row r="164" spans="1:2" ht="15" customHeight="1" x14ac:dyDescent="0.25">
      <c r="A164" s="119"/>
      <c r="B164" s="122"/>
    </row>
    <row r="165" spans="1:2" ht="15" customHeight="1" x14ac:dyDescent="0.25">
      <c r="A165" s="120"/>
      <c r="B165" s="123"/>
    </row>
    <row r="166" spans="1:2" s="35" customFormat="1" ht="18" customHeight="1" x14ac:dyDescent="0.25">
      <c r="A166" s="34"/>
      <c r="B166" s="40"/>
    </row>
    <row r="167" spans="1:2" ht="15" customHeight="1" x14ac:dyDescent="0.25">
      <c r="A167" s="117" t="s">
        <v>150</v>
      </c>
      <c r="B167" s="121" t="s">
        <v>152</v>
      </c>
    </row>
    <row r="168" spans="1:2" ht="15" customHeight="1" x14ac:dyDescent="0.25">
      <c r="A168" s="118"/>
      <c r="B168" s="122"/>
    </row>
    <row r="169" spans="1:2" ht="15" customHeight="1" x14ac:dyDescent="0.25">
      <c r="A169" s="118"/>
      <c r="B169" s="122"/>
    </row>
    <row r="170" spans="1:2" s="35" customFormat="1" ht="15" customHeight="1" x14ac:dyDescent="0.25">
      <c r="A170" s="119"/>
      <c r="B170" s="122"/>
    </row>
    <row r="171" spans="1:2" s="35" customFormat="1" ht="15" customHeight="1" x14ac:dyDescent="0.25">
      <c r="A171" s="119"/>
      <c r="B171" s="122"/>
    </row>
    <row r="172" spans="1:2" ht="15" customHeight="1" x14ac:dyDescent="0.25">
      <c r="A172" s="119"/>
      <c r="B172" s="122"/>
    </row>
    <row r="173" spans="1:2" ht="15" customHeight="1" x14ac:dyDescent="0.25">
      <c r="A173" s="119"/>
      <c r="B173" s="122"/>
    </row>
    <row r="174" spans="1:2" ht="15" customHeight="1" x14ac:dyDescent="0.25">
      <c r="A174" s="119"/>
      <c r="B174" s="122"/>
    </row>
    <row r="175" spans="1:2" ht="15" customHeight="1" x14ac:dyDescent="0.25">
      <c r="A175" s="119"/>
      <c r="B175" s="122"/>
    </row>
    <row r="176" spans="1:2" ht="15" customHeight="1" x14ac:dyDescent="0.25">
      <c r="A176" s="120"/>
      <c r="B176" s="123"/>
    </row>
    <row r="177" spans="1:2" ht="21" customHeight="1" x14ac:dyDescent="0.25"/>
    <row r="178" spans="1:2" ht="21" customHeight="1" x14ac:dyDescent="0.25"/>
    <row r="179" spans="1:2" ht="21" customHeight="1" x14ac:dyDescent="0.25"/>
    <row r="180" spans="1:2" ht="21" customHeight="1" x14ac:dyDescent="0.25"/>
    <row r="181" spans="1:2" ht="21" customHeight="1" x14ac:dyDescent="0.25"/>
    <row r="182" spans="1:2" ht="21" customHeight="1" x14ac:dyDescent="0.25"/>
    <row r="183" spans="1:2" ht="21" customHeight="1" x14ac:dyDescent="0.25"/>
    <row r="184" spans="1:2" ht="21" customHeight="1" x14ac:dyDescent="0.25"/>
    <row r="185" spans="1:2" ht="21" customHeight="1" x14ac:dyDescent="0.25"/>
    <row r="186" spans="1:2" ht="21" customHeight="1" x14ac:dyDescent="0.25"/>
    <row r="187" spans="1:2" ht="21" customHeight="1" x14ac:dyDescent="0.25">
      <c r="A187"/>
      <c r="B187"/>
    </row>
    <row r="188" spans="1:2" ht="21" customHeight="1" x14ac:dyDescent="0.25">
      <c r="A188"/>
      <c r="B188"/>
    </row>
    <row r="189" spans="1:2" ht="21" customHeight="1" x14ac:dyDescent="0.25">
      <c r="A189"/>
      <c r="B189"/>
    </row>
    <row r="190" spans="1:2" ht="21" customHeight="1" x14ac:dyDescent="0.25">
      <c r="A190"/>
      <c r="B190"/>
    </row>
    <row r="191" spans="1:2" ht="21" customHeight="1" x14ac:dyDescent="0.25">
      <c r="A191"/>
      <c r="B191"/>
    </row>
    <row r="192" spans="1:2" ht="21" customHeight="1" x14ac:dyDescent="0.25">
      <c r="A192"/>
      <c r="B192"/>
    </row>
    <row r="193" spans="1:2" ht="21" customHeight="1" x14ac:dyDescent="0.25">
      <c r="A193"/>
      <c r="B193"/>
    </row>
    <row r="194" spans="1:2" ht="21" customHeight="1" x14ac:dyDescent="0.25">
      <c r="A194"/>
      <c r="B194"/>
    </row>
    <row r="195" spans="1:2" ht="21" customHeight="1" x14ac:dyDescent="0.25">
      <c r="A195"/>
      <c r="B195"/>
    </row>
    <row r="196" spans="1:2" ht="21" customHeight="1" x14ac:dyDescent="0.25">
      <c r="A196"/>
      <c r="B196"/>
    </row>
    <row r="197" spans="1:2" ht="21" customHeight="1" x14ac:dyDescent="0.25">
      <c r="A197"/>
      <c r="B197"/>
    </row>
    <row r="198" spans="1:2" ht="21" customHeight="1" x14ac:dyDescent="0.25">
      <c r="A198"/>
      <c r="B198"/>
    </row>
    <row r="199" spans="1:2" ht="21" customHeight="1" x14ac:dyDescent="0.25">
      <c r="A199"/>
      <c r="B199"/>
    </row>
    <row r="200" spans="1:2" ht="21" customHeight="1" x14ac:dyDescent="0.25">
      <c r="A200"/>
      <c r="B200"/>
    </row>
    <row r="201" spans="1:2" ht="21" customHeight="1" x14ac:dyDescent="0.25">
      <c r="A201"/>
      <c r="B201"/>
    </row>
    <row r="202" spans="1:2" ht="21" customHeight="1" x14ac:dyDescent="0.25">
      <c r="A202"/>
      <c r="B202"/>
    </row>
    <row r="203" spans="1:2" ht="21" customHeight="1" x14ac:dyDescent="0.25">
      <c r="A203"/>
      <c r="B203"/>
    </row>
    <row r="204" spans="1:2" ht="21" customHeight="1" x14ac:dyDescent="0.25">
      <c r="A204"/>
      <c r="B204"/>
    </row>
    <row r="205" spans="1:2" ht="21" customHeight="1" x14ac:dyDescent="0.25">
      <c r="A205"/>
      <c r="B205"/>
    </row>
    <row r="206" spans="1:2" ht="21" customHeight="1" x14ac:dyDescent="0.25">
      <c r="A206"/>
      <c r="B206"/>
    </row>
    <row r="207" spans="1:2" ht="21" customHeight="1" x14ac:dyDescent="0.25">
      <c r="A207"/>
      <c r="B207"/>
    </row>
    <row r="208" spans="1:2" ht="21" customHeight="1" x14ac:dyDescent="0.25">
      <c r="A208"/>
      <c r="B208"/>
    </row>
    <row r="209" spans="1:2" ht="21" customHeight="1" x14ac:dyDescent="0.25">
      <c r="A209"/>
      <c r="B209"/>
    </row>
    <row r="210" spans="1:2" ht="21" customHeight="1" x14ac:dyDescent="0.25">
      <c r="A210"/>
      <c r="B210"/>
    </row>
    <row r="211" spans="1:2" ht="21" customHeight="1" x14ac:dyDescent="0.25">
      <c r="A211"/>
      <c r="B211"/>
    </row>
    <row r="212" spans="1:2" ht="21" customHeight="1" x14ac:dyDescent="0.25">
      <c r="A212"/>
      <c r="B212"/>
    </row>
    <row r="213" spans="1:2" ht="21" customHeight="1" x14ac:dyDescent="0.25">
      <c r="A213"/>
      <c r="B213"/>
    </row>
    <row r="214" spans="1:2" ht="21" customHeight="1" x14ac:dyDescent="0.25">
      <c r="A214"/>
      <c r="B214"/>
    </row>
    <row r="215" spans="1:2" ht="21" customHeight="1" x14ac:dyDescent="0.25">
      <c r="A215"/>
      <c r="B215"/>
    </row>
    <row r="216" spans="1:2" ht="21" customHeight="1" x14ac:dyDescent="0.25">
      <c r="A216"/>
      <c r="B216"/>
    </row>
    <row r="217" spans="1:2" ht="21" customHeight="1" x14ac:dyDescent="0.25">
      <c r="A217"/>
      <c r="B217"/>
    </row>
    <row r="218" spans="1:2" ht="21" customHeight="1" x14ac:dyDescent="0.25">
      <c r="A218"/>
      <c r="B218"/>
    </row>
    <row r="219" spans="1:2" ht="21" customHeight="1" x14ac:dyDescent="0.25">
      <c r="A219"/>
      <c r="B219"/>
    </row>
    <row r="220" spans="1:2" ht="21" customHeight="1" x14ac:dyDescent="0.25">
      <c r="A220"/>
      <c r="B220"/>
    </row>
    <row r="221" spans="1:2" ht="21" customHeight="1" x14ac:dyDescent="0.25">
      <c r="A221"/>
      <c r="B221"/>
    </row>
    <row r="222" spans="1:2" ht="21" customHeight="1" x14ac:dyDescent="0.25">
      <c r="A222"/>
      <c r="B222"/>
    </row>
    <row r="223" spans="1:2" ht="21" customHeight="1" x14ac:dyDescent="0.25">
      <c r="A223"/>
      <c r="B223"/>
    </row>
    <row r="224" spans="1:2" ht="21" customHeight="1" x14ac:dyDescent="0.25">
      <c r="A224"/>
      <c r="B224"/>
    </row>
    <row r="225" spans="1:2" ht="21" customHeight="1" x14ac:dyDescent="0.25">
      <c r="A225"/>
      <c r="B225"/>
    </row>
    <row r="226" spans="1:2" ht="21" customHeight="1" x14ac:dyDescent="0.25">
      <c r="A226"/>
      <c r="B226"/>
    </row>
    <row r="227" spans="1:2" ht="21" customHeight="1" x14ac:dyDescent="0.25">
      <c r="A227"/>
      <c r="B227"/>
    </row>
    <row r="228" spans="1:2" ht="21" customHeight="1" x14ac:dyDescent="0.25">
      <c r="A228"/>
      <c r="B228"/>
    </row>
    <row r="229" spans="1:2" ht="21" customHeight="1" x14ac:dyDescent="0.25">
      <c r="A229"/>
      <c r="B229"/>
    </row>
    <row r="230" spans="1:2" ht="21" customHeight="1" x14ac:dyDescent="0.25">
      <c r="A230"/>
      <c r="B230"/>
    </row>
    <row r="231" spans="1:2" ht="21" customHeight="1" x14ac:dyDescent="0.25">
      <c r="A231"/>
      <c r="B231"/>
    </row>
    <row r="232" spans="1:2" ht="21" customHeight="1" x14ac:dyDescent="0.25">
      <c r="A232"/>
      <c r="B232"/>
    </row>
    <row r="233" spans="1:2" ht="21" customHeight="1" x14ac:dyDescent="0.25">
      <c r="A233"/>
      <c r="B233"/>
    </row>
    <row r="234" spans="1:2" ht="21" customHeight="1" x14ac:dyDescent="0.25">
      <c r="A234"/>
      <c r="B234"/>
    </row>
    <row r="235" spans="1:2" ht="21" customHeight="1" x14ac:dyDescent="0.25">
      <c r="A235"/>
      <c r="B235"/>
    </row>
    <row r="236" spans="1:2" ht="21" customHeight="1" x14ac:dyDescent="0.25">
      <c r="A236"/>
      <c r="B236"/>
    </row>
    <row r="237" spans="1:2" ht="21" customHeight="1" x14ac:dyDescent="0.25">
      <c r="A237"/>
      <c r="B237"/>
    </row>
    <row r="238" spans="1:2" ht="21" customHeight="1" x14ac:dyDescent="0.25">
      <c r="A238"/>
      <c r="B238"/>
    </row>
    <row r="239" spans="1:2" ht="21" customHeight="1" x14ac:dyDescent="0.25">
      <c r="A239"/>
      <c r="B239"/>
    </row>
    <row r="240" spans="1:2" ht="21" customHeight="1" x14ac:dyDescent="0.25">
      <c r="A240"/>
      <c r="B240"/>
    </row>
    <row r="241" spans="1:2" ht="21" customHeight="1" x14ac:dyDescent="0.25">
      <c r="A241"/>
      <c r="B241"/>
    </row>
    <row r="242" spans="1:2" ht="21" customHeight="1" x14ac:dyDescent="0.25">
      <c r="A242"/>
      <c r="B242"/>
    </row>
    <row r="243" spans="1:2" ht="21" customHeight="1" x14ac:dyDescent="0.25">
      <c r="A243"/>
      <c r="B243"/>
    </row>
    <row r="244" spans="1:2" ht="21" customHeight="1" x14ac:dyDescent="0.25">
      <c r="A244"/>
      <c r="B244"/>
    </row>
    <row r="245" spans="1:2" ht="21" customHeight="1" x14ac:dyDescent="0.25">
      <c r="A245"/>
      <c r="B245"/>
    </row>
    <row r="246" spans="1:2" ht="21" customHeight="1" x14ac:dyDescent="0.25">
      <c r="A246"/>
      <c r="B246"/>
    </row>
    <row r="247" spans="1:2" ht="21" customHeight="1" x14ac:dyDescent="0.25">
      <c r="A247"/>
      <c r="B247"/>
    </row>
    <row r="248" spans="1:2" ht="21" customHeight="1" x14ac:dyDescent="0.25">
      <c r="A248"/>
      <c r="B248"/>
    </row>
    <row r="249" spans="1:2" ht="21" customHeight="1" x14ac:dyDescent="0.25">
      <c r="A249"/>
      <c r="B249"/>
    </row>
    <row r="250" spans="1:2" ht="21" customHeight="1" x14ac:dyDescent="0.25">
      <c r="A250"/>
      <c r="B250"/>
    </row>
    <row r="251" spans="1:2" ht="21" customHeight="1" x14ac:dyDescent="0.25">
      <c r="A251"/>
      <c r="B251"/>
    </row>
    <row r="252" spans="1:2" ht="21" customHeight="1" x14ac:dyDescent="0.25">
      <c r="A252"/>
      <c r="B252"/>
    </row>
    <row r="253" spans="1:2" ht="21" customHeight="1" x14ac:dyDescent="0.25">
      <c r="A253"/>
      <c r="B253"/>
    </row>
    <row r="254" spans="1:2" ht="21" customHeight="1" x14ac:dyDescent="0.25">
      <c r="A254"/>
      <c r="B254"/>
    </row>
    <row r="255" spans="1:2" ht="21" customHeight="1" x14ac:dyDescent="0.25">
      <c r="A255"/>
      <c r="B255"/>
    </row>
    <row r="256" spans="1:2" ht="21" customHeight="1" x14ac:dyDescent="0.25">
      <c r="A256"/>
      <c r="B256"/>
    </row>
    <row r="257" spans="1:2" ht="21" customHeight="1" x14ac:dyDescent="0.25">
      <c r="A257"/>
      <c r="B257"/>
    </row>
    <row r="258" spans="1:2" ht="21" customHeight="1" x14ac:dyDescent="0.25">
      <c r="A258"/>
      <c r="B258"/>
    </row>
    <row r="259" spans="1:2" ht="21" customHeight="1" x14ac:dyDescent="0.25">
      <c r="A259"/>
      <c r="B259"/>
    </row>
    <row r="260" spans="1:2" ht="21" customHeight="1" x14ac:dyDescent="0.25">
      <c r="A260"/>
      <c r="B260"/>
    </row>
    <row r="261" spans="1:2" ht="21" customHeight="1" x14ac:dyDescent="0.25">
      <c r="A261"/>
      <c r="B261"/>
    </row>
    <row r="262" spans="1:2" ht="21" customHeight="1" x14ac:dyDescent="0.25">
      <c r="A262"/>
      <c r="B262"/>
    </row>
    <row r="263" spans="1:2" ht="21" customHeight="1" x14ac:dyDescent="0.25">
      <c r="A263"/>
      <c r="B263"/>
    </row>
    <row r="264" spans="1:2" ht="21" customHeight="1" x14ac:dyDescent="0.25">
      <c r="A264"/>
      <c r="B264"/>
    </row>
    <row r="265" spans="1:2" ht="21" customHeight="1" x14ac:dyDescent="0.25">
      <c r="A265"/>
      <c r="B265"/>
    </row>
    <row r="266" spans="1:2" ht="21" customHeight="1" x14ac:dyDescent="0.25">
      <c r="A266"/>
      <c r="B266"/>
    </row>
    <row r="267" spans="1:2" ht="21" customHeight="1" x14ac:dyDescent="0.25">
      <c r="A267"/>
      <c r="B267"/>
    </row>
    <row r="268" spans="1:2" ht="21" customHeight="1" x14ac:dyDescent="0.25">
      <c r="A268"/>
      <c r="B268"/>
    </row>
    <row r="269" spans="1:2" ht="21" customHeight="1" x14ac:dyDescent="0.25">
      <c r="A269"/>
      <c r="B269"/>
    </row>
    <row r="270" spans="1:2" ht="21" customHeight="1" x14ac:dyDescent="0.25">
      <c r="A270"/>
      <c r="B270"/>
    </row>
    <row r="271" spans="1:2" ht="21" customHeight="1" x14ac:dyDescent="0.25">
      <c r="A271"/>
      <c r="B271"/>
    </row>
    <row r="272" spans="1:2" ht="21" customHeight="1" x14ac:dyDescent="0.25">
      <c r="A272"/>
      <c r="B272"/>
    </row>
    <row r="273" spans="1:2" ht="21" customHeight="1" x14ac:dyDescent="0.25">
      <c r="A273"/>
      <c r="B273"/>
    </row>
    <row r="274" spans="1:2" ht="21" customHeight="1" x14ac:dyDescent="0.25">
      <c r="A274"/>
      <c r="B274"/>
    </row>
    <row r="275" spans="1:2" ht="21" customHeight="1" x14ac:dyDescent="0.25">
      <c r="A275"/>
      <c r="B275"/>
    </row>
    <row r="276" spans="1:2" ht="21" customHeight="1" x14ac:dyDescent="0.25">
      <c r="A276"/>
      <c r="B276"/>
    </row>
    <row r="277" spans="1:2" ht="21" customHeight="1" x14ac:dyDescent="0.25">
      <c r="A277"/>
      <c r="B277"/>
    </row>
    <row r="278" spans="1:2" ht="21" customHeight="1" x14ac:dyDescent="0.25">
      <c r="A278"/>
      <c r="B278"/>
    </row>
    <row r="279" spans="1:2" ht="21" customHeight="1" x14ac:dyDescent="0.25">
      <c r="A279"/>
      <c r="B279"/>
    </row>
    <row r="280" spans="1:2" ht="21" customHeight="1" x14ac:dyDescent="0.25">
      <c r="A280"/>
      <c r="B280"/>
    </row>
    <row r="281" spans="1:2" ht="21" customHeight="1" x14ac:dyDescent="0.25">
      <c r="A281"/>
      <c r="B281"/>
    </row>
    <row r="282" spans="1:2" ht="21" customHeight="1" x14ac:dyDescent="0.25">
      <c r="A282"/>
      <c r="B282"/>
    </row>
    <row r="283" spans="1:2" ht="21" customHeight="1" x14ac:dyDescent="0.25">
      <c r="A283"/>
      <c r="B283"/>
    </row>
    <row r="284" spans="1:2" ht="21" customHeight="1" x14ac:dyDescent="0.25">
      <c r="A284"/>
      <c r="B284"/>
    </row>
    <row r="285" spans="1:2" ht="21" customHeight="1" x14ac:dyDescent="0.25">
      <c r="A285"/>
      <c r="B285"/>
    </row>
    <row r="286" spans="1:2" ht="21" customHeight="1" x14ac:dyDescent="0.25">
      <c r="A286"/>
      <c r="B286"/>
    </row>
    <row r="287" spans="1:2" ht="21" customHeight="1" x14ac:dyDescent="0.25">
      <c r="A287"/>
      <c r="B287"/>
    </row>
    <row r="288" spans="1:2" ht="21" customHeight="1" x14ac:dyDescent="0.25">
      <c r="A288"/>
      <c r="B288"/>
    </row>
    <row r="289" spans="1:2" ht="21" customHeight="1" x14ac:dyDescent="0.25">
      <c r="A289"/>
      <c r="B289"/>
    </row>
    <row r="290" spans="1:2" ht="21" customHeight="1" x14ac:dyDescent="0.25">
      <c r="A290"/>
      <c r="B290"/>
    </row>
    <row r="291" spans="1:2" ht="21" customHeight="1" x14ac:dyDescent="0.25">
      <c r="A291"/>
      <c r="B291"/>
    </row>
    <row r="292" spans="1:2" ht="21" customHeight="1" x14ac:dyDescent="0.25">
      <c r="A292"/>
      <c r="B292"/>
    </row>
    <row r="293" spans="1:2" ht="21" customHeight="1" x14ac:dyDescent="0.25">
      <c r="A293"/>
      <c r="B293"/>
    </row>
    <row r="294" spans="1:2" ht="21" customHeight="1" x14ac:dyDescent="0.25">
      <c r="A294"/>
      <c r="B294"/>
    </row>
    <row r="295" spans="1:2" ht="21" customHeight="1" x14ac:dyDescent="0.25">
      <c r="A295"/>
      <c r="B295"/>
    </row>
    <row r="296" spans="1:2" ht="21" customHeight="1" x14ac:dyDescent="0.25">
      <c r="A296"/>
      <c r="B296"/>
    </row>
    <row r="297" spans="1:2" ht="21" customHeight="1" x14ac:dyDescent="0.25">
      <c r="A297"/>
      <c r="B297"/>
    </row>
    <row r="298" spans="1:2" ht="21" customHeight="1" x14ac:dyDescent="0.25">
      <c r="A298"/>
      <c r="B298"/>
    </row>
    <row r="299" spans="1:2" ht="21" customHeight="1" x14ac:dyDescent="0.25">
      <c r="A299"/>
      <c r="B299"/>
    </row>
    <row r="300" spans="1:2" ht="21" customHeight="1" x14ac:dyDescent="0.25">
      <c r="A300"/>
      <c r="B300"/>
    </row>
    <row r="301" spans="1:2" ht="21" customHeight="1" x14ac:dyDescent="0.25">
      <c r="A301"/>
      <c r="B301"/>
    </row>
    <row r="302" spans="1:2" ht="21" customHeight="1" x14ac:dyDescent="0.25">
      <c r="A302"/>
      <c r="B302"/>
    </row>
    <row r="303" spans="1:2" ht="21" customHeight="1" x14ac:dyDescent="0.25">
      <c r="A303"/>
      <c r="B303"/>
    </row>
    <row r="304" spans="1:2" ht="21" customHeight="1" x14ac:dyDescent="0.25">
      <c r="A304"/>
      <c r="B304"/>
    </row>
    <row r="305" spans="1:2" ht="21" customHeight="1" x14ac:dyDescent="0.25">
      <c r="A305"/>
      <c r="B305"/>
    </row>
    <row r="306" spans="1:2" ht="21" customHeight="1" x14ac:dyDescent="0.25">
      <c r="A306"/>
      <c r="B306"/>
    </row>
    <row r="307" spans="1:2" ht="21" customHeight="1" x14ac:dyDescent="0.25">
      <c r="A307"/>
      <c r="B307"/>
    </row>
    <row r="308" spans="1:2" ht="21" customHeight="1" x14ac:dyDescent="0.25">
      <c r="A308"/>
      <c r="B308"/>
    </row>
    <row r="309" spans="1:2" ht="21" customHeight="1" x14ac:dyDescent="0.25">
      <c r="A309"/>
      <c r="B309"/>
    </row>
    <row r="310" spans="1:2" ht="21" customHeight="1" x14ac:dyDescent="0.25">
      <c r="A310"/>
      <c r="B310"/>
    </row>
    <row r="311" spans="1:2" ht="21" customHeight="1" x14ac:dyDescent="0.25">
      <c r="A311"/>
      <c r="B311"/>
    </row>
    <row r="312" spans="1:2" ht="21" customHeight="1" x14ac:dyDescent="0.25">
      <c r="A312"/>
      <c r="B312"/>
    </row>
    <row r="313" spans="1:2" ht="21" customHeight="1" x14ac:dyDescent="0.25">
      <c r="A313"/>
      <c r="B313"/>
    </row>
    <row r="314" spans="1:2" ht="21" customHeight="1" x14ac:dyDescent="0.25">
      <c r="A314"/>
      <c r="B314"/>
    </row>
    <row r="315" spans="1:2" ht="21" customHeight="1" x14ac:dyDescent="0.25">
      <c r="A315"/>
      <c r="B315"/>
    </row>
    <row r="316" spans="1:2" ht="21" customHeight="1" x14ac:dyDescent="0.25">
      <c r="A316"/>
      <c r="B316"/>
    </row>
    <row r="317" spans="1:2" ht="21" customHeight="1" x14ac:dyDescent="0.25">
      <c r="A317"/>
      <c r="B317"/>
    </row>
    <row r="318" spans="1:2" ht="21" customHeight="1" x14ac:dyDescent="0.25">
      <c r="A318"/>
      <c r="B318"/>
    </row>
    <row r="319" spans="1:2" ht="21" customHeight="1" x14ac:dyDescent="0.25">
      <c r="A319"/>
      <c r="B319"/>
    </row>
    <row r="320" spans="1:2" ht="21" customHeight="1" x14ac:dyDescent="0.25">
      <c r="A320"/>
      <c r="B320"/>
    </row>
    <row r="321" spans="1:2" ht="21" customHeight="1" x14ac:dyDescent="0.25">
      <c r="A321"/>
      <c r="B321"/>
    </row>
    <row r="322" spans="1:2" ht="21" customHeight="1" x14ac:dyDescent="0.25">
      <c r="A322"/>
      <c r="B322"/>
    </row>
    <row r="323" spans="1:2" ht="21" customHeight="1" x14ac:dyDescent="0.25">
      <c r="A323"/>
      <c r="B323"/>
    </row>
    <row r="324" spans="1:2" ht="21" customHeight="1" x14ac:dyDescent="0.25">
      <c r="A324"/>
      <c r="B324"/>
    </row>
    <row r="325" spans="1:2" ht="21" customHeight="1" x14ac:dyDescent="0.25">
      <c r="A325"/>
      <c r="B325"/>
    </row>
    <row r="326" spans="1:2" ht="21" customHeight="1" x14ac:dyDescent="0.25">
      <c r="A326"/>
      <c r="B326"/>
    </row>
    <row r="327" spans="1:2" ht="21" customHeight="1" x14ac:dyDescent="0.25">
      <c r="A327"/>
      <c r="B327"/>
    </row>
    <row r="328" spans="1:2" ht="21" customHeight="1" x14ac:dyDescent="0.25">
      <c r="A328"/>
      <c r="B328"/>
    </row>
    <row r="329" spans="1:2" ht="21" customHeight="1" x14ac:dyDescent="0.25">
      <c r="A329"/>
      <c r="B329"/>
    </row>
    <row r="330" spans="1:2" ht="21" customHeight="1" x14ac:dyDescent="0.25">
      <c r="A330"/>
      <c r="B330"/>
    </row>
    <row r="331" spans="1:2" ht="21" customHeight="1" x14ac:dyDescent="0.25">
      <c r="A331"/>
      <c r="B331"/>
    </row>
    <row r="332" spans="1:2" ht="21" customHeight="1" x14ac:dyDescent="0.25">
      <c r="A332"/>
      <c r="B332"/>
    </row>
    <row r="333" spans="1:2" ht="21" customHeight="1" x14ac:dyDescent="0.25">
      <c r="A333"/>
      <c r="B333"/>
    </row>
    <row r="334" spans="1:2" ht="21" customHeight="1" x14ac:dyDescent="0.25">
      <c r="A334"/>
      <c r="B334"/>
    </row>
    <row r="335" spans="1:2" ht="21" customHeight="1" x14ac:dyDescent="0.25">
      <c r="A335"/>
      <c r="B335"/>
    </row>
    <row r="336" spans="1:2" ht="21" customHeight="1" x14ac:dyDescent="0.25">
      <c r="A336"/>
      <c r="B336"/>
    </row>
    <row r="337" spans="1:2" ht="21" customHeight="1" x14ac:dyDescent="0.25">
      <c r="A337"/>
      <c r="B337"/>
    </row>
    <row r="338" spans="1:2" ht="21" customHeight="1" x14ac:dyDescent="0.25">
      <c r="A338"/>
      <c r="B338"/>
    </row>
    <row r="339" spans="1:2" ht="21" customHeight="1" x14ac:dyDescent="0.25">
      <c r="A339"/>
      <c r="B339"/>
    </row>
    <row r="340" spans="1:2" ht="21" customHeight="1" x14ac:dyDescent="0.25">
      <c r="A340"/>
      <c r="B340"/>
    </row>
    <row r="341" spans="1:2" ht="21" customHeight="1" x14ac:dyDescent="0.25">
      <c r="A341"/>
      <c r="B341"/>
    </row>
    <row r="342" spans="1:2" ht="21" customHeight="1" x14ac:dyDescent="0.25">
      <c r="A342"/>
      <c r="B342"/>
    </row>
    <row r="343" spans="1:2" ht="21" customHeight="1" x14ac:dyDescent="0.25">
      <c r="A343"/>
      <c r="B343"/>
    </row>
    <row r="344" spans="1:2" ht="21" customHeight="1" x14ac:dyDescent="0.25">
      <c r="A344"/>
      <c r="B344"/>
    </row>
    <row r="345" spans="1:2" ht="21" customHeight="1" x14ac:dyDescent="0.25">
      <c r="A345"/>
      <c r="B345"/>
    </row>
    <row r="346" spans="1:2" ht="21" customHeight="1" x14ac:dyDescent="0.25">
      <c r="A346"/>
      <c r="B346"/>
    </row>
  </sheetData>
  <mergeCells count="33">
    <mergeCell ref="A35:A44"/>
    <mergeCell ref="B35:B44"/>
    <mergeCell ref="B46:B55"/>
    <mergeCell ref="A46:A55"/>
    <mergeCell ref="A57:A66"/>
    <mergeCell ref="B57:B66"/>
    <mergeCell ref="B2:B7"/>
    <mergeCell ref="B9:B15"/>
    <mergeCell ref="B17:B25"/>
    <mergeCell ref="A27:A33"/>
    <mergeCell ref="B27:B33"/>
    <mergeCell ref="A2:A7"/>
    <mergeCell ref="A9:A15"/>
    <mergeCell ref="A17:A25"/>
    <mergeCell ref="A68:A77"/>
    <mergeCell ref="B68:B77"/>
    <mergeCell ref="A79:A88"/>
    <mergeCell ref="B79:B88"/>
    <mergeCell ref="B156:B165"/>
    <mergeCell ref="A167:A176"/>
    <mergeCell ref="B167:B176"/>
    <mergeCell ref="A90:A99"/>
    <mergeCell ref="B90:B99"/>
    <mergeCell ref="A112:A121"/>
    <mergeCell ref="B112:B121"/>
    <mergeCell ref="A101:B110"/>
    <mergeCell ref="A123:A132"/>
    <mergeCell ref="B123:B132"/>
    <mergeCell ref="A134:A143"/>
    <mergeCell ref="B134:B143"/>
    <mergeCell ref="A145:A154"/>
    <mergeCell ref="B145:B154"/>
    <mergeCell ref="A156:A165"/>
  </mergeCells>
  <printOptions horizontalCentered="1"/>
  <pageMargins left="0.25" right="0.25" top="0.75" bottom="0.75" header="0.3" footer="0.3"/>
  <pageSetup paperSize="8" scale="48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workbookViewId="0">
      <selection sqref="A1:B1"/>
    </sheetView>
  </sheetViews>
  <sheetFormatPr defaultRowHeight="15" x14ac:dyDescent="0.25"/>
  <cols>
    <col min="1" max="2" width="10.7109375" customWidth="1"/>
    <col min="3" max="3" width="2.5703125" customWidth="1"/>
    <col min="4" max="5" width="10.7109375" customWidth="1"/>
  </cols>
  <sheetData>
    <row r="1" spans="1:5" x14ac:dyDescent="0.25">
      <c r="A1" s="94" t="s">
        <v>3</v>
      </c>
      <c r="B1" s="94"/>
      <c r="D1" s="94" t="s">
        <v>8</v>
      </c>
      <c r="E1" s="94"/>
    </row>
    <row r="2" spans="1:5" x14ac:dyDescent="0.25">
      <c r="A2" s="131" t="s">
        <v>6</v>
      </c>
      <c r="B2" s="131"/>
      <c r="D2" s="131" t="s">
        <v>6</v>
      </c>
      <c r="E2" s="131"/>
    </row>
    <row r="3" spans="1:5" x14ac:dyDescent="0.25">
      <c r="A3" s="1">
        <v>12.5</v>
      </c>
      <c r="B3" t="s">
        <v>5</v>
      </c>
      <c r="D3" s="4">
        <v>12.5</v>
      </c>
      <c r="E3" t="s">
        <v>5</v>
      </c>
    </row>
    <row r="4" spans="1:5" x14ac:dyDescent="0.25">
      <c r="A4" s="2">
        <f>A3/1000*60*60*24*365</f>
        <v>394200</v>
      </c>
      <c r="B4" t="s">
        <v>4</v>
      </c>
      <c r="D4" s="2">
        <f>D3/1000*60*60*24*365</f>
        <v>394200</v>
      </c>
      <c r="E4" t="s">
        <v>4</v>
      </c>
    </row>
    <row r="6" spans="1:5" x14ac:dyDescent="0.25">
      <c r="A6" s="131" t="s">
        <v>7</v>
      </c>
      <c r="B6" s="131"/>
      <c r="D6" s="131" t="s">
        <v>7</v>
      </c>
      <c r="E6" s="131"/>
    </row>
    <row r="7" spans="1:5" x14ac:dyDescent="0.25">
      <c r="A7" s="3">
        <f>A3*0.8</f>
        <v>10</v>
      </c>
      <c r="B7" t="s">
        <v>5</v>
      </c>
      <c r="D7" s="3">
        <f>D3*0.8</f>
        <v>10</v>
      </c>
      <c r="E7" t="s">
        <v>5</v>
      </c>
    </row>
    <row r="8" spans="1:5" x14ac:dyDescent="0.25">
      <c r="A8" s="2">
        <f>A7/1000*60*60*24*365</f>
        <v>315360</v>
      </c>
      <c r="B8" t="s">
        <v>4</v>
      </c>
      <c r="D8" s="2">
        <f>D7/1000*60*60*24*365</f>
        <v>315360</v>
      </c>
      <c r="E8" t="s">
        <v>4</v>
      </c>
    </row>
  </sheetData>
  <mergeCells count="6">
    <mergeCell ref="A1:B1"/>
    <mergeCell ref="A2:B2"/>
    <mergeCell ref="A6:B6"/>
    <mergeCell ref="D1:E1"/>
    <mergeCell ref="D2:E2"/>
    <mergeCell ref="D6:E6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96"/>
  <sheetViews>
    <sheetView topLeftCell="A76" zoomScaleNormal="100" workbookViewId="0">
      <selection activeCell="A96" sqref="A96"/>
    </sheetView>
  </sheetViews>
  <sheetFormatPr defaultRowHeight="17.25" customHeight="1" x14ac:dyDescent="0.25"/>
  <cols>
    <col min="1" max="1" width="30" style="13" bestFit="1" customWidth="1"/>
    <col min="2" max="2" width="92.140625" style="13" customWidth="1"/>
    <col min="3" max="16384" width="9.140625" style="11"/>
  </cols>
  <sheetData>
    <row r="1" spans="1:2" ht="23.25" customHeight="1" x14ac:dyDescent="0.25">
      <c r="A1" s="19" t="s">
        <v>90</v>
      </c>
      <c r="B1" s="19" t="s">
        <v>123</v>
      </c>
    </row>
    <row r="2" spans="1:2" ht="17.25" customHeight="1" x14ac:dyDescent="0.25">
      <c r="A2" s="30" t="s">
        <v>100</v>
      </c>
      <c r="B2" s="30" t="e">
        <f>'Dados Gráficos'!E3</f>
        <v>#REF!</v>
      </c>
    </row>
    <row r="3" spans="1:2" ht="17.25" customHeight="1" x14ac:dyDescent="0.25">
      <c r="A3" s="30" t="s">
        <v>100</v>
      </c>
      <c r="B3" s="30" t="e">
        <f>'Dados Gráficos'!E4</f>
        <v>#REF!</v>
      </c>
    </row>
    <row r="4" spans="1:2" ht="17.25" customHeight="1" x14ac:dyDescent="0.25">
      <c r="A4" s="21" t="s">
        <v>101</v>
      </c>
      <c r="B4" s="21" t="e">
        <f>'Dados Gráficos'!E5</f>
        <v>#REF!</v>
      </c>
    </row>
    <row r="5" spans="1:2" ht="17.25" customHeight="1" x14ac:dyDescent="0.25">
      <c r="A5" s="21" t="s">
        <v>102</v>
      </c>
      <c r="B5" s="21" t="e">
        <f>'Dados Gráficos'!E6</f>
        <v>#REF!</v>
      </c>
    </row>
    <row r="6" spans="1:2" ht="17.25" customHeight="1" x14ac:dyDescent="0.25">
      <c r="A6" s="21" t="s">
        <v>38</v>
      </c>
      <c r="B6" s="21" t="e">
        <f>'Dados Gráficos'!E7</f>
        <v>#REF!</v>
      </c>
    </row>
    <row r="7" spans="1:2" ht="17.25" customHeight="1" x14ac:dyDescent="0.25">
      <c r="A7" s="32" t="s">
        <v>103</v>
      </c>
      <c r="B7" s="32" t="e">
        <f>'Dados Gráficos'!E8</f>
        <v>#REF!</v>
      </c>
    </row>
    <row r="8" spans="1:2" ht="17.25" customHeight="1" x14ac:dyDescent="0.25">
      <c r="A8" s="32" t="s">
        <v>103</v>
      </c>
      <c r="B8" s="32" t="e">
        <f>'Dados Gráficos'!E9</f>
        <v>#REF!</v>
      </c>
    </row>
    <row r="9" spans="1:2" ht="17.25" customHeight="1" x14ac:dyDescent="0.25">
      <c r="A9" s="32" t="s">
        <v>103</v>
      </c>
      <c r="B9" s="32" t="e">
        <f>'Dados Gráficos'!E10</f>
        <v>#REF!</v>
      </c>
    </row>
    <row r="10" spans="1:2" ht="17.25" customHeight="1" x14ac:dyDescent="0.25">
      <c r="A10" s="32" t="s">
        <v>103</v>
      </c>
      <c r="B10" s="32" t="e">
        <f>'Dados Gráficos'!E11</f>
        <v>#REF!</v>
      </c>
    </row>
    <row r="11" spans="1:2" ht="17.25" customHeight="1" x14ac:dyDescent="0.25">
      <c r="A11" s="32" t="s">
        <v>103</v>
      </c>
      <c r="B11" s="32" t="e">
        <f>'Dados Gráficos'!E12</f>
        <v>#REF!</v>
      </c>
    </row>
    <row r="12" spans="1:2" ht="17.25" customHeight="1" x14ac:dyDescent="0.25">
      <c r="A12" s="20" t="s">
        <v>104</v>
      </c>
      <c r="B12" s="20" t="e">
        <f>'Dados Gráficos'!E13</f>
        <v>#REF!</v>
      </c>
    </row>
    <row r="13" spans="1:2" ht="17.25" customHeight="1" x14ac:dyDescent="0.25">
      <c r="A13" s="20" t="s">
        <v>104</v>
      </c>
      <c r="B13" s="20" t="e">
        <f>'Dados Gráficos'!E14</f>
        <v>#REF!</v>
      </c>
    </row>
    <row r="14" spans="1:2" ht="17.25" customHeight="1" x14ac:dyDescent="0.25">
      <c r="A14" s="20" t="s">
        <v>104</v>
      </c>
      <c r="B14" s="20" t="e">
        <f>'Dados Gráficos'!E15</f>
        <v>#REF!</v>
      </c>
    </row>
    <row r="15" spans="1:2" ht="17.25" customHeight="1" x14ac:dyDescent="0.25">
      <c r="A15" s="20" t="s">
        <v>104</v>
      </c>
      <c r="B15" s="20" t="e">
        <f>'Dados Gráficos'!E16</f>
        <v>#REF!</v>
      </c>
    </row>
    <row r="16" spans="1:2" ht="17.25" customHeight="1" x14ac:dyDescent="0.25">
      <c r="A16" s="20" t="s">
        <v>105</v>
      </c>
      <c r="B16" s="20" t="e">
        <f>'Dados Gráficos'!E17</f>
        <v>#REF!</v>
      </c>
    </row>
    <row r="17" spans="1:2" ht="17.25" customHeight="1" x14ac:dyDescent="0.25">
      <c r="A17" s="20" t="s">
        <v>105</v>
      </c>
      <c r="B17" s="20" t="e">
        <f>'Dados Gráficos'!E18</f>
        <v>#REF!</v>
      </c>
    </row>
    <row r="18" spans="1:2" ht="17.25" customHeight="1" x14ac:dyDescent="0.25">
      <c r="A18" s="20" t="s">
        <v>105</v>
      </c>
      <c r="B18" s="20" t="e">
        <f>'Dados Gráficos'!E19</f>
        <v>#REF!</v>
      </c>
    </row>
    <row r="19" spans="1:2" ht="17.25" customHeight="1" x14ac:dyDescent="0.25">
      <c r="A19" s="20" t="s">
        <v>105</v>
      </c>
      <c r="B19" s="20" t="e">
        <f>'Dados Gráficos'!E20</f>
        <v>#REF!</v>
      </c>
    </row>
    <row r="20" spans="1:2" ht="17.25" customHeight="1" x14ac:dyDescent="0.25">
      <c r="A20" s="22" t="s">
        <v>106</v>
      </c>
      <c r="B20" s="22" t="e">
        <f>'Dados Gráficos'!E21</f>
        <v>#REF!</v>
      </c>
    </row>
    <row r="21" spans="1:2" ht="17.25" customHeight="1" x14ac:dyDescent="0.25">
      <c r="A21" s="33" t="s">
        <v>107</v>
      </c>
      <c r="B21" s="33" t="e">
        <f>'Dados Gráficos'!E22</f>
        <v>#REF!</v>
      </c>
    </row>
    <row r="22" spans="1:2" ht="17.25" customHeight="1" x14ac:dyDescent="0.25">
      <c r="A22" s="22" t="s">
        <v>128</v>
      </c>
      <c r="B22" s="22" t="e">
        <f>'Dados Gráficos'!E23</f>
        <v>#REF!</v>
      </c>
    </row>
    <row r="23" spans="1:2" ht="17.25" customHeight="1" x14ac:dyDescent="0.25">
      <c r="A23" s="22" t="s">
        <v>128</v>
      </c>
      <c r="B23" s="22" t="e">
        <f>'Dados Gráficos'!E24</f>
        <v>#REF!</v>
      </c>
    </row>
    <row r="24" spans="1:2" ht="17.25" customHeight="1" x14ac:dyDescent="0.25">
      <c r="A24" s="22" t="s">
        <v>128</v>
      </c>
      <c r="B24" s="22" t="e">
        <f>'Dados Gráficos'!E25</f>
        <v>#REF!</v>
      </c>
    </row>
    <row r="25" spans="1:2" ht="17.25" customHeight="1" x14ac:dyDescent="0.25">
      <c r="A25" s="22" t="s">
        <v>128</v>
      </c>
      <c r="B25" s="22" t="e">
        <f>'Dados Gráficos'!E26</f>
        <v>#REF!</v>
      </c>
    </row>
    <row r="26" spans="1:2" ht="17.25" customHeight="1" x14ac:dyDescent="0.25">
      <c r="A26" s="31" t="s">
        <v>108</v>
      </c>
      <c r="B26" s="31" t="e">
        <f>'Dados Gráficos'!E27</f>
        <v>#REF!</v>
      </c>
    </row>
    <row r="27" spans="1:2" ht="17.25" customHeight="1" x14ac:dyDescent="0.25">
      <c r="A27" s="31" t="s">
        <v>108</v>
      </c>
      <c r="B27" s="31" t="e">
        <f>'Dados Gráficos'!E28</f>
        <v>#REF!</v>
      </c>
    </row>
    <row r="28" spans="1:2" ht="17.25" customHeight="1" x14ac:dyDescent="0.25">
      <c r="A28" s="31" t="s">
        <v>108</v>
      </c>
      <c r="B28" s="31" t="e">
        <f>'Dados Gráficos'!E29</f>
        <v>#REF!</v>
      </c>
    </row>
    <row r="29" spans="1:2" ht="17.25" customHeight="1" x14ac:dyDescent="0.25">
      <c r="A29" s="31" t="s">
        <v>108</v>
      </c>
      <c r="B29" s="31" t="e">
        <f>'Dados Gráficos'!E30</f>
        <v>#REF!</v>
      </c>
    </row>
    <row r="30" spans="1:2" ht="17.25" customHeight="1" x14ac:dyDescent="0.25">
      <c r="A30" s="24" t="s">
        <v>109</v>
      </c>
      <c r="B30" s="24" t="e">
        <f>'Dados Gráficos'!E31</f>
        <v>#REF!</v>
      </c>
    </row>
    <row r="31" spans="1:2" ht="17.25" customHeight="1" x14ac:dyDescent="0.25">
      <c r="A31" s="24" t="s">
        <v>109</v>
      </c>
      <c r="B31" s="24" t="e">
        <f>'Dados Gráficos'!E32</f>
        <v>#REF!</v>
      </c>
    </row>
    <row r="32" spans="1:2" ht="17.25" customHeight="1" x14ac:dyDescent="0.25">
      <c r="A32" s="24" t="s">
        <v>109</v>
      </c>
      <c r="B32" s="24" t="e">
        <f>'Dados Gráficos'!E33</f>
        <v>#REF!</v>
      </c>
    </row>
    <row r="33" spans="1:2" ht="17.25" customHeight="1" x14ac:dyDescent="0.25">
      <c r="A33" s="24" t="s">
        <v>109</v>
      </c>
      <c r="B33" s="24" t="e">
        <f>'Dados Gráficos'!E34</f>
        <v>#REF!</v>
      </c>
    </row>
    <row r="34" spans="1:2" ht="17.25" customHeight="1" x14ac:dyDescent="0.25">
      <c r="A34" s="24" t="s">
        <v>110</v>
      </c>
      <c r="B34" s="24" t="e">
        <f>'Dados Gráficos'!E35</f>
        <v>#REF!</v>
      </c>
    </row>
    <row r="35" spans="1:2" ht="17.25" customHeight="1" x14ac:dyDescent="0.25">
      <c r="A35" s="24" t="s">
        <v>110</v>
      </c>
      <c r="B35" s="24" t="e">
        <f>'Dados Gráficos'!E36</f>
        <v>#REF!</v>
      </c>
    </row>
    <row r="36" spans="1:2" ht="17.25" customHeight="1" x14ac:dyDescent="0.25">
      <c r="A36" s="24" t="s">
        <v>110</v>
      </c>
      <c r="B36" s="24" t="e">
        <f>'Dados Gráficos'!E37</f>
        <v>#REF!</v>
      </c>
    </row>
    <row r="37" spans="1:2" ht="17.25" customHeight="1" x14ac:dyDescent="0.25">
      <c r="A37" s="24" t="s">
        <v>110</v>
      </c>
      <c r="B37" s="24" t="e">
        <f>'Dados Gráficos'!E38</f>
        <v>#REF!</v>
      </c>
    </row>
    <row r="38" spans="1:2" ht="17.25" customHeight="1" x14ac:dyDescent="0.25">
      <c r="A38" s="24" t="s">
        <v>111</v>
      </c>
      <c r="B38" s="24" t="e">
        <f>'Dados Gráficos'!E39</f>
        <v>#REF!</v>
      </c>
    </row>
    <row r="39" spans="1:2" ht="17.25" customHeight="1" x14ac:dyDescent="0.25">
      <c r="A39" s="24" t="s">
        <v>111</v>
      </c>
      <c r="B39" s="24" t="e">
        <f>'Dados Gráficos'!E40</f>
        <v>#REF!</v>
      </c>
    </row>
    <row r="40" spans="1:2" ht="17.25" customHeight="1" x14ac:dyDescent="0.25">
      <c r="A40" s="24" t="s">
        <v>111</v>
      </c>
      <c r="B40" s="24" t="e">
        <f>'Dados Gráficos'!E41</f>
        <v>#REF!</v>
      </c>
    </row>
    <row r="41" spans="1:2" ht="17.25" customHeight="1" x14ac:dyDescent="0.25">
      <c r="A41" s="24" t="s">
        <v>111</v>
      </c>
      <c r="B41" s="24" t="e">
        <f>'Dados Gráficos'!E42</f>
        <v>#REF!</v>
      </c>
    </row>
    <row r="42" spans="1:2" ht="17.25" customHeight="1" x14ac:dyDescent="0.25">
      <c r="A42" s="24" t="s">
        <v>112</v>
      </c>
      <c r="B42" s="24" t="e">
        <f>'Dados Gráficos'!E43</f>
        <v>#REF!</v>
      </c>
    </row>
    <row r="43" spans="1:2" ht="17.25" customHeight="1" x14ac:dyDescent="0.25">
      <c r="A43" s="24" t="s">
        <v>112</v>
      </c>
      <c r="B43" s="24" t="e">
        <f>'Dados Gráficos'!E44</f>
        <v>#REF!</v>
      </c>
    </row>
    <row r="44" spans="1:2" ht="17.25" customHeight="1" x14ac:dyDescent="0.25">
      <c r="A44" s="24" t="s">
        <v>112</v>
      </c>
      <c r="B44" s="24" t="e">
        <f>'Dados Gráficos'!E45</f>
        <v>#REF!</v>
      </c>
    </row>
    <row r="45" spans="1:2" ht="17.25" customHeight="1" x14ac:dyDescent="0.25">
      <c r="A45" s="24" t="s">
        <v>112</v>
      </c>
      <c r="B45" s="24" t="e">
        <f>'Dados Gráficos'!E46</f>
        <v>#REF!</v>
      </c>
    </row>
    <row r="46" spans="1:2" ht="17.25" customHeight="1" x14ac:dyDescent="0.25">
      <c r="A46" s="24" t="s">
        <v>113</v>
      </c>
      <c r="B46" s="24" t="e">
        <f>'Dados Gráficos'!E47</f>
        <v>#REF!</v>
      </c>
    </row>
    <row r="47" spans="1:2" ht="17.25" customHeight="1" x14ac:dyDescent="0.25">
      <c r="A47" s="24" t="s">
        <v>113</v>
      </c>
      <c r="B47" s="24" t="e">
        <f>'Dados Gráficos'!E48</f>
        <v>#REF!</v>
      </c>
    </row>
    <row r="48" spans="1:2" ht="17.25" customHeight="1" x14ac:dyDescent="0.25">
      <c r="A48" s="24" t="s">
        <v>113</v>
      </c>
      <c r="B48" s="24" t="e">
        <f>'Dados Gráficos'!E49</f>
        <v>#REF!</v>
      </c>
    </row>
    <row r="49" spans="1:2" ht="17.25" customHeight="1" x14ac:dyDescent="0.25">
      <c r="A49" s="24" t="s">
        <v>113</v>
      </c>
      <c r="B49" s="24" t="e">
        <f>'Dados Gráficos'!E50</f>
        <v>#REF!</v>
      </c>
    </row>
    <row r="50" spans="1:2" ht="17.25" customHeight="1" x14ac:dyDescent="0.25">
      <c r="A50" s="24" t="s">
        <v>114</v>
      </c>
      <c r="B50" s="24" t="e">
        <f>'Dados Gráficos'!E51</f>
        <v>#REF!</v>
      </c>
    </row>
    <row r="51" spans="1:2" ht="17.25" customHeight="1" x14ac:dyDescent="0.25">
      <c r="A51" s="24" t="s">
        <v>114</v>
      </c>
      <c r="B51" s="24" t="e">
        <f>'Dados Gráficos'!E52</f>
        <v>#REF!</v>
      </c>
    </row>
    <row r="52" spans="1:2" ht="17.25" customHeight="1" x14ac:dyDescent="0.25">
      <c r="A52" s="24" t="s">
        <v>114</v>
      </c>
      <c r="B52" s="24" t="e">
        <f>'Dados Gráficos'!E53</f>
        <v>#REF!</v>
      </c>
    </row>
    <row r="53" spans="1:2" ht="17.25" customHeight="1" x14ac:dyDescent="0.25">
      <c r="A53" s="24" t="s">
        <v>114</v>
      </c>
      <c r="B53" s="24" t="e">
        <f>'Dados Gráficos'!E54</f>
        <v>#REF!</v>
      </c>
    </row>
    <row r="54" spans="1:2" ht="17.25" customHeight="1" x14ac:dyDescent="0.25">
      <c r="A54" s="24" t="s">
        <v>115</v>
      </c>
      <c r="B54" s="24" t="e">
        <f>'Dados Gráficos'!E55</f>
        <v>#REF!</v>
      </c>
    </row>
    <row r="55" spans="1:2" ht="17.25" customHeight="1" x14ac:dyDescent="0.25">
      <c r="A55" s="24" t="s">
        <v>115</v>
      </c>
      <c r="B55" s="24" t="e">
        <f>'Dados Gráficos'!E56</f>
        <v>#REF!</v>
      </c>
    </row>
    <row r="56" spans="1:2" ht="17.25" customHeight="1" x14ac:dyDescent="0.25">
      <c r="A56" s="24" t="s">
        <v>115</v>
      </c>
      <c r="B56" s="24" t="e">
        <f>'Dados Gráficos'!E57</f>
        <v>#REF!</v>
      </c>
    </row>
    <row r="57" spans="1:2" ht="17.25" customHeight="1" x14ac:dyDescent="0.25">
      <c r="A57" s="24" t="s">
        <v>115</v>
      </c>
      <c r="B57" s="24" t="e">
        <f>'Dados Gráficos'!E58</f>
        <v>#REF!</v>
      </c>
    </row>
    <row r="58" spans="1:2" ht="17.25" customHeight="1" x14ac:dyDescent="0.25">
      <c r="A58" s="24" t="s">
        <v>116</v>
      </c>
      <c r="B58" s="24" t="e">
        <f>'Dados Gráficos'!E59</f>
        <v>#REF!</v>
      </c>
    </row>
    <row r="59" spans="1:2" ht="17.25" customHeight="1" x14ac:dyDescent="0.25">
      <c r="A59" s="24" t="s">
        <v>116</v>
      </c>
      <c r="B59" s="24" t="e">
        <f>'Dados Gráficos'!E60</f>
        <v>#REF!</v>
      </c>
    </row>
    <row r="60" spans="1:2" ht="17.25" customHeight="1" x14ac:dyDescent="0.25">
      <c r="A60" s="24" t="s">
        <v>116</v>
      </c>
      <c r="B60" s="24" t="e">
        <f>'Dados Gráficos'!E61</f>
        <v>#REF!</v>
      </c>
    </row>
    <row r="61" spans="1:2" ht="17.25" customHeight="1" x14ac:dyDescent="0.25">
      <c r="A61" s="24" t="s">
        <v>116</v>
      </c>
      <c r="B61" s="24" t="e">
        <f>'Dados Gráficos'!E62</f>
        <v>#REF!</v>
      </c>
    </row>
    <row r="62" spans="1:2" ht="17.25" customHeight="1" x14ac:dyDescent="0.25">
      <c r="A62" s="23" t="s">
        <v>117</v>
      </c>
      <c r="B62" s="23" t="e">
        <f>'Dados Gráficos'!E63</f>
        <v>#REF!</v>
      </c>
    </row>
    <row r="63" spans="1:2" ht="17.25" customHeight="1" x14ac:dyDescent="0.25">
      <c r="A63" s="25" t="s">
        <v>71</v>
      </c>
      <c r="B63" s="25" t="e">
        <f>'Dados Gráficos'!E64</f>
        <v>#REF!</v>
      </c>
    </row>
    <row r="64" spans="1:2" ht="17.25" customHeight="1" x14ac:dyDescent="0.25">
      <c r="A64" s="25" t="s">
        <v>73</v>
      </c>
      <c r="B64" s="25" t="e">
        <f>'Dados Gráficos'!E65</f>
        <v>#REF!</v>
      </c>
    </row>
    <row r="65" spans="1:2" ht="17.25" customHeight="1" x14ac:dyDescent="0.25">
      <c r="A65" s="25" t="s">
        <v>74</v>
      </c>
      <c r="B65" s="25" t="e">
        <f>'Dados Gráficos'!E66</f>
        <v>#REF!</v>
      </c>
    </row>
    <row r="66" spans="1:2" ht="17.25" customHeight="1" x14ac:dyDescent="0.25">
      <c r="A66" s="25" t="s">
        <v>75</v>
      </c>
      <c r="B66" s="25" t="e">
        <f>'Dados Gráficos'!E67</f>
        <v>#REF!</v>
      </c>
    </row>
    <row r="67" spans="1:2" ht="17.25" customHeight="1" x14ac:dyDescent="0.25">
      <c r="A67" s="25" t="s">
        <v>76</v>
      </c>
      <c r="B67" s="25" t="e">
        <f>'Dados Gráficos'!E68</f>
        <v>#REF!</v>
      </c>
    </row>
    <row r="68" spans="1:2" ht="17.25" customHeight="1" x14ac:dyDescent="0.25">
      <c r="A68" s="25" t="s">
        <v>77</v>
      </c>
      <c r="B68" s="25" t="e">
        <f>'Dados Gráficos'!E69</f>
        <v>#REF!</v>
      </c>
    </row>
    <row r="69" spans="1:2" ht="17.25" customHeight="1" x14ac:dyDescent="0.25">
      <c r="A69" s="26" t="s">
        <v>78</v>
      </c>
      <c r="B69" s="26" t="e">
        <f>'Dados Gráficos'!E70</f>
        <v>#REF!</v>
      </c>
    </row>
    <row r="70" spans="1:2" ht="17.25" customHeight="1" x14ac:dyDescent="0.25">
      <c r="A70" s="26" t="s">
        <v>79</v>
      </c>
      <c r="B70" s="26" t="e">
        <f>'Dados Gráficos'!E71</f>
        <v>#REF!</v>
      </c>
    </row>
    <row r="71" spans="1:2" ht="17.25" customHeight="1" x14ac:dyDescent="0.25">
      <c r="A71" s="26" t="s">
        <v>80</v>
      </c>
      <c r="B71" s="26" t="e">
        <f>'Dados Gráficos'!E72</f>
        <v>#REF!</v>
      </c>
    </row>
    <row r="72" spans="1:2" ht="17.25" customHeight="1" x14ac:dyDescent="0.25">
      <c r="A72" s="21" t="s">
        <v>81</v>
      </c>
      <c r="B72" s="21" t="e">
        <f>'Dados Gráficos'!E73</f>
        <v>#REF!</v>
      </c>
    </row>
    <row r="73" spans="1:2" ht="17.25" customHeight="1" x14ac:dyDescent="0.25">
      <c r="A73" s="20" t="s">
        <v>104</v>
      </c>
      <c r="B73" s="20" t="e">
        <f>'Dados Gráficos'!E74</f>
        <v>#REF!</v>
      </c>
    </row>
    <row r="74" spans="1:2" ht="17.25" customHeight="1" x14ac:dyDescent="0.25">
      <c r="A74" s="20" t="s">
        <v>104</v>
      </c>
      <c r="B74" s="20" t="e">
        <f>'Dados Gráficos'!E75</f>
        <v>#REF!</v>
      </c>
    </row>
    <row r="75" spans="1:2" ht="17.25" customHeight="1" x14ac:dyDescent="0.25">
      <c r="A75" s="20" t="s">
        <v>104</v>
      </c>
      <c r="B75" s="20" t="e">
        <f>'Dados Gráficos'!E76</f>
        <v>#REF!</v>
      </c>
    </row>
    <row r="76" spans="1:2" ht="17.25" customHeight="1" x14ac:dyDescent="0.25">
      <c r="A76" s="20" t="s">
        <v>104</v>
      </c>
      <c r="B76" s="20" t="e">
        <f>'Dados Gráficos'!E77</f>
        <v>#REF!</v>
      </c>
    </row>
    <row r="77" spans="1:2" ht="17.25" customHeight="1" x14ac:dyDescent="0.25">
      <c r="A77" s="20" t="s">
        <v>118</v>
      </c>
      <c r="B77" s="20" t="e">
        <f>'Dados Gráficos'!E78</f>
        <v>#REF!</v>
      </c>
    </row>
    <row r="78" spans="1:2" ht="17.25" customHeight="1" x14ac:dyDescent="0.25">
      <c r="A78" s="20" t="s">
        <v>82</v>
      </c>
      <c r="B78" s="20" t="e">
        <f>'Dados Gráficos'!E79</f>
        <v>#REF!</v>
      </c>
    </row>
    <row r="79" spans="1:2" ht="17.25" customHeight="1" x14ac:dyDescent="0.25">
      <c r="A79" s="20" t="s">
        <v>83</v>
      </c>
      <c r="B79" s="20" t="e">
        <f>'Dados Gráficos'!E80</f>
        <v>#REF!</v>
      </c>
    </row>
    <row r="80" spans="1:2" ht="17.25" customHeight="1" x14ac:dyDescent="0.25">
      <c r="A80" s="20" t="s">
        <v>84</v>
      </c>
      <c r="B80" s="20" t="e">
        <f>'Dados Gráficos'!E81</f>
        <v>#REF!</v>
      </c>
    </row>
    <row r="81" spans="1:2" ht="17.25" customHeight="1" x14ac:dyDescent="0.25">
      <c r="A81" s="20" t="s">
        <v>85</v>
      </c>
      <c r="B81" s="20" t="e">
        <f>'Dados Gráficos'!E82</f>
        <v>#REF!</v>
      </c>
    </row>
    <row r="82" spans="1:2" ht="17.25" customHeight="1" x14ac:dyDescent="0.25">
      <c r="A82" s="22" t="s">
        <v>119</v>
      </c>
      <c r="B82" s="22" t="e">
        <f>'Dados Gráficos'!E83</f>
        <v>#REF!</v>
      </c>
    </row>
    <row r="83" spans="1:2" ht="17.25" customHeight="1" x14ac:dyDescent="0.25">
      <c r="A83" s="22" t="s">
        <v>86</v>
      </c>
      <c r="B83" s="22" t="e">
        <f>'Dados Gráficos'!E84</f>
        <v>#REF!</v>
      </c>
    </row>
    <row r="84" spans="1:2" ht="17.25" customHeight="1" x14ac:dyDescent="0.25">
      <c r="A84" s="22" t="s">
        <v>87</v>
      </c>
      <c r="B84" s="22" t="e">
        <f>'Dados Gráficos'!E85</f>
        <v>#REF!</v>
      </c>
    </row>
    <row r="85" spans="1:2" ht="17.25" customHeight="1" x14ac:dyDescent="0.25">
      <c r="A85" s="24" t="s">
        <v>92</v>
      </c>
      <c r="B85" s="24" t="e">
        <f>'Dados Gráficos'!E86</f>
        <v>#REF!</v>
      </c>
    </row>
    <row r="86" spans="1:2" ht="31.5" customHeight="1" x14ac:dyDescent="0.25">
      <c r="A86" s="23" t="s">
        <v>120</v>
      </c>
      <c r="B86" s="29" t="e">
        <f>'Dados Gráficos'!E87</f>
        <v>#REF!</v>
      </c>
    </row>
    <row r="87" spans="1:2" ht="17.25" customHeight="1" x14ac:dyDescent="0.25">
      <c r="A87" s="23" t="s">
        <v>121</v>
      </c>
      <c r="B87" s="23" t="e">
        <f>'Dados Gráficos'!E88</f>
        <v>#REF!</v>
      </c>
    </row>
    <row r="88" spans="1:2" ht="17.25" customHeight="1" x14ac:dyDescent="0.25">
      <c r="A88" s="23" t="s">
        <v>121</v>
      </c>
      <c r="B88" s="23" t="e">
        <f>'Dados Gráficos'!E89</f>
        <v>#REF!</v>
      </c>
    </row>
    <row r="89" spans="1:2" ht="17.25" customHeight="1" x14ac:dyDescent="0.25">
      <c r="A89" s="23" t="s">
        <v>122</v>
      </c>
      <c r="B89" s="23" t="e">
        <f>'Dados Gráficos'!E90</f>
        <v>#REF!</v>
      </c>
    </row>
    <row r="90" spans="1:2" ht="17.25" customHeight="1" x14ac:dyDescent="0.25">
      <c r="A90" s="23" t="s">
        <v>122</v>
      </c>
      <c r="B90" s="23" t="e">
        <f>'Dados Gráficos'!E91</f>
        <v>#REF!</v>
      </c>
    </row>
    <row r="91" spans="1:2" ht="17.25" customHeight="1" x14ac:dyDescent="0.25">
      <c r="A91" s="23" t="s">
        <v>122</v>
      </c>
      <c r="B91" s="23" t="e">
        <f>'Dados Gráficos'!E92</f>
        <v>#REF!</v>
      </c>
    </row>
    <row r="92" spans="1:2" ht="17.25" customHeight="1" x14ac:dyDescent="0.25">
      <c r="A92" s="27" t="str">
        <f>'Dados Gráficos'!D93</f>
        <v>CBH LS/PB</v>
      </c>
      <c r="B92" s="28" t="e">
        <f>'Dados Gráficos'!E93</f>
        <v>#REF!</v>
      </c>
    </row>
    <row r="93" spans="1:2" ht="17.25" customHeight="1" x14ac:dyDescent="0.25">
      <c r="A93" s="27" t="str">
        <f>'Dados Gráficos'!D94</f>
        <v>CBH PB/PB</v>
      </c>
      <c r="B93" s="28" t="e">
        <f>'Dados Gráficos'!E94</f>
        <v>#REF!</v>
      </c>
    </row>
    <row r="94" spans="1:2" ht="17.25" customHeight="1" x14ac:dyDescent="0.25">
      <c r="A94" s="27" t="str">
        <f>'Dados Gráficos'!D95</f>
        <v>CBH LN/PB</v>
      </c>
      <c r="B94" s="28" t="e">
        <f>'Dados Gráficos'!E95</f>
        <v>#REF!</v>
      </c>
    </row>
    <row r="95" spans="1:2" ht="17.25" customHeight="1" x14ac:dyDescent="0.25">
      <c r="A95" s="27" t="str">
        <f>'Dados Gráficos'!D96</f>
        <v>PB - Sem comitê instituído</v>
      </c>
      <c r="B95" s="28" t="e">
        <f>'Dados Gráficos'!E96</f>
        <v>#REF!</v>
      </c>
    </row>
    <row r="96" spans="1:2" ht="17.25" customHeight="1" x14ac:dyDescent="0.25">
      <c r="A96" s="27" t="str">
        <f>'Dados Gráficos'!D97</f>
        <v>CBH COALIAR/PB</v>
      </c>
      <c r="B96" s="28" t="e">
        <f>'Dados Gráficos'!E97</f>
        <v>#REF!</v>
      </c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97"/>
  <sheetViews>
    <sheetView topLeftCell="D1" workbookViewId="0">
      <pane xSplit="3" ySplit="2" topLeftCell="N90" activePane="bottomRight" state="frozen"/>
      <selection activeCell="D1" sqref="D1"/>
      <selection pane="topRight" activeCell="G1" sqref="G1"/>
      <selection pane="bottomLeft" activeCell="D3" sqref="D3"/>
      <selection pane="bottomRight" activeCell="S80" sqref="S80"/>
    </sheetView>
  </sheetViews>
  <sheetFormatPr defaultRowHeight="18.75" customHeight="1" x14ac:dyDescent="0.25"/>
  <cols>
    <col min="1" max="1" width="44.5703125" style="13" customWidth="1"/>
    <col min="2" max="2" width="26.140625" style="13" customWidth="1"/>
    <col min="3" max="3" width="30.7109375" style="13" customWidth="1"/>
    <col min="4" max="4" width="57.140625" style="13" customWidth="1"/>
    <col min="5" max="5" width="66.140625" style="13" customWidth="1"/>
    <col min="6" max="6" width="4.42578125" style="13" customWidth="1"/>
    <col min="7" max="10" width="14.140625" style="13" customWidth="1"/>
    <col min="11" max="11" width="4.42578125" style="13" customWidth="1"/>
    <col min="12" max="15" width="14.140625" style="13" customWidth="1"/>
    <col min="16" max="16" width="4.42578125" style="13" customWidth="1"/>
    <col min="17" max="20" width="14.140625" style="13" customWidth="1"/>
    <col min="21" max="16384" width="9.140625" style="13"/>
  </cols>
  <sheetData>
    <row r="1" spans="1:20" ht="49.5" customHeight="1" x14ac:dyDescent="0.25">
      <c r="A1" s="10"/>
      <c r="B1" s="17"/>
      <c r="C1" s="17"/>
      <c r="D1" s="10"/>
      <c r="E1" s="17"/>
      <c r="F1" s="17"/>
      <c r="G1" s="132" t="e">
        <f>nomenclaturas!#REF!</f>
        <v>#REF!</v>
      </c>
      <c r="H1" s="132"/>
      <c r="I1" s="132"/>
      <c r="J1" s="132"/>
      <c r="K1" s="10"/>
      <c r="L1" s="133" t="e">
        <f>nomenclaturas!#REF!</f>
        <v>#REF!</v>
      </c>
      <c r="M1" s="133"/>
      <c r="N1" s="133"/>
      <c r="O1" s="133"/>
      <c r="P1" s="10"/>
      <c r="Q1" s="133" t="e">
        <f>nomenclaturas!#REF!</f>
        <v>#REF!</v>
      </c>
      <c r="R1" s="133"/>
      <c r="S1" s="133"/>
      <c r="T1" s="133"/>
    </row>
    <row r="2" spans="1:20" ht="18.75" customHeight="1" x14ac:dyDescent="0.25">
      <c r="A2" s="9" t="s">
        <v>11</v>
      </c>
      <c r="B2" s="9" t="s">
        <v>10</v>
      </c>
      <c r="C2" s="9" t="s">
        <v>91</v>
      </c>
      <c r="D2" s="9" t="s">
        <v>90</v>
      </c>
      <c r="E2" s="9" t="str">
        <f>A2</f>
        <v>Comitê de Bacia</v>
      </c>
      <c r="F2" s="5"/>
      <c r="G2" s="9" t="s">
        <v>0</v>
      </c>
      <c r="H2" s="9" t="s">
        <v>1</v>
      </c>
      <c r="I2" s="9" t="s">
        <v>2</v>
      </c>
      <c r="J2" s="9" t="s">
        <v>9</v>
      </c>
      <c r="K2" s="10"/>
      <c r="L2" s="9" t="s">
        <v>0</v>
      </c>
      <c r="M2" s="9" t="s">
        <v>1</v>
      </c>
      <c r="N2" s="9" t="s">
        <v>2</v>
      </c>
      <c r="O2" s="9" t="s">
        <v>9</v>
      </c>
      <c r="P2" s="10"/>
      <c r="Q2" s="9" t="s">
        <v>0</v>
      </c>
      <c r="R2" s="9" t="s">
        <v>1</v>
      </c>
      <c r="S2" s="9" t="s">
        <v>2</v>
      </c>
      <c r="T2" s="9" t="s">
        <v>9</v>
      </c>
    </row>
    <row r="3" spans="1:20" ht="18.75" customHeight="1" x14ac:dyDescent="0.25">
      <c r="A3" s="12" t="e">
        <f>nomenclaturas!#REF!</f>
        <v>#REF!</v>
      </c>
      <c r="B3" s="14" t="e">
        <f>nomenclaturas!#REF!</f>
        <v>#REF!</v>
      </c>
      <c r="C3" s="14"/>
      <c r="D3" s="12" t="s">
        <v>12</v>
      </c>
      <c r="E3" s="12" t="e">
        <f t="shared" ref="E3:E38" si="0">A3&amp;" - "&amp;B3&amp;(IF(C3=0, ,(" - "&amp;C3)))</f>
        <v>#REF!</v>
      </c>
      <c r="G3" s="15"/>
      <c r="H3" s="15"/>
      <c r="I3" s="15"/>
      <c r="J3" s="15" t="e">
        <f>nomenclaturas!#REF!</f>
        <v>#REF!</v>
      </c>
      <c r="L3" s="15"/>
      <c r="M3" s="15"/>
      <c r="N3" s="15"/>
      <c r="O3" s="15" t="e">
        <f>nomenclaturas!#REF!</f>
        <v>#REF!</v>
      </c>
      <c r="Q3" s="15"/>
      <c r="R3" s="15"/>
      <c r="S3" s="15"/>
      <c r="T3" s="15" t="e">
        <f>nomenclaturas!#REF!</f>
        <v>#REF!</v>
      </c>
    </row>
    <row r="4" spans="1:20" ht="18.75" customHeight="1" x14ac:dyDescent="0.25">
      <c r="A4" s="12" t="e">
        <f>nomenclaturas!#REF!</f>
        <v>#REF!</v>
      </c>
      <c r="B4" s="14" t="e">
        <f>nomenclaturas!#REF!</f>
        <v>#REF!</v>
      </c>
      <c r="C4" s="14"/>
      <c r="D4" s="12" t="s">
        <v>13</v>
      </c>
      <c r="E4" s="12" t="e">
        <f t="shared" si="0"/>
        <v>#REF!</v>
      </c>
      <c r="G4" s="15" t="e">
        <f>nomenclaturas!#REF!</f>
        <v>#REF!</v>
      </c>
      <c r="H4" s="15" t="e">
        <f>nomenclaturas!#REF!</f>
        <v>#REF!</v>
      </c>
      <c r="I4" s="15" t="e">
        <f>nomenclaturas!#REF!</f>
        <v>#REF!</v>
      </c>
      <c r="J4" s="15" t="e">
        <f>SUM(G4:I4)</f>
        <v>#REF!</v>
      </c>
      <c r="L4" s="15" t="e">
        <f>nomenclaturas!#REF!</f>
        <v>#REF!</v>
      </c>
      <c r="M4" s="15" t="e">
        <f>nomenclaturas!#REF!</f>
        <v>#REF!</v>
      </c>
      <c r="N4" s="15" t="e">
        <f>nomenclaturas!#REF!</f>
        <v>#REF!</v>
      </c>
      <c r="O4" s="15" t="e">
        <f>SUM(L4:N4)</f>
        <v>#REF!</v>
      </c>
      <c r="Q4" s="15" t="e">
        <f>nomenclaturas!#REF!</f>
        <v>#REF!</v>
      </c>
      <c r="R4" s="15" t="e">
        <f>nomenclaturas!#REF!</f>
        <v>#REF!</v>
      </c>
      <c r="S4" s="15" t="e">
        <f>nomenclaturas!#REF!</f>
        <v>#REF!</v>
      </c>
      <c r="T4" s="15" t="e">
        <f>SUM(Q4:S4)</f>
        <v>#REF!</v>
      </c>
    </row>
    <row r="5" spans="1:20" ht="27.75" customHeight="1" x14ac:dyDescent="0.25">
      <c r="A5" s="12" t="e">
        <f>nomenclaturas!#REF!</f>
        <v>#REF!</v>
      </c>
      <c r="B5" s="14" t="e">
        <f>nomenclaturas!#REF!</f>
        <v>#REF!</v>
      </c>
      <c r="C5" s="14"/>
      <c r="D5" s="12" t="s">
        <v>99</v>
      </c>
      <c r="E5" s="12" t="e">
        <f t="shared" si="0"/>
        <v>#REF!</v>
      </c>
      <c r="G5" s="12"/>
      <c r="H5" s="15"/>
      <c r="I5" s="15"/>
      <c r="J5" s="15" t="e">
        <f>nomenclaturas!#REF!</f>
        <v>#REF!</v>
      </c>
      <c r="L5" s="12"/>
      <c r="M5" s="15"/>
      <c r="N5" s="15"/>
      <c r="O5" s="15" t="e">
        <f>nomenclaturas!#REF!</f>
        <v>#REF!</v>
      </c>
      <c r="Q5" s="12"/>
      <c r="R5" s="15"/>
      <c r="S5" s="15"/>
      <c r="T5" s="15" t="e">
        <f>nomenclaturas!#REF!</f>
        <v>#REF!</v>
      </c>
    </row>
    <row r="6" spans="1:20" ht="18.75" customHeight="1" x14ac:dyDescent="0.25">
      <c r="A6" s="12" t="e">
        <f>nomenclaturas!#REF!</f>
        <v>#REF!</v>
      </c>
      <c r="B6" s="14" t="e">
        <f>nomenclaturas!#REF!</f>
        <v>#REF!</v>
      </c>
      <c r="C6" s="14"/>
      <c r="D6" s="12" t="s">
        <v>21</v>
      </c>
      <c r="E6" s="12" t="e">
        <f t="shared" si="0"/>
        <v>#REF!</v>
      </c>
      <c r="G6" s="15" t="e">
        <f>nomenclaturas!#REF!</f>
        <v>#REF!</v>
      </c>
      <c r="H6" s="15" t="e">
        <f>nomenclaturas!#REF!</f>
        <v>#REF!</v>
      </c>
      <c r="I6" s="15" t="e">
        <f>nomenclaturas!#REF!</f>
        <v>#REF!</v>
      </c>
      <c r="J6" s="15" t="e">
        <f t="shared" ref="J6:J13" si="1">SUM(G6:I6)</f>
        <v>#REF!</v>
      </c>
      <c r="L6" s="15" t="e">
        <f>nomenclaturas!#REF!</f>
        <v>#REF!</v>
      </c>
      <c r="M6" s="15" t="e">
        <f>nomenclaturas!#REF!</f>
        <v>#REF!</v>
      </c>
      <c r="N6" s="15" t="e">
        <f>nomenclaturas!#REF!</f>
        <v>#REF!</v>
      </c>
      <c r="O6" s="15" t="e">
        <f t="shared" ref="O6:O41" si="2">SUM(L6:N6)</f>
        <v>#REF!</v>
      </c>
      <c r="Q6" s="15" t="e">
        <f>nomenclaturas!#REF!</f>
        <v>#REF!</v>
      </c>
      <c r="R6" s="15" t="e">
        <f>nomenclaturas!#REF!</f>
        <v>#REF!</v>
      </c>
      <c r="S6" s="15" t="e">
        <f>nomenclaturas!#REF!</f>
        <v>#REF!</v>
      </c>
      <c r="T6" s="15" t="e">
        <f t="shared" ref="T6:T41" si="3">SUM(Q6:S6)</f>
        <v>#REF!</v>
      </c>
    </row>
    <row r="7" spans="1:20" ht="18.75" customHeight="1" x14ac:dyDescent="0.25">
      <c r="A7" s="12" t="e">
        <f>nomenclaturas!#REF!</f>
        <v>#REF!</v>
      </c>
      <c r="B7" s="14" t="e">
        <f>nomenclaturas!#REF!</f>
        <v>#REF!</v>
      </c>
      <c r="C7" s="14"/>
      <c r="D7" s="12" t="s">
        <v>38</v>
      </c>
      <c r="E7" s="12" t="e">
        <f t="shared" si="0"/>
        <v>#REF!</v>
      </c>
      <c r="G7" s="15" t="e">
        <f>nomenclaturas!#REF!</f>
        <v>#REF!</v>
      </c>
      <c r="H7" s="15" t="e">
        <f>nomenclaturas!#REF!</f>
        <v>#REF!</v>
      </c>
      <c r="I7" s="15" t="e">
        <f>nomenclaturas!#REF!</f>
        <v>#REF!</v>
      </c>
      <c r="J7" s="15" t="e">
        <f t="shared" si="1"/>
        <v>#REF!</v>
      </c>
      <c r="L7" s="15" t="e">
        <f>nomenclaturas!#REF!</f>
        <v>#REF!</v>
      </c>
      <c r="M7" s="15" t="e">
        <f>nomenclaturas!#REF!</f>
        <v>#REF!</v>
      </c>
      <c r="N7" s="15" t="e">
        <f>nomenclaturas!#REF!</f>
        <v>#REF!</v>
      </c>
      <c r="O7" s="15" t="e">
        <f t="shared" si="2"/>
        <v>#REF!</v>
      </c>
      <c r="Q7" s="15" t="e">
        <f>nomenclaturas!#REF!</f>
        <v>#REF!</v>
      </c>
      <c r="R7" s="15" t="e">
        <f>nomenclaturas!#REF!</f>
        <v>#REF!</v>
      </c>
      <c r="S7" s="15" t="e">
        <f>nomenclaturas!#REF!</f>
        <v>#REF!</v>
      </c>
      <c r="T7" s="15" t="e">
        <f t="shared" si="3"/>
        <v>#REF!</v>
      </c>
    </row>
    <row r="8" spans="1:20" ht="18.75" customHeight="1" x14ac:dyDescent="0.25">
      <c r="A8" s="12" t="e">
        <f>nomenclaturas!#REF!</f>
        <v>#REF!</v>
      </c>
      <c r="B8" s="14" t="e">
        <f>nomenclaturas!#REF!</f>
        <v>#REF!</v>
      </c>
      <c r="C8" s="14"/>
      <c r="D8" s="12" t="s">
        <v>22</v>
      </c>
      <c r="E8" s="12" t="e">
        <f t="shared" si="0"/>
        <v>#REF!</v>
      </c>
      <c r="G8" s="15" t="e">
        <f>nomenclaturas!#REF!</f>
        <v>#REF!</v>
      </c>
      <c r="H8" s="15" t="e">
        <f>nomenclaturas!#REF!</f>
        <v>#REF!</v>
      </c>
      <c r="I8" s="15" t="e">
        <f>nomenclaturas!#REF!</f>
        <v>#REF!</v>
      </c>
      <c r="J8" s="15" t="e">
        <f t="shared" si="1"/>
        <v>#REF!</v>
      </c>
      <c r="L8" s="15" t="e">
        <f>nomenclaturas!#REF!</f>
        <v>#REF!</v>
      </c>
      <c r="M8" s="15" t="e">
        <f>nomenclaturas!#REF!</f>
        <v>#REF!</v>
      </c>
      <c r="N8" s="15" t="e">
        <f>nomenclaturas!#REF!</f>
        <v>#REF!</v>
      </c>
      <c r="O8" s="15" t="e">
        <f t="shared" si="2"/>
        <v>#REF!</v>
      </c>
      <c r="Q8" s="15" t="e">
        <f>nomenclaturas!#REF!</f>
        <v>#REF!</v>
      </c>
      <c r="R8" s="15" t="e">
        <f>nomenclaturas!#REF!</f>
        <v>#REF!</v>
      </c>
      <c r="S8" s="15" t="e">
        <f>nomenclaturas!#REF!</f>
        <v>#REF!</v>
      </c>
      <c r="T8" s="15" t="e">
        <f t="shared" si="3"/>
        <v>#REF!</v>
      </c>
    </row>
    <row r="9" spans="1:20" ht="18.75" customHeight="1" x14ac:dyDescent="0.25">
      <c r="A9" s="12" t="e">
        <f>nomenclaturas!#REF!</f>
        <v>#REF!</v>
      </c>
      <c r="B9" s="14" t="e">
        <f>nomenclaturas!#REF!</f>
        <v>#REF!</v>
      </c>
      <c r="C9" s="14"/>
      <c r="D9" s="12" t="s">
        <v>23</v>
      </c>
      <c r="E9" s="12" t="e">
        <f t="shared" si="0"/>
        <v>#REF!</v>
      </c>
      <c r="G9" s="15" t="e">
        <f>nomenclaturas!#REF!</f>
        <v>#REF!</v>
      </c>
      <c r="H9" s="15" t="e">
        <f>nomenclaturas!#REF!</f>
        <v>#REF!</v>
      </c>
      <c r="I9" s="15" t="e">
        <f>nomenclaturas!#REF!</f>
        <v>#REF!</v>
      </c>
      <c r="J9" s="15" t="e">
        <f t="shared" si="1"/>
        <v>#REF!</v>
      </c>
      <c r="L9" s="15" t="e">
        <f>nomenclaturas!#REF!</f>
        <v>#REF!</v>
      </c>
      <c r="M9" s="15" t="e">
        <f>nomenclaturas!#REF!</f>
        <v>#REF!</v>
      </c>
      <c r="N9" s="15" t="e">
        <f>nomenclaturas!#REF!</f>
        <v>#REF!</v>
      </c>
      <c r="O9" s="15" t="e">
        <f t="shared" si="2"/>
        <v>#REF!</v>
      </c>
      <c r="Q9" s="15" t="e">
        <f>nomenclaturas!#REF!</f>
        <v>#REF!</v>
      </c>
      <c r="R9" s="15" t="e">
        <f>nomenclaturas!#REF!</f>
        <v>#REF!</v>
      </c>
      <c r="S9" s="15" t="e">
        <f>nomenclaturas!#REF!</f>
        <v>#REF!</v>
      </c>
      <c r="T9" s="15" t="e">
        <f t="shared" si="3"/>
        <v>#REF!</v>
      </c>
    </row>
    <row r="10" spans="1:20" ht="18.75" customHeight="1" x14ac:dyDescent="0.25">
      <c r="A10" s="12" t="e">
        <f>nomenclaturas!#REF!</f>
        <v>#REF!</v>
      </c>
      <c r="B10" s="12" t="e">
        <f>nomenclaturas!#REF!</f>
        <v>#REF!</v>
      </c>
      <c r="C10" s="14" t="e">
        <f>nomenclaturas!#REF!</f>
        <v>#REF!</v>
      </c>
      <c r="D10" s="12" t="s">
        <v>24</v>
      </c>
      <c r="E10" s="12" t="e">
        <f t="shared" si="0"/>
        <v>#REF!</v>
      </c>
      <c r="G10" s="15" t="e">
        <f>nomenclaturas!#REF!</f>
        <v>#REF!</v>
      </c>
      <c r="H10" s="15" t="e">
        <f>nomenclaturas!#REF!</f>
        <v>#REF!</v>
      </c>
      <c r="I10" s="15" t="e">
        <f>nomenclaturas!#REF!</f>
        <v>#REF!</v>
      </c>
      <c r="J10" s="15" t="e">
        <f t="shared" si="1"/>
        <v>#REF!</v>
      </c>
      <c r="L10" s="15" t="e">
        <f>nomenclaturas!#REF!</f>
        <v>#REF!</v>
      </c>
      <c r="M10" s="15" t="e">
        <f>nomenclaturas!#REF!</f>
        <v>#REF!</v>
      </c>
      <c r="N10" s="15" t="e">
        <f>nomenclaturas!#REF!</f>
        <v>#REF!</v>
      </c>
      <c r="O10" s="15" t="e">
        <f t="shared" si="2"/>
        <v>#REF!</v>
      </c>
      <c r="Q10" s="15" t="e">
        <f>nomenclaturas!#REF!</f>
        <v>#REF!</v>
      </c>
      <c r="R10" s="15" t="e">
        <f>nomenclaturas!#REF!</f>
        <v>#REF!</v>
      </c>
      <c r="S10" s="15" t="e">
        <f>nomenclaturas!#REF!</f>
        <v>#REF!</v>
      </c>
      <c r="T10" s="15" t="e">
        <f t="shared" si="3"/>
        <v>#REF!</v>
      </c>
    </row>
    <row r="11" spans="1:20" ht="18.75" customHeight="1" x14ac:dyDescent="0.25">
      <c r="A11" s="12" t="e">
        <f>nomenclaturas!#REF!</f>
        <v>#REF!</v>
      </c>
      <c r="B11" s="12" t="e">
        <f>nomenclaturas!#REF!</f>
        <v>#REF!</v>
      </c>
      <c r="C11" s="14" t="e">
        <f>nomenclaturas!#REF!</f>
        <v>#REF!</v>
      </c>
      <c r="D11" s="12" t="s">
        <v>25</v>
      </c>
      <c r="E11" s="12" t="e">
        <f t="shared" si="0"/>
        <v>#REF!</v>
      </c>
      <c r="G11" s="15" t="e">
        <f>nomenclaturas!#REF!</f>
        <v>#REF!</v>
      </c>
      <c r="H11" s="15" t="e">
        <f>nomenclaturas!#REF!</f>
        <v>#REF!</v>
      </c>
      <c r="I11" s="15" t="e">
        <f>nomenclaturas!#REF!</f>
        <v>#REF!</v>
      </c>
      <c r="J11" s="15" t="e">
        <f t="shared" si="1"/>
        <v>#REF!</v>
      </c>
      <c r="L11" s="15" t="e">
        <f>nomenclaturas!#REF!</f>
        <v>#REF!</v>
      </c>
      <c r="M11" s="15" t="e">
        <f>nomenclaturas!#REF!</f>
        <v>#REF!</v>
      </c>
      <c r="N11" s="15" t="e">
        <f>nomenclaturas!#REF!</f>
        <v>#REF!</v>
      </c>
      <c r="O11" s="15" t="e">
        <f t="shared" si="2"/>
        <v>#REF!</v>
      </c>
      <c r="Q11" s="15" t="e">
        <f>nomenclaturas!#REF!</f>
        <v>#REF!</v>
      </c>
      <c r="R11" s="15" t="e">
        <f>nomenclaturas!#REF!</f>
        <v>#REF!</v>
      </c>
      <c r="S11" s="15" t="e">
        <f>nomenclaturas!#REF!</f>
        <v>#REF!</v>
      </c>
      <c r="T11" s="15" t="e">
        <f t="shared" si="3"/>
        <v>#REF!</v>
      </c>
    </row>
    <row r="12" spans="1:20" ht="18.75" customHeight="1" x14ac:dyDescent="0.25">
      <c r="A12" s="12" t="e">
        <f>nomenclaturas!#REF!</f>
        <v>#REF!</v>
      </c>
      <c r="B12" s="12" t="e">
        <f>nomenclaturas!#REF!</f>
        <v>#REF!</v>
      </c>
      <c r="C12" s="14" t="e">
        <f>nomenclaturas!#REF!</f>
        <v>#REF!</v>
      </c>
      <c r="D12" s="12" t="s">
        <v>26</v>
      </c>
      <c r="E12" s="12" t="e">
        <f t="shared" si="0"/>
        <v>#REF!</v>
      </c>
      <c r="G12" s="15" t="e">
        <f>nomenclaturas!#REF!</f>
        <v>#REF!</v>
      </c>
      <c r="H12" s="15" t="e">
        <f>nomenclaturas!#REF!</f>
        <v>#REF!</v>
      </c>
      <c r="I12" s="15" t="e">
        <f>nomenclaturas!#REF!</f>
        <v>#REF!</v>
      </c>
      <c r="J12" s="15" t="e">
        <f t="shared" si="1"/>
        <v>#REF!</v>
      </c>
      <c r="L12" s="15" t="e">
        <f>nomenclaturas!#REF!</f>
        <v>#REF!</v>
      </c>
      <c r="M12" s="15" t="e">
        <f>nomenclaturas!#REF!</f>
        <v>#REF!</v>
      </c>
      <c r="N12" s="15" t="e">
        <f>nomenclaturas!#REF!</f>
        <v>#REF!</v>
      </c>
      <c r="O12" s="15" t="e">
        <f t="shared" si="2"/>
        <v>#REF!</v>
      </c>
      <c r="Q12" s="15" t="e">
        <f>nomenclaturas!#REF!</f>
        <v>#REF!</v>
      </c>
      <c r="R12" s="15" t="e">
        <f>nomenclaturas!#REF!</f>
        <v>#REF!</v>
      </c>
      <c r="S12" s="15" t="e">
        <f>nomenclaturas!#REF!</f>
        <v>#REF!</v>
      </c>
      <c r="T12" s="15" t="e">
        <f t="shared" si="3"/>
        <v>#REF!</v>
      </c>
    </row>
    <row r="13" spans="1:20" ht="18.75" customHeight="1" x14ac:dyDescent="0.25">
      <c r="A13" s="12" t="e">
        <f>nomenclaturas!#REF!</f>
        <v>#REF!</v>
      </c>
      <c r="B13" s="14" t="e">
        <f>nomenclaturas!#REF!</f>
        <v>#REF!</v>
      </c>
      <c r="C13" s="14"/>
      <c r="D13" s="12" t="s">
        <v>27</v>
      </c>
      <c r="E13" s="12" t="e">
        <f t="shared" si="0"/>
        <v>#REF!</v>
      </c>
      <c r="G13" s="15" t="e">
        <f>nomenclaturas!#REF!</f>
        <v>#REF!</v>
      </c>
      <c r="H13" s="15" t="e">
        <f>nomenclaturas!#REF!</f>
        <v>#REF!</v>
      </c>
      <c r="I13" s="15" t="e">
        <f>nomenclaturas!#REF!</f>
        <v>#REF!</v>
      </c>
      <c r="J13" s="15" t="e">
        <f t="shared" si="1"/>
        <v>#REF!</v>
      </c>
      <c r="L13" s="15" t="e">
        <f>nomenclaturas!#REF!</f>
        <v>#REF!</v>
      </c>
      <c r="M13" s="15" t="e">
        <f>nomenclaturas!#REF!</f>
        <v>#REF!</v>
      </c>
      <c r="N13" s="15" t="e">
        <f>nomenclaturas!#REF!</f>
        <v>#REF!</v>
      </c>
      <c r="O13" s="15" t="e">
        <f t="shared" si="2"/>
        <v>#REF!</v>
      </c>
      <c r="Q13" s="15" t="e">
        <f>nomenclaturas!#REF!</f>
        <v>#REF!</v>
      </c>
      <c r="R13" s="15" t="e">
        <f>nomenclaturas!#REF!</f>
        <v>#REF!</v>
      </c>
      <c r="S13" s="15" t="e">
        <f>nomenclaturas!#REF!</f>
        <v>#REF!</v>
      </c>
      <c r="T13" s="15" t="e">
        <f t="shared" si="3"/>
        <v>#REF!</v>
      </c>
    </row>
    <row r="14" spans="1:20" ht="18.75" customHeight="1" x14ac:dyDescent="0.25">
      <c r="A14" s="12" t="e">
        <f>nomenclaturas!#REF!</f>
        <v>#REF!</v>
      </c>
      <c r="B14" s="12" t="e">
        <f>nomenclaturas!#REF!</f>
        <v>#REF!</v>
      </c>
      <c r="C14" s="14" t="e">
        <f>nomenclaturas!#REF!</f>
        <v>#REF!</v>
      </c>
      <c r="D14" s="12" t="s">
        <v>28</v>
      </c>
      <c r="E14" s="12" t="e">
        <f t="shared" si="0"/>
        <v>#REF!</v>
      </c>
      <c r="G14" s="15" t="e">
        <f>nomenclaturas!#REF!</f>
        <v>#REF!</v>
      </c>
      <c r="H14" s="15" t="e">
        <f>nomenclaturas!#REF!</f>
        <v>#REF!</v>
      </c>
      <c r="I14" s="15" t="e">
        <f>nomenclaturas!#REF!</f>
        <v>#REF!</v>
      </c>
      <c r="J14" s="15" t="e">
        <f t="shared" ref="J14:J16" si="4">SUM(G14:I14)</f>
        <v>#REF!</v>
      </c>
      <c r="L14" s="15" t="e">
        <f>nomenclaturas!#REF!</f>
        <v>#REF!</v>
      </c>
      <c r="M14" s="15" t="e">
        <f>nomenclaturas!#REF!</f>
        <v>#REF!</v>
      </c>
      <c r="N14" s="15" t="e">
        <f>nomenclaturas!#REF!</f>
        <v>#REF!</v>
      </c>
      <c r="O14" s="15" t="e">
        <f t="shared" si="2"/>
        <v>#REF!</v>
      </c>
      <c r="Q14" s="15" t="e">
        <f>nomenclaturas!#REF!</f>
        <v>#REF!</v>
      </c>
      <c r="R14" s="15" t="e">
        <f>nomenclaturas!#REF!</f>
        <v>#REF!</v>
      </c>
      <c r="S14" s="15" t="e">
        <f>nomenclaturas!#REF!</f>
        <v>#REF!</v>
      </c>
      <c r="T14" s="15" t="e">
        <f t="shared" si="3"/>
        <v>#REF!</v>
      </c>
    </row>
    <row r="15" spans="1:20" ht="18.75" customHeight="1" x14ac:dyDescent="0.25">
      <c r="A15" s="12" t="e">
        <f>nomenclaturas!#REF!</f>
        <v>#REF!</v>
      </c>
      <c r="B15" s="12" t="e">
        <f>nomenclaturas!#REF!</f>
        <v>#REF!</v>
      </c>
      <c r="C15" s="14" t="e">
        <f>nomenclaturas!#REF!</f>
        <v>#REF!</v>
      </c>
      <c r="D15" s="12" t="s">
        <v>29</v>
      </c>
      <c r="E15" s="12" t="e">
        <f t="shared" si="0"/>
        <v>#REF!</v>
      </c>
      <c r="G15" s="15" t="e">
        <f>nomenclaturas!#REF!</f>
        <v>#REF!</v>
      </c>
      <c r="H15" s="15" t="e">
        <f>nomenclaturas!#REF!</f>
        <v>#REF!</v>
      </c>
      <c r="I15" s="15" t="e">
        <f>nomenclaturas!#REF!</f>
        <v>#REF!</v>
      </c>
      <c r="J15" s="15" t="e">
        <f t="shared" si="4"/>
        <v>#REF!</v>
      </c>
      <c r="L15" s="15" t="e">
        <f>nomenclaturas!#REF!</f>
        <v>#REF!</v>
      </c>
      <c r="M15" s="15" t="e">
        <f>nomenclaturas!#REF!</f>
        <v>#REF!</v>
      </c>
      <c r="N15" s="15" t="e">
        <f>nomenclaturas!#REF!</f>
        <v>#REF!</v>
      </c>
      <c r="O15" s="15" t="e">
        <f t="shared" si="2"/>
        <v>#REF!</v>
      </c>
      <c r="Q15" s="15" t="e">
        <f>nomenclaturas!#REF!</f>
        <v>#REF!</v>
      </c>
      <c r="R15" s="15" t="e">
        <f>nomenclaturas!#REF!</f>
        <v>#REF!</v>
      </c>
      <c r="S15" s="15" t="e">
        <f>nomenclaturas!#REF!</f>
        <v>#REF!</v>
      </c>
      <c r="T15" s="15" t="e">
        <f t="shared" si="3"/>
        <v>#REF!</v>
      </c>
    </row>
    <row r="16" spans="1:20" ht="18.75" customHeight="1" x14ac:dyDescent="0.25">
      <c r="A16" s="12" t="e">
        <f>nomenclaturas!#REF!</f>
        <v>#REF!</v>
      </c>
      <c r="B16" s="12" t="e">
        <f>nomenclaturas!#REF!</f>
        <v>#REF!</v>
      </c>
      <c r="C16" s="14" t="e">
        <f>nomenclaturas!#REF!</f>
        <v>#REF!</v>
      </c>
      <c r="D16" s="12" t="s">
        <v>30</v>
      </c>
      <c r="E16" s="12" t="e">
        <f t="shared" si="0"/>
        <v>#REF!</v>
      </c>
      <c r="G16" s="15" t="e">
        <f>nomenclaturas!#REF!</f>
        <v>#REF!</v>
      </c>
      <c r="H16" s="15" t="e">
        <f>nomenclaturas!#REF!</f>
        <v>#REF!</v>
      </c>
      <c r="I16" s="15" t="e">
        <f>nomenclaturas!#REF!</f>
        <v>#REF!</v>
      </c>
      <c r="J16" s="15" t="e">
        <f t="shared" si="4"/>
        <v>#REF!</v>
      </c>
      <c r="L16" s="15" t="e">
        <f>nomenclaturas!#REF!</f>
        <v>#REF!</v>
      </c>
      <c r="M16" s="15" t="e">
        <f>nomenclaturas!#REF!</f>
        <v>#REF!</v>
      </c>
      <c r="N16" s="15" t="e">
        <f>nomenclaturas!#REF!</f>
        <v>#REF!</v>
      </c>
      <c r="O16" s="15" t="e">
        <f t="shared" si="2"/>
        <v>#REF!</v>
      </c>
      <c r="Q16" s="15" t="e">
        <f>nomenclaturas!#REF!</f>
        <v>#REF!</v>
      </c>
      <c r="R16" s="15" t="e">
        <f>nomenclaturas!#REF!</f>
        <v>#REF!</v>
      </c>
      <c r="S16" s="15" t="e">
        <f>nomenclaturas!#REF!</f>
        <v>#REF!</v>
      </c>
      <c r="T16" s="15" t="e">
        <f t="shared" si="3"/>
        <v>#REF!</v>
      </c>
    </row>
    <row r="17" spans="1:20" ht="18.75" customHeight="1" x14ac:dyDescent="0.25">
      <c r="A17" s="12" t="e">
        <f>nomenclaturas!#REF!</f>
        <v>#REF!</v>
      </c>
      <c r="B17" s="14" t="e">
        <f>nomenclaturas!#REF!</f>
        <v>#REF!</v>
      </c>
      <c r="C17" s="14"/>
      <c r="D17" s="12" t="s">
        <v>31</v>
      </c>
      <c r="E17" s="12" t="e">
        <f t="shared" si="0"/>
        <v>#REF!</v>
      </c>
      <c r="G17" s="15" t="e">
        <f>nomenclaturas!#REF!</f>
        <v>#REF!</v>
      </c>
      <c r="H17" s="15" t="e">
        <f>nomenclaturas!#REF!</f>
        <v>#REF!</v>
      </c>
      <c r="I17" s="15" t="e">
        <f>nomenclaturas!#REF!</f>
        <v>#REF!</v>
      </c>
      <c r="J17" s="15" t="e">
        <f t="shared" ref="J17:J21" si="5">SUM(G17:I17)</f>
        <v>#REF!</v>
      </c>
      <c r="L17" s="15" t="e">
        <f>nomenclaturas!#REF!</f>
        <v>#REF!</v>
      </c>
      <c r="M17" s="15" t="e">
        <f>nomenclaturas!#REF!</f>
        <v>#REF!</v>
      </c>
      <c r="N17" s="15" t="e">
        <f>nomenclaturas!#REF!</f>
        <v>#REF!</v>
      </c>
      <c r="O17" s="15" t="e">
        <f t="shared" si="2"/>
        <v>#REF!</v>
      </c>
      <c r="Q17" s="15" t="e">
        <f>nomenclaturas!#REF!</f>
        <v>#REF!</v>
      </c>
      <c r="R17" s="15" t="e">
        <f>nomenclaturas!#REF!</f>
        <v>#REF!</v>
      </c>
      <c r="S17" s="15" t="e">
        <f>nomenclaturas!#REF!</f>
        <v>#REF!</v>
      </c>
      <c r="T17" s="15" t="e">
        <f t="shared" si="3"/>
        <v>#REF!</v>
      </c>
    </row>
    <row r="18" spans="1:20" ht="18.75" customHeight="1" x14ac:dyDescent="0.25">
      <c r="A18" s="12" t="e">
        <f>nomenclaturas!#REF!</f>
        <v>#REF!</v>
      </c>
      <c r="B18" s="12" t="e">
        <f>nomenclaturas!#REF!</f>
        <v>#REF!</v>
      </c>
      <c r="C18" s="14" t="e">
        <f>nomenclaturas!#REF!</f>
        <v>#REF!</v>
      </c>
      <c r="D18" s="12" t="s">
        <v>32</v>
      </c>
      <c r="E18" s="12" t="e">
        <f t="shared" si="0"/>
        <v>#REF!</v>
      </c>
      <c r="G18" s="15" t="e">
        <f>nomenclaturas!#REF!</f>
        <v>#REF!</v>
      </c>
      <c r="H18" s="15" t="e">
        <f>nomenclaturas!#REF!</f>
        <v>#REF!</v>
      </c>
      <c r="I18" s="15" t="e">
        <f>nomenclaturas!#REF!</f>
        <v>#REF!</v>
      </c>
      <c r="J18" s="15" t="e">
        <f t="shared" si="5"/>
        <v>#REF!</v>
      </c>
      <c r="L18" s="15" t="e">
        <f>nomenclaturas!#REF!</f>
        <v>#REF!</v>
      </c>
      <c r="M18" s="15" t="e">
        <f>nomenclaturas!#REF!</f>
        <v>#REF!</v>
      </c>
      <c r="N18" s="15" t="e">
        <f>nomenclaturas!#REF!</f>
        <v>#REF!</v>
      </c>
      <c r="O18" s="15" t="e">
        <f t="shared" si="2"/>
        <v>#REF!</v>
      </c>
      <c r="Q18" s="15" t="e">
        <f>nomenclaturas!#REF!</f>
        <v>#REF!</v>
      </c>
      <c r="R18" s="15" t="e">
        <f>nomenclaturas!#REF!</f>
        <v>#REF!</v>
      </c>
      <c r="S18" s="15" t="e">
        <f>nomenclaturas!#REF!</f>
        <v>#REF!</v>
      </c>
      <c r="T18" s="15" t="e">
        <f t="shared" si="3"/>
        <v>#REF!</v>
      </c>
    </row>
    <row r="19" spans="1:20" ht="18.75" customHeight="1" x14ac:dyDescent="0.25">
      <c r="A19" s="12" t="e">
        <f>nomenclaturas!#REF!</f>
        <v>#REF!</v>
      </c>
      <c r="B19" s="12" t="e">
        <f>nomenclaturas!#REF!</f>
        <v>#REF!</v>
      </c>
      <c r="C19" s="14" t="e">
        <f>nomenclaturas!#REF!</f>
        <v>#REF!</v>
      </c>
      <c r="D19" s="12" t="s">
        <v>33</v>
      </c>
      <c r="E19" s="12" t="e">
        <f t="shared" si="0"/>
        <v>#REF!</v>
      </c>
      <c r="G19" s="15" t="e">
        <f>nomenclaturas!#REF!</f>
        <v>#REF!</v>
      </c>
      <c r="H19" s="15" t="e">
        <f>nomenclaturas!#REF!</f>
        <v>#REF!</v>
      </c>
      <c r="I19" s="15" t="e">
        <f>nomenclaturas!#REF!</f>
        <v>#REF!</v>
      </c>
      <c r="J19" s="15" t="e">
        <f t="shared" si="5"/>
        <v>#REF!</v>
      </c>
      <c r="L19" s="15" t="e">
        <f>nomenclaturas!#REF!</f>
        <v>#REF!</v>
      </c>
      <c r="M19" s="15" t="e">
        <f>nomenclaturas!#REF!</f>
        <v>#REF!</v>
      </c>
      <c r="N19" s="15" t="e">
        <f>nomenclaturas!#REF!</f>
        <v>#REF!</v>
      </c>
      <c r="O19" s="15" t="e">
        <f t="shared" si="2"/>
        <v>#REF!</v>
      </c>
      <c r="Q19" s="15" t="e">
        <f>nomenclaturas!#REF!</f>
        <v>#REF!</v>
      </c>
      <c r="R19" s="15" t="e">
        <f>nomenclaturas!#REF!</f>
        <v>#REF!</v>
      </c>
      <c r="S19" s="15" t="e">
        <f>nomenclaturas!#REF!</f>
        <v>#REF!</v>
      </c>
      <c r="T19" s="15" t="e">
        <f t="shared" si="3"/>
        <v>#REF!</v>
      </c>
    </row>
    <row r="20" spans="1:20" ht="18.75" customHeight="1" x14ac:dyDescent="0.25">
      <c r="A20" s="12" t="e">
        <f>nomenclaturas!#REF!</f>
        <v>#REF!</v>
      </c>
      <c r="B20" s="12" t="e">
        <f>nomenclaturas!#REF!</f>
        <v>#REF!</v>
      </c>
      <c r="C20" s="14" t="e">
        <f>nomenclaturas!#REF!</f>
        <v>#REF!</v>
      </c>
      <c r="D20" s="12" t="s">
        <v>34</v>
      </c>
      <c r="E20" s="12" t="e">
        <f t="shared" si="0"/>
        <v>#REF!</v>
      </c>
      <c r="G20" s="15" t="e">
        <f>nomenclaturas!#REF!</f>
        <v>#REF!</v>
      </c>
      <c r="H20" s="15" t="e">
        <f>nomenclaturas!#REF!</f>
        <v>#REF!</v>
      </c>
      <c r="I20" s="15" t="e">
        <f>nomenclaturas!#REF!</f>
        <v>#REF!</v>
      </c>
      <c r="J20" s="15" t="e">
        <f t="shared" si="5"/>
        <v>#REF!</v>
      </c>
      <c r="L20" s="15" t="e">
        <f>nomenclaturas!#REF!</f>
        <v>#REF!</v>
      </c>
      <c r="M20" s="15" t="e">
        <f>nomenclaturas!#REF!</f>
        <v>#REF!</v>
      </c>
      <c r="N20" s="15" t="e">
        <f>nomenclaturas!#REF!</f>
        <v>#REF!</v>
      </c>
      <c r="O20" s="15" t="e">
        <f t="shared" si="2"/>
        <v>#REF!</v>
      </c>
      <c r="Q20" s="15" t="e">
        <f>nomenclaturas!#REF!</f>
        <v>#REF!</v>
      </c>
      <c r="R20" s="15" t="e">
        <f>nomenclaturas!#REF!</f>
        <v>#REF!</v>
      </c>
      <c r="S20" s="15" t="e">
        <f>nomenclaturas!#REF!</f>
        <v>#REF!</v>
      </c>
      <c r="T20" s="15" t="e">
        <f t="shared" si="3"/>
        <v>#REF!</v>
      </c>
    </row>
    <row r="21" spans="1:20" ht="18.75" customHeight="1" x14ac:dyDescent="0.25">
      <c r="A21" s="12" t="e">
        <f>nomenclaturas!#REF!</f>
        <v>#REF!</v>
      </c>
      <c r="B21" s="14" t="e">
        <f>nomenclaturas!#REF!</f>
        <v>#REF!</v>
      </c>
      <c r="C21" s="14"/>
      <c r="D21" s="12" t="s">
        <v>94</v>
      </c>
      <c r="E21" s="12" t="e">
        <f t="shared" si="0"/>
        <v>#REF!</v>
      </c>
      <c r="G21" s="15" t="e">
        <f>nomenclaturas!#REF!</f>
        <v>#REF!</v>
      </c>
      <c r="H21" s="15" t="e">
        <f>nomenclaturas!#REF!</f>
        <v>#REF!</v>
      </c>
      <c r="I21" s="15" t="e">
        <f>nomenclaturas!#REF!</f>
        <v>#REF!</v>
      </c>
      <c r="J21" s="15" t="e">
        <f t="shared" si="5"/>
        <v>#REF!</v>
      </c>
      <c r="L21" s="15" t="e">
        <f>nomenclaturas!#REF!</f>
        <v>#REF!</v>
      </c>
      <c r="M21" s="15" t="e">
        <f>nomenclaturas!#REF!</f>
        <v>#REF!</v>
      </c>
      <c r="N21" s="15" t="e">
        <f>nomenclaturas!#REF!</f>
        <v>#REF!</v>
      </c>
      <c r="O21" s="15" t="e">
        <f t="shared" si="2"/>
        <v>#REF!</v>
      </c>
      <c r="Q21" s="15" t="e">
        <f>nomenclaturas!#REF!</f>
        <v>#REF!</v>
      </c>
      <c r="R21" s="15" t="e">
        <f>nomenclaturas!#REF!</f>
        <v>#REF!</v>
      </c>
      <c r="S21" s="15" t="e">
        <f>nomenclaturas!#REF!</f>
        <v>#REF!</v>
      </c>
      <c r="T21" s="15" t="e">
        <f t="shared" si="3"/>
        <v>#REF!</v>
      </c>
    </row>
    <row r="22" spans="1:20" ht="18.75" customHeight="1" x14ac:dyDescent="0.25">
      <c r="A22" s="12" t="e">
        <f>nomenclaturas!#REF!</f>
        <v>#REF!</v>
      </c>
      <c r="B22" s="14" t="e">
        <f>nomenclaturas!#REF!</f>
        <v>#REF!</v>
      </c>
      <c r="C22" s="14"/>
      <c r="D22" s="12" t="s">
        <v>95</v>
      </c>
      <c r="E22" s="12" t="e">
        <f t="shared" si="0"/>
        <v>#REF!</v>
      </c>
      <c r="G22" s="15" t="e">
        <f>nomenclaturas!#REF!</f>
        <v>#REF!</v>
      </c>
      <c r="H22" s="15" t="e">
        <f>nomenclaturas!#REF!</f>
        <v>#REF!</v>
      </c>
      <c r="I22" s="15" t="e">
        <f>nomenclaturas!#REF!</f>
        <v>#REF!</v>
      </c>
      <c r="J22" s="15" t="e">
        <f>SUM(G22:I22)</f>
        <v>#REF!</v>
      </c>
      <c r="L22" s="15" t="e">
        <f>nomenclaturas!#REF!</f>
        <v>#REF!</v>
      </c>
      <c r="M22" s="15" t="e">
        <f>nomenclaturas!#REF!</f>
        <v>#REF!</v>
      </c>
      <c r="N22" s="15" t="e">
        <f>nomenclaturas!#REF!</f>
        <v>#REF!</v>
      </c>
      <c r="O22" s="15" t="e">
        <f t="shared" si="2"/>
        <v>#REF!</v>
      </c>
      <c r="Q22" s="15" t="e">
        <f>nomenclaturas!#REF!</f>
        <v>#REF!</v>
      </c>
      <c r="R22" s="15" t="e">
        <f>nomenclaturas!#REF!</f>
        <v>#REF!</v>
      </c>
      <c r="S22" s="15" t="e">
        <f>nomenclaturas!#REF!</f>
        <v>#REF!</v>
      </c>
      <c r="T22" s="15" t="e">
        <f t="shared" si="3"/>
        <v>#REF!</v>
      </c>
    </row>
    <row r="23" spans="1:20" ht="18.75" customHeight="1" x14ac:dyDescent="0.25">
      <c r="A23" s="12" t="e">
        <f>nomenclaturas!#REF!</f>
        <v>#REF!</v>
      </c>
      <c r="B23" s="37" t="e">
        <f>nomenclaturas!#REF!</f>
        <v>#REF!</v>
      </c>
      <c r="C23" s="14" t="e">
        <f>nomenclaturas!#REF!</f>
        <v>#REF!</v>
      </c>
      <c r="D23" s="12" t="s">
        <v>124</v>
      </c>
      <c r="E23" s="12" t="e">
        <f t="shared" si="0"/>
        <v>#REF!</v>
      </c>
      <c r="G23" s="15" t="e">
        <f>nomenclaturas!#REF!</f>
        <v>#REF!</v>
      </c>
      <c r="H23" s="15" t="e">
        <f>nomenclaturas!#REF!</f>
        <v>#REF!</v>
      </c>
      <c r="I23" s="15" t="e">
        <f>nomenclaturas!#REF!</f>
        <v>#REF!</v>
      </c>
      <c r="J23" s="15" t="e">
        <f t="shared" ref="J23:J26" si="6">SUM(G23:I23)</f>
        <v>#REF!</v>
      </c>
      <c r="L23" s="15" t="e">
        <f>nomenclaturas!#REF!</f>
        <v>#REF!</v>
      </c>
      <c r="M23" s="15" t="e">
        <f>nomenclaturas!#REF!</f>
        <v>#REF!</v>
      </c>
      <c r="N23" s="15" t="e">
        <f>nomenclaturas!#REF!</f>
        <v>#REF!</v>
      </c>
      <c r="O23" s="15" t="e">
        <f t="shared" si="2"/>
        <v>#REF!</v>
      </c>
      <c r="Q23" s="15" t="e">
        <f>nomenclaturas!#REF!</f>
        <v>#REF!</v>
      </c>
      <c r="R23" s="15" t="e">
        <f>nomenclaturas!#REF!</f>
        <v>#REF!</v>
      </c>
      <c r="S23" s="15" t="e">
        <f>nomenclaturas!#REF!</f>
        <v>#REF!</v>
      </c>
      <c r="T23" s="15" t="e">
        <f t="shared" si="3"/>
        <v>#REF!</v>
      </c>
    </row>
    <row r="24" spans="1:20" ht="18.75" customHeight="1" x14ac:dyDescent="0.25">
      <c r="A24" s="12" t="e">
        <f>nomenclaturas!#REF!</f>
        <v>#REF!</v>
      </c>
      <c r="B24" s="14" t="e">
        <f>nomenclaturas!#REF!</f>
        <v>#REF!</v>
      </c>
      <c r="C24" s="14" t="e">
        <f>nomenclaturas!#REF!</f>
        <v>#REF!</v>
      </c>
      <c r="D24" s="12" t="s">
        <v>125</v>
      </c>
      <c r="E24" s="12" t="e">
        <f t="shared" si="0"/>
        <v>#REF!</v>
      </c>
      <c r="G24" s="15" t="e">
        <f>nomenclaturas!#REF!</f>
        <v>#REF!</v>
      </c>
      <c r="H24" s="15" t="e">
        <f>nomenclaturas!#REF!</f>
        <v>#REF!</v>
      </c>
      <c r="I24" s="15" t="e">
        <f>nomenclaturas!#REF!</f>
        <v>#REF!</v>
      </c>
      <c r="J24" s="15" t="e">
        <f t="shared" si="6"/>
        <v>#REF!</v>
      </c>
      <c r="L24" s="15" t="e">
        <f>nomenclaturas!#REF!</f>
        <v>#REF!</v>
      </c>
      <c r="M24" s="15" t="e">
        <f>nomenclaturas!#REF!</f>
        <v>#REF!</v>
      </c>
      <c r="N24" s="15" t="e">
        <f>nomenclaturas!#REF!</f>
        <v>#REF!</v>
      </c>
      <c r="O24" s="15" t="e">
        <f t="shared" si="2"/>
        <v>#REF!</v>
      </c>
      <c r="Q24" s="15" t="e">
        <f>nomenclaturas!#REF!</f>
        <v>#REF!</v>
      </c>
      <c r="R24" s="15" t="e">
        <f>nomenclaturas!#REF!</f>
        <v>#REF!</v>
      </c>
      <c r="S24" s="15" t="e">
        <f>nomenclaturas!#REF!</f>
        <v>#REF!</v>
      </c>
      <c r="T24" s="15" t="e">
        <f t="shared" si="3"/>
        <v>#REF!</v>
      </c>
    </row>
    <row r="25" spans="1:20" ht="18.75" customHeight="1" x14ac:dyDescent="0.25">
      <c r="A25" s="12" t="e">
        <f>nomenclaturas!#REF!</f>
        <v>#REF!</v>
      </c>
      <c r="B25" s="14" t="e">
        <f>nomenclaturas!#REF!</f>
        <v>#REF!</v>
      </c>
      <c r="C25" s="14" t="e">
        <f>nomenclaturas!#REF!</f>
        <v>#REF!</v>
      </c>
      <c r="D25" s="12" t="s">
        <v>126</v>
      </c>
      <c r="E25" s="12" t="e">
        <f t="shared" si="0"/>
        <v>#REF!</v>
      </c>
      <c r="G25" s="15" t="e">
        <f>nomenclaturas!#REF!</f>
        <v>#REF!</v>
      </c>
      <c r="H25" s="15" t="e">
        <f>nomenclaturas!#REF!</f>
        <v>#REF!</v>
      </c>
      <c r="I25" s="15" t="e">
        <f>nomenclaturas!#REF!</f>
        <v>#REF!</v>
      </c>
      <c r="J25" s="15" t="e">
        <f t="shared" si="6"/>
        <v>#REF!</v>
      </c>
      <c r="L25" s="15" t="e">
        <f>nomenclaturas!#REF!</f>
        <v>#REF!</v>
      </c>
      <c r="M25" s="15" t="e">
        <f>nomenclaturas!#REF!</f>
        <v>#REF!</v>
      </c>
      <c r="N25" s="15" t="e">
        <f>nomenclaturas!#REF!</f>
        <v>#REF!</v>
      </c>
      <c r="O25" s="15" t="e">
        <f t="shared" si="2"/>
        <v>#REF!</v>
      </c>
      <c r="Q25" s="15" t="e">
        <f>nomenclaturas!#REF!</f>
        <v>#REF!</v>
      </c>
      <c r="R25" s="15" t="e">
        <f>nomenclaturas!#REF!</f>
        <v>#REF!</v>
      </c>
      <c r="S25" s="15" t="e">
        <f>nomenclaturas!#REF!</f>
        <v>#REF!</v>
      </c>
      <c r="T25" s="15" t="e">
        <f t="shared" si="3"/>
        <v>#REF!</v>
      </c>
    </row>
    <row r="26" spans="1:20" ht="18.75" customHeight="1" x14ac:dyDescent="0.25">
      <c r="A26" s="12" t="e">
        <f>nomenclaturas!#REF!</f>
        <v>#REF!</v>
      </c>
      <c r="B26" s="14" t="e">
        <f>nomenclaturas!#REF!</f>
        <v>#REF!</v>
      </c>
      <c r="C26" s="14" t="e">
        <f>nomenclaturas!#REF!</f>
        <v>#REF!</v>
      </c>
      <c r="D26" s="12" t="s">
        <v>127</v>
      </c>
      <c r="E26" s="12" t="e">
        <f t="shared" si="0"/>
        <v>#REF!</v>
      </c>
      <c r="G26" s="15" t="e">
        <f>nomenclaturas!#REF!</f>
        <v>#REF!</v>
      </c>
      <c r="H26" s="15" t="e">
        <f>nomenclaturas!#REF!</f>
        <v>#REF!</v>
      </c>
      <c r="I26" s="15" t="e">
        <f>nomenclaturas!#REF!</f>
        <v>#REF!</v>
      </c>
      <c r="J26" s="15" t="e">
        <f t="shared" si="6"/>
        <v>#REF!</v>
      </c>
      <c r="L26" s="15" t="e">
        <f>nomenclaturas!#REF!</f>
        <v>#REF!</v>
      </c>
      <c r="M26" s="15" t="e">
        <f>nomenclaturas!#REF!</f>
        <v>#REF!</v>
      </c>
      <c r="N26" s="15" t="e">
        <f>nomenclaturas!#REF!</f>
        <v>#REF!</v>
      </c>
      <c r="O26" s="15" t="e">
        <f t="shared" si="2"/>
        <v>#REF!</v>
      </c>
      <c r="Q26" s="15" t="e">
        <f>nomenclaturas!#REF!</f>
        <v>#REF!</v>
      </c>
      <c r="R26" s="15" t="e">
        <f>nomenclaturas!#REF!</f>
        <v>#REF!</v>
      </c>
      <c r="S26" s="15" t="e">
        <f>nomenclaturas!#REF!</f>
        <v>#REF!</v>
      </c>
      <c r="T26" s="15" t="e">
        <f t="shared" si="3"/>
        <v>#REF!</v>
      </c>
    </row>
    <row r="27" spans="1:20" ht="18.75" customHeight="1" x14ac:dyDescent="0.25">
      <c r="A27" s="12" t="e">
        <f>nomenclaturas!#REF!</f>
        <v>#REF!</v>
      </c>
      <c r="B27" s="14" t="e">
        <f>nomenclaturas!#REF!</f>
        <v>#REF!</v>
      </c>
      <c r="C27" s="14"/>
      <c r="D27" s="12" t="s">
        <v>14</v>
      </c>
      <c r="E27" s="12" t="e">
        <f t="shared" si="0"/>
        <v>#REF!</v>
      </c>
      <c r="G27" s="15" t="e">
        <f>nomenclaturas!#REF!</f>
        <v>#REF!</v>
      </c>
      <c r="H27" s="15">
        <v>0</v>
      </c>
      <c r="I27" s="15" t="e">
        <f>nomenclaturas!#REF!</f>
        <v>#REF!</v>
      </c>
      <c r="J27" s="15" t="e">
        <f t="shared" ref="J27:J62" si="7">SUM(G27:I27)</f>
        <v>#REF!</v>
      </c>
      <c r="L27" s="15" t="e">
        <f>nomenclaturas!#REF!</f>
        <v>#REF!</v>
      </c>
      <c r="M27" s="15">
        <v>0</v>
      </c>
      <c r="N27" s="15" t="e">
        <f>nomenclaturas!#REF!</f>
        <v>#REF!</v>
      </c>
      <c r="O27" s="15" t="e">
        <f t="shared" si="2"/>
        <v>#REF!</v>
      </c>
      <c r="Q27" s="15" t="e">
        <f>nomenclaturas!#REF!</f>
        <v>#REF!</v>
      </c>
      <c r="R27" s="15">
        <v>0</v>
      </c>
      <c r="S27" s="15" t="e">
        <f>nomenclaturas!#REF!</f>
        <v>#REF!</v>
      </c>
      <c r="T27" s="15" t="e">
        <f t="shared" si="3"/>
        <v>#REF!</v>
      </c>
    </row>
    <row r="28" spans="1:20" ht="18.75" customHeight="1" x14ac:dyDescent="0.25">
      <c r="A28" s="12" t="e">
        <f>A27</f>
        <v>#REF!</v>
      </c>
      <c r="B28" s="16" t="e">
        <f>nomenclaturas!#REF!</f>
        <v>#REF!</v>
      </c>
      <c r="C28" s="16"/>
      <c r="D28" s="12" t="s">
        <v>15</v>
      </c>
      <c r="E28" s="12" t="e">
        <f t="shared" si="0"/>
        <v>#REF!</v>
      </c>
      <c r="G28" s="15" t="e">
        <f>nomenclaturas!#REF!</f>
        <v>#REF!</v>
      </c>
      <c r="H28" s="15">
        <v>0</v>
      </c>
      <c r="I28" s="15" t="e">
        <f>nomenclaturas!#REF!</f>
        <v>#REF!</v>
      </c>
      <c r="J28" s="15" t="e">
        <f t="shared" si="7"/>
        <v>#REF!</v>
      </c>
      <c r="L28" s="15" t="e">
        <f>nomenclaturas!#REF!</f>
        <v>#REF!</v>
      </c>
      <c r="M28" s="15">
        <v>0</v>
      </c>
      <c r="N28" s="15" t="e">
        <f>nomenclaturas!#REF!</f>
        <v>#REF!</v>
      </c>
      <c r="O28" s="15" t="e">
        <f t="shared" si="2"/>
        <v>#REF!</v>
      </c>
      <c r="Q28" s="15" t="e">
        <f>nomenclaturas!#REF!</f>
        <v>#REF!</v>
      </c>
      <c r="R28" s="15">
        <v>0</v>
      </c>
      <c r="S28" s="15" t="e">
        <f>nomenclaturas!#REF!</f>
        <v>#REF!</v>
      </c>
      <c r="T28" s="15" t="e">
        <f t="shared" si="3"/>
        <v>#REF!</v>
      </c>
    </row>
    <row r="29" spans="1:20" ht="18.75" customHeight="1" x14ac:dyDescent="0.25">
      <c r="A29" s="12" t="e">
        <f t="shared" ref="A29:A30" si="8">A28</f>
        <v>#REF!</v>
      </c>
      <c r="B29" s="16" t="e">
        <f>nomenclaturas!#REF!</f>
        <v>#REF!</v>
      </c>
      <c r="C29" s="16"/>
      <c r="D29" s="12" t="s">
        <v>16</v>
      </c>
      <c r="E29" s="12" t="e">
        <f t="shared" si="0"/>
        <v>#REF!</v>
      </c>
      <c r="G29" s="15" t="e">
        <f>nomenclaturas!#REF!</f>
        <v>#REF!</v>
      </c>
      <c r="H29" s="15">
        <v>0</v>
      </c>
      <c r="I29" s="15" t="e">
        <f>nomenclaturas!#REF!</f>
        <v>#REF!</v>
      </c>
      <c r="J29" s="15" t="e">
        <f t="shared" si="7"/>
        <v>#REF!</v>
      </c>
      <c r="L29" s="15" t="e">
        <f>nomenclaturas!#REF!</f>
        <v>#REF!</v>
      </c>
      <c r="M29" s="15">
        <v>0</v>
      </c>
      <c r="N29" s="15" t="e">
        <f>nomenclaturas!#REF!</f>
        <v>#REF!</v>
      </c>
      <c r="O29" s="15" t="e">
        <f t="shared" si="2"/>
        <v>#REF!</v>
      </c>
      <c r="Q29" s="15" t="e">
        <f>nomenclaturas!#REF!</f>
        <v>#REF!</v>
      </c>
      <c r="R29" s="15">
        <v>0</v>
      </c>
      <c r="S29" s="15" t="e">
        <f>nomenclaturas!#REF!</f>
        <v>#REF!</v>
      </c>
      <c r="T29" s="15" t="e">
        <f t="shared" si="3"/>
        <v>#REF!</v>
      </c>
    </row>
    <row r="30" spans="1:20" ht="18.75" customHeight="1" x14ac:dyDescent="0.25">
      <c r="A30" s="12" t="e">
        <f t="shared" si="8"/>
        <v>#REF!</v>
      </c>
      <c r="B30" s="16" t="e">
        <f>nomenclaturas!#REF!</f>
        <v>#REF!</v>
      </c>
      <c r="C30" s="16"/>
      <c r="D30" s="12" t="s">
        <v>17</v>
      </c>
      <c r="E30" s="12" t="e">
        <f t="shared" si="0"/>
        <v>#REF!</v>
      </c>
      <c r="G30" s="15" t="e">
        <f>nomenclaturas!#REF!</f>
        <v>#REF!</v>
      </c>
      <c r="H30" s="15">
        <v>0</v>
      </c>
      <c r="I30" s="15" t="e">
        <f>nomenclaturas!#REF!</f>
        <v>#REF!</v>
      </c>
      <c r="J30" s="15" t="e">
        <f t="shared" si="7"/>
        <v>#REF!</v>
      </c>
      <c r="L30" s="15" t="e">
        <f>nomenclaturas!#REF!</f>
        <v>#REF!</v>
      </c>
      <c r="M30" s="15">
        <v>0</v>
      </c>
      <c r="N30" s="15" t="e">
        <f>nomenclaturas!#REF!</f>
        <v>#REF!</v>
      </c>
      <c r="O30" s="15" t="e">
        <f t="shared" si="2"/>
        <v>#REF!</v>
      </c>
      <c r="Q30" s="15" t="e">
        <f>nomenclaturas!#REF!</f>
        <v>#REF!</v>
      </c>
      <c r="R30" s="15">
        <v>0</v>
      </c>
      <c r="S30" s="15" t="e">
        <f>nomenclaturas!#REF!</f>
        <v>#REF!</v>
      </c>
      <c r="T30" s="15" t="e">
        <f t="shared" si="3"/>
        <v>#REF!</v>
      </c>
    </row>
    <row r="31" spans="1:20" ht="18.75" customHeight="1" x14ac:dyDescent="0.25">
      <c r="A31" s="12" t="e">
        <f>nomenclaturas!#REF!</f>
        <v>#REF!</v>
      </c>
      <c r="B31" s="16" t="e">
        <f>B27</f>
        <v>#REF!</v>
      </c>
      <c r="C31" s="16"/>
      <c r="D31" s="12" t="s">
        <v>39</v>
      </c>
      <c r="E31" s="12" t="e">
        <f t="shared" si="0"/>
        <v>#REF!</v>
      </c>
      <c r="G31" s="15" t="e">
        <f>nomenclaturas!#REF!</f>
        <v>#REF!</v>
      </c>
      <c r="H31" s="15">
        <v>0</v>
      </c>
      <c r="I31" s="15" t="e">
        <f>nomenclaturas!#REF!</f>
        <v>#REF!</v>
      </c>
      <c r="J31" s="15" t="e">
        <f t="shared" si="7"/>
        <v>#REF!</v>
      </c>
      <c r="L31" s="15" t="e">
        <f>nomenclaturas!#REF!</f>
        <v>#REF!</v>
      </c>
      <c r="M31" s="15">
        <v>0</v>
      </c>
      <c r="N31" s="15" t="e">
        <f>nomenclaturas!#REF!</f>
        <v>#REF!</v>
      </c>
      <c r="O31" s="15" t="e">
        <f t="shared" si="2"/>
        <v>#REF!</v>
      </c>
      <c r="Q31" s="15" t="e">
        <f>nomenclaturas!#REF!</f>
        <v>#REF!</v>
      </c>
      <c r="R31" s="15">
        <v>0</v>
      </c>
      <c r="S31" s="15" t="e">
        <f>nomenclaturas!#REF!</f>
        <v>#REF!</v>
      </c>
      <c r="T31" s="15" t="e">
        <f t="shared" si="3"/>
        <v>#REF!</v>
      </c>
    </row>
    <row r="32" spans="1:20" ht="18.75" customHeight="1" x14ac:dyDescent="0.25">
      <c r="A32" s="12" t="e">
        <f>A31</f>
        <v>#REF!</v>
      </c>
      <c r="B32" s="16" t="e">
        <f t="shared" ref="B32:B34" si="9">B28</f>
        <v>#REF!</v>
      </c>
      <c r="C32" s="16"/>
      <c r="D32" s="12" t="s">
        <v>40</v>
      </c>
      <c r="E32" s="12" t="e">
        <f t="shared" si="0"/>
        <v>#REF!</v>
      </c>
      <c r="G32" s="15" t="e">
        <f>nomenclaturas!#REF!</f>
        <v>#REF!</v>
      </c>
      <c r="H32" s="15">
        <v>0</v>
      </c>
      <c r="I32" s="15" t="e">
        <f>nomenclaturas!#REF!</f>
        <v>#REF!</v>
      </c>
      <c r="J32" s="15" t="e">
        <f t="shared" si="7"/>
        <v>#REF!</v>
      </c>
      <c r="L32" s="15" t="e">
        <f>nomenclaturas!#REF!</f>
        <v>#REF!</v>
      </c>
      <c r="M32" s="15">
        <v>0</v>
      </c>
      <c r="N32" s="15" t="e">
        <f>nomenclaturas!#REF!</f>
        <v>#REF!</v>
      </c>
      <c r="O32" s="15" t="e">
        <f t="shared" si="2"/>
        <v>#REF!</v>
      </c>
      <c r="Q32" s="15" t="e">
        <f>nomenclaturas!#REF!</f>
        <v>#REF!</v>
      </c>
      <c r="R32" s="15">
        <v>0</v>
      </c>
      <c r="S32" s="15" t="e">
        <f>nomenclaturas!#REF!</f>
        <v>#REF!</v>
      </c>
      <c r="T32" s="15" t="e">
        <f t="shared" si="3"/>
        <v>#REF!</v>
      </c>
    </row>
    <row r="33" spans="1:20" ht="18.75" customHeight="1" x14ac:dyDescent="0.25">
      <c r="A33" s="12" t="e">
        <f t="shared" ref="A33:A34" si="10">A32</f>
        <v>#REF!</v>
      </c>
      <c r="B33" s="16" t="e">
        <f t="shared" si="9"/>
        <v>#REF!</v>
      </c>
      <c r="C33" s="16"/>
      <c r="D33" s="12" t="s">
        <v>41</v>
      </c>
      <c r="E33" s="12" t="e">
        <f t="shared" si="0"/>
        <v>#REF!</v>
      </c>
      <c r="G33" s="15" t="e">
        <f>nomenclaturas!#REF!</f>
        <v>#REF!</v>
      </c>
      <c r="H33" s="15">
        <v>0</v>
      </c>
      <c r="I33" s="15" t="e">
        <f>nomenclaturas!#REF!</f>
        <v>#REF!</v>
      </c>
      <c r="J33" s="15" t="e">
        <f t="shared" si="7"/>
        <v>#REF!</v>
      </c>
      <c r="L33" s="15" t="e">
        <f>nomenclaturas!#REF!</f>
        <v>#REF!</v>
      </c>
      <c r="M33" s="15">
        <v>0</v>
      </c>
      <c r="N33" s="15" t="e">
        <f>nomenclaturas!#REF!</f>
        <v>#REF!</v>
      </c>
      <c r="O33" s="15" t="e">
        <f t="shared" si="2"/>
        <v>#REF!</v>
      </c>
      <c r="Q33" s="15" t="e">
        <f>nomenclaturas!#REF!</f>
        <v>#REF!</v>
      </c>
      <c r="R33" s="15">
        <v>0</v>
      </c>
      <c r="S33" s="15" t="e">
        <f>nomenclaturas!#REF!</f>
        <v>#REF!</v>
      </c>
      <c r="T33" s="15" t="e">
        <f t="shared" si="3"/>
        <v>#REF!</v>
      </c>
    </row>
    <row r="34" spans="1:20" ht="18.75" customHeight="1" x14ac:dyDescent="0.25">
      <c r="A34" s="12" t="e">
        <f t="shared" si="10"/>
        <v>#REF!</v>
      </c>
      <c r="B34" s="16" t="e">
        <f t="shared" si="9"/>
        <v>#REF!</v>
      </c>
      <c r="C34" s="16"/>
      <c r="D34" s="12" t="s">
        <v>42</v>
      </c>
      <c r="E34" s="12" t="e">
        <f t="shared" si="0"/>
        <v>#REF!</v>
      </c>
      <c r="G34" s="15" t="e">
        <f>nomenclaturas!#REF!</f>
        <v>#REF!</v>
      </c>
      <c r="H34" s="15">
        <v>0</v>
      </c>
      <c r="I34" s="15" t="e">
        <f>nomenclaturas!#REF!</f>
        <v>#REF!</v>
      </c>
      <c r="J34" s="15" t="e">
        <f t="shared" si="7"/>
        <v>#REF!</v>
      </c>
      <c r="L34" s="15" t="e">
        <f>nomenclaturas!#REF!</f>
        <v>#REF!</v>
      </c>
      <c r="M34" s="15">
        <v>0</v>
      </c>
      <c r="N34" s="15" t="e">
        <f>nomenclaturas!#REF!</f>
        <v>#REF!</v>
      </c>
      <c r="O34" s="15" t="e">
        <f t="shared" si="2"/>
        <v>#REF!</v>
      </c>
      <c r="Q34" s="15" t="e">
        <f>nomenclaturas!#REF!</f>
        <v>#REF!</v>
      </c>
      <c r="R34" s="15">
        <v>0</v>
      </c>
      <c r="S34" s="15" t="e">
        <f>nomenclaturas!#REF!</f>
        <v>#REF!</v>
      </c>
      <c r="T34" s="15" t="e">
        <f t="shared" si="3"/>
        <v>#REF!</v>
      </c>
    </row>
    <row r="35" spans="1:20" ht="18.75" customHeight="1" x14ac:dyDescent="0.25">
      <c r="A35" s="12" t="e">
        <f>nomenclaturas!#REF!</f>
        <v>#REF!</v>
      </c>
      <c r="B35" s="16" t="e">
        <f>B27</f>
        <v>#REF!</v>
      </c>
      <c r="C35" s="16"/>
      <c r="D35" s="12" t="s">
        <v>43</v>
      </c>
      <c r="E35" s="12" t="e">
        <f t="shared" si="0"/>
        <v>#REF!</v>
      </c>
      <c r="G35" s="15" t="e">
        <f>nomenclaturas!#REF!</f>
        <v>#REF!</v>
      </c>
      <c r="H35" s="15">
        <v>0</v>
      </c>
      <c r="I35" s="15" t="e">
        <f>nomenclaturas!#REF!</f>
        <v>#REF!</v>
      </c>
      <c r="J35" s="15" t="e">
        <f t="shared" si="7"/>
        <v>#REF!</v>
      </c>
      <c r="L35" s="15" t="e">
        <f>nomenclaturas!#REF!</f>
        <v>#REF!</v>
      </c>
      <c r="M35" s="15">
        <v>0</v>
      </c>
      <c r="N35" s="15" t="e">
        <f>nomenclaturas!#REF!</f>
        <v>#REF!</v>
      </c>
      <c r="O35" s="15" t="e">
        <f t="shared" si="2"/>
        <v>#REF!</v>
      </c>
      <c r="Q35" s="15" t="e">
        <f>nomenclaturas!#REF!</f>
        <v>#REF!</v>
      </c>
      <c r="R35" s="15">
        <v>0</v>
      </c>
      <c r="S35" s="15" t="e">
        <f>nomenclaturas!#REF!</f>
        <v>#REF!</v>
      </c>
      <c r="T35" s="15" t="e">
        <f t="shared" si="3"/>
        <v>#REF!</v>
      </c>
    </row>
    <row r="36" spans="1:20" ht="18.75" customHeight="1" x14ac:dyDescent="0.25">
      <c r="A36" s="12" t="e">
        <f>A35</f>
        <v>#REF!</v>
      </c>
      <c r="B36" s="16" t="e">
        <f t="shared" ref="B36:B38" si="11">B28</f>
        <v>#REF!</v>
      </c>
      <c r="C36" s="16"/>
      <c r="D36" s="12" t="s">
        <v>44</v>
      </c>
      <c r="E36" s="12" t="e">
        <f t="shared" si="0"/>
        <v>#REF!</v>
      </c>
      <c r="G36" s="15" t="e">
        <f>nomenclaturas!#REF!</f>
        <v>#REF!</v>
      </c>
      <c r="H36" s="15">
        <v>0</v>
      </c>
      <c r="I36" s="15" t="e">
        <f>nomenclaturas!#REF!</f>
        <v>#REF!</v>
      </c>
      <c r="J36" s="15" t="e">
        <f t="shared" si="7"/>
        <v>#REF!</v>
      </c>
      <c r="L36" s="15" t="e">
        <f>nomenclaturas!#REF!</f>
        <v>#REF!</v>
      </c>
      <c r="M36" s="15">
        <v>0</v>
      </c>
      <c r="N36" s="15" t="e">
        <f>nomenclaturas!#REF!</f>
        <v>#REF!</v>
      </c>
      <c r="O36" s="15" t="e">
        <f t="shared" si="2"/>
        <v>#REF!</v>
      </c>
      <c r="Q36" s="15" t="e">
        <f>nomenclaturas!#REF!</f>
        <v>#REF!</v>
      </c>
      <c r="R36" s="15">
        <v>0</v>
      </c>
      <c r="S36" s="15" t="e">
        <f>nomenclaturas!#REF!</f>
        <v>#REF!</v>
      </c>
      <c r="T36" s="15" t="e">
        <f t="shared" si="3"/>
        <v>#REF!</v>
      </c>
    </row>
    <row r="37" spans="1:20" ht="18.75" customHeight="1" x14ac:dyDescent="0.25">
      <c r="A37" s="12" t="e">
        <f t="shared" ref="A37:A38" si="12">A36</f>
        <v>#REF!</v>
      </c>
      <c r="B37" s="16" t="e">
        <f t="shared" si="11"/>
        <v>#REF!</v>
      </c>
      <c r="C37" s="16"/>
      <c r="D37" s="12" t="s">
        <v>45</v>
      </c>
      <c r="E37" s="12" t="e">
        <f t="shared" si="0"/>
        <v>#REF!</v>
      </c>
      <c r="G37" s="15" t="e">
        <f>nomenclaturas!#REF!</f>
        <v>#REF!</v>
      </c>
      <c r="H37" s="15">
        <v>0</v>
      </c>
      <c r="I37" s="15" t="e">
        <f>nomenclaturas!#REF!</f>
        <v>#REF!</v>
      </c>
      <c r="J37" s="15" t="e">
        <f t="shared" si="7"/>
        <v>#REF!</v>
      </c>
      <c r="L37" s="15" t="e">
        <f>nomenclaturas!#REF!</f>
        <v>#REF!</v>
      </c>
      <c r="M37" s="15">
        <v>0</v>
      </c>
      <c r="N37" s="15" t="e">
        <f>nomenclaturas!#REF!</f>
        <v>#REF!</v>
      </c>
      <c r="O37" s="15" t="e">
        <f t="shared" si="2"/>
        <v>#REF!</v>
      </c>
      <c r="Q37" s="15" t="e">
        <f>nomenclaturas!#REF!</f>
        <v>#REF!</v>
      </c>
      <c r="R37" s="15">
        <v>0</v>
      </c>
      <c r="S37" s="15" t="e">
        <f>nomenclaturas!#REF!</f>
        <v>#REF!</v>
      </c>
      <c r="T37" s="15" t="e">
        <f t="shared" si="3"/>
        <v>#REF!</v>
      </c>
    </row>
    <row r="38" spans="1:20" ht="18.75" customHeight="1" x14ac:dyDescent="0.25">
      <c r="A38" s="12" t="e">
        <f t="shared" si="12"/>
        <v>#REF!</v>
      </c>
      <c r="B38" s="16" t="e">
        <f t="shared" si="11"/>
        <v>#REF!</v>
      </c>
      <c r="C38" s="16"/>
      <c r="D38" s="12" t="s">
        <v>46</v>
      </c>
      <c r="E38" s="12" t="e">
        <f t="shared" si="0"/>
        <v>#REF!</v>
      </c>
      <c r="G38" s="15" t="e">
        <f>nomenclaturas!#REF!</f>
        <v>#REF!</v>
      </c>
      <c r="H38" s="15">
        <v>0</v>
      </c>
      <c r="I38" s="15" t="e">
        <f>nomenclaturas!#REF!</f>
        <v>#REF!</v>
      </c>
      <c r="J38" s="15" t="e">
        <f t="shared" si="7"/>
        <v>#REF!</v>
      </c>
      <c r="L38" s="15" t="e">
        <f>nomenclaturas!#REF!</f>
        <v>#REF!</v>
      </c>
      <c r="M38" s="15">
        <v>0</v>
      </c>
      <c r="N38" s="15" t="e">
        <f>nomenclaturas!#REF!</f>
        <v>#REF!</v>
      </c>
      <c r="O38" s="15" t="e">
        <f t="shared" si="2"/>
        <v>#REF!</v>
      </c>
      <c r="Q38" s="15" t="e">
        <f>nomenclaturas!#REF!</f>
        <v>#REF!</v>
      </c>
      <c r="R38" s="15">
        <v>0</v>
      </c>
      <c r="S38" s="15" t="e">
        <f>nomenclaturas!#REF!</f>
        <v>#REF!</v>
      </c>
      <c r="T38" s="15" t="e">
        <f t="shared" si="3"/>
        <v>#REF!</v>
      </c>
    </row>
    <row r="39" spans="1:20" ht="18.75" customHeight="1" x14ac:dyDescent="0.25">
      <c r="A39" s="12" t="e">
        <f>nomenclaturas!#REF!</f>
        <v>#REF!</v>
      </c>
      <c r="B39" s="16" t="e">
        <f>B27</f>
        <v>#REF!</v>
      </c>
      <c r="C39" s="16"/>
      <c r="D39" s="12" t="s">
        <v>47</v>
      </c>
      <c r="E39" s="12" t="e">
        <f t="shared" ref="E39:E70" si="13">A39&amp;" - "&amp;B39&amp;(IF(C39=0, ,(" - "&amp;C39)))</f>
        <v>#REF!</v>
      </c>
      <c r="G39" s="15" t="e">
        <f>nomenclaturas!#REF!</f>
        <v>#REF!</v>
      </c>
      <c r="H39" s="15">
        <v>0</v>
      </c>
      <c r="I39" s="15" t="e">
        <f>nomenclaturas!#REF!</f>
        <v>#REF!</v>
      </c>
      <c r="J39" s="15" t="e">
        <f t="shared" si="7"/>
        <v>#REF!</v>
      </c>
      <c r="L39" s="15" t="e">
        <f>nomenclaturas!#REF!</f>
        <v>#REF!</v>
      </c>
      <c r="M39" s="15">
        <v>0</v>
      </c>
      <c r="N39" s="15" t="e">
        <f>nomenclaturas!#REF!</f>
        <v>#REF!</v>
      </c>
      <c r="O39" s="15" t="e">
        <f t="shared" si="2"/>
        <v>#REF!</v>
      </c>
      <c r="Q39" s="15" t="e">
        <f>nomenclaturas!#REF!</f>
        <v>#REF!</v>
      </c>
      <c r="R39" s="15">
        <v>0</v>
      </c>
      <c r="S39" s="15" t="e">
        <f>nomenclaturas!#REF!</f>
        <v>#REF!</v>
      </c>
      <c r="T39" s="15" t="e">
        <f t="shared" si="3"/>
        <v>#REF!</v>
      </c>
    </row>
    <row r="40" spans="1:20" ht="18.75" customHeight="1" x14ac:dyDescent="0.25">
      <c r="A40" s="12" t="e">
        <f>A39</f>
        <v>#REF!</v>
      </c>
      <c r="B40" s="16" t="e">
        <f t="shared" ref="B40:B42" si="14">B28</f>
        <v>#REF!</v>
      </c>
      <c r="C40" s="16"/>
      <c r="D40" s="12" t="s">
        <v>48</v>
      </c>
      <c r="E40" s="12" t="e">
        <f t="shared" si="13"/>
        <v>#REF!</v>
      </c>
      <c r="G40" s="15" t="e">
        <f>nomenclaturas!#REF!</f>
        <v>#REF!</v>
      </c>
      <c r="H40" s="15">
        <v>0</v>
      </c>
      <c r="I40" s="15" t="e">
        <f>nomenclaturas!#REF!</f>
        <v>#REF!</v>
      </c>
      <c r="J40" s="15" t="e">
        <f t="shared" si="7"/>
        <v>#REF!</v>
      </c>
      <c r="L40" s="15" t="e">
        <f>nomenclaturas!#REF!</f>
        <v>#REF!</v>
      </c>
      <c r="M40" s="15">
        <v>0</v>
      </c>
      <c r="N40" s="15" t="e">
        <f>nomenclaturas!#REF!</f>
        <v>#REF!</v>
      </c>
      <c r="O40" s="15" t="e">
        <f t="shared" si="2"/>
        <v>#REF!</v>
      </c>
      <c r="Q40" s="15" t="e">
        <f>nomenclaturas!#REF!</f>
        <v>#REF!</v>
      </c>
      <c r="R40" s="15">
        <v>0</v>
      </c>
      <c r="S40" s="15" t="e">
        <f>nomenclaturas!#REF!</f>
        <v>#REF!</v>
      </c>
      <c r="T40" s="15" t="e">
        <f t="shared" si="3"/>
        <v>#REF!</v>
      </c>
    </row>
    <row r="41" spans="1:20" ht="18.75" customHeight="1" x14ac:dyDescent="0.25">
      <c r="A41" s="12" t="e">
        <f t="shared" ref="A41:A42" si="15">A40</f>
        <v>#REF!</v>
      </c>
      <c r="B41" s="16" t="e">
        <f t="shared" si="14"/>
        <v>#REF!</v>
      </c>
      <c r="C41" s="16"/>
      <c r="D41" s="12" t="s">
        <v>49</v>
      </c>
      <c r="E41" s="12" t="e">
        <f t="shared" si="13"/>
        <v>#REF!</v>
      </c>
      <c r="G41" s="15" t="e">
        <f>nomenclaturas!#REF!</f>
        <v>#REF!</v>
      </c>
      <c r="H41" s="15">
        <v>0</v>
      </c>
      <c r="I41" s="15" t="e">
        <f>nomenclaturas!#REF!</f>
        <v>#REF!</v>
      </c>
      <c r="J41" s="15" t="e">
        <f t="shared" si="7"/>
        <v>#REF!</v>
      </c>
      <c r="L41" s="15" t="e">
        <f>nomenclaturas!#REF!</f>
        <v>#REF!</v>
      </c>
      <c r="M41" s="15">
        <v>0</v>
      </c>
      <c r="N41" s="15" t="e">
        <f>nomenclaturas!#REF!</f>
        <v>#REF!</v>
      </c>
      <c r="O41" s="15" t="e">
        <f t="shared" si="2"/>
        <v>#REF!</v>
      </c>
      <c r="Q41" s="15" t="e">
        <f>nomenclaturas!#REF!</f>
        <v>#REF!</v>
      </c>
      <c r="R41" s="15">
        <v>0</v>
      </c>
      <c r="S41" s="15" t="e">
        <f>nomenclaturas!#REF!</f>
        <v>#REF!</v>
      </c>
      <c r="T41" s="15" t="e">
        <f t="shared" si="3"/>
        <v>#REF!</v>
      </c>
    </row>
    <row r="42" spans="1:20" ht="18.75" customHeight="1" x14ac:dyDescent="0.25">
      <c r="A42" s="12" t="e">
        <f t="shared" si="15"/>
        <v>#REF!</v>
      </c>
      <c r="B42" s="16" t="e">
        <f t="shared" si="14"/>
        <v>#REF!</v>
      </c>
      <c r="C42" s="16"/>
      <c r="D42" s="12" t="s">
        <v>50</v>
      </c>
      <c r="E42" s="12" t="e">
        <f t="shared" si="13"/>
        <v>#REF!</v>
      </c>
      <c r="G42" s="15" t="e">
        <f>nomenclaturas!#REF!</f>
        <v>#REF!</v>
      </c>
      <c r="H42" s="15">
        <v>0</v>
      </c>
      <c r="I42" s="15" t="e">
        <f>nomenclaturas!#REF!</f>
        <v>#REF!</v>
      </c>
      <c r="J42" s="15" t="e">
        <f t="shared" si="7"/>
        <v>#REF!</v>
      </c>
      <c r="L42" s="15" t="e">
        <f>nomenclaturas!#REF!</f>
        <v>#REF!</v>
      </c>
      <c r="M42" s="15">
        <v>0</v>
      </c>
      <c r="N42" s="15" t="e">
        <f>nomenclaturas!#REF!</f>
        <v>#REF!</v>
      </c>
      <c r="O42" s="15" t="e">
        <f t="shared" ref="O42:O72" si="16">SUM(L42:N42)</f>
        <v>#REF!</v>
      </c>
      <c r="Q42" s="15" t="e">
        <f>nomenclaturas!#REF!</f>
        <v>#REF!</v>
      </c>
      <c r="R42" s="15">
        <v>0</v>
      </c>
      <c r="S42" s="15" t="e">
        <f>nomenclaturas!#REF!</f>
        <v>#REF!</v>
      </c>
      <c r="T42" s="15" t="e">
        <f t="shared" ref="T42:T72" si="17">SUM(Q42:S42)</f>
        <v>#REF!</v>
      </c>
    </row>
    <row r="43" spans="1:20" ht="18.75" customHeight="1" x14ac:dyDescent="0.25">
      <c r="A43" s="12" t="e">
        <f>nomenclaturas!#REF!</f>
        <v>#REF!</v>
      </c>
      <c r="B43" s="16" t="e">
        <f>B27</f>
        <v>#REF!</v>
      </c>
      <c r="C43" s="16"/>
      <c r="D43" s="12" t="s">
        <v>51</v>
      </c>
      <c r="E43" s="12" t="e">
        <f t="shared" si="13"/>
        <v>#REF!</v>
      </c>
      <c r="G43" s="15" t="e">
        <f>nomenclaturas!#REF!</f>
        <v>#REF!</v>
      </c>
      <c r="H43" s="15">
        <v>0</v>
      </c>
      <c r="I43" s="15" t="e">
        <f>nomenclaturas!#REF!</f>
        <v>#REF!</v>
      </c>
      <c r="J43" s="15" t="e">
        <f t="shared" si="7"/>
        <v>#REF!</v>
      </c>
      <c r="L43" s="15" t="e">
        <f>nomenclaturas!#REF!</f>
        <v>#REF!</v>
      </c>
      <c r="M43" s="15">
        <v>0</v>
      </c>
      <c r="N43" s="15" t="e">
        <f>nomenclaturas!#REF!</f>
        <v>#REF!</v>
      </c>
      <c r="O43" s="15" t="e">
        <f t="shared" si="16"/>
        <v>#REF!</v>
      </c>
      <c r="Q43" s="15" t="e">
        <f>nomenclaturas!#REF!</f>
        <v>#REF!</v>
      </c>
      <c r="R43" s="15">
        <v>0</v>
      </c>
      <c r="S43" s="15" t="e">
        <f>nomenclaturas!#REF!</f>
        <v>#REF!</v>
      </c>
      <c r="T43" s="15" t="e">
        <f t="shared" si="17"/>
        <v>#REF!</v>
      </c>
    </row>
    <row r="44" spans="1:20" ht="18.75" customHeight="1" x14ac:dyDescent="0.25">
      <c r="A44" s="12" t="e">
        <f>A43</f>
        <v>#REF!</v>
      </c>
      <c r="B44" s="16" t="e">
        <f t="shared" ref="B44:B46" si="18">B28</f>
        <v>#REF!</v>
      </c>
      <c r="C44" s="16"/>
      <c r="D44" s="12" t="s">
        <v>52</v>
      </c>
      <c r="E44" s="12" t="e">
        <f t="shared" si="13"/>
        <v>#REF!</v>
      </c>
      <c r="G44" s="15" t="e">
        <f>nomenclaturas!#REF!</f>
        <v>#REF!</v>
      </c>
      <c r="H44" s="15">
        <v>0</v>
      </c>
      <c r="I44" s="15" t="e">
        <f>nomenclaturas!#REF!</f>
        <v>#REF!</v>
      </c>
      <c r="J44" s="15" t="e">
        <f t="shared" si="7"/>
        <v>#REF!</v>
      </c>
      <c r="L44" s="15" t="e">
        <f>nomenclaturas!#REF!</f>
        <v>#REF!</v>
      </c>
      <c r="M44" s="15">
        <v>0</v>
      </c>
      <c r="N44" s="15" t="e">
        <f>nomenclaturas!#REF!</f>
        <v>#REF!</v>
      </c>
      <c r="O44" s="15" t="e">
        <f t="shared" si="16"/>
        <v>#REF!</v>
      </c>
      <c r="Q44" s="15" t="e">
        <f>nomenclaturas!#REF!</f>
        <v>#REF!</v>
      </c>
      <c r="R44" s="15">
        <v>0</v>
      </c>
      <c r="S44" s="15" t="e">
        <f>nomenclaturas!#REF!</f>
        <v>#REF!</v>
      </c>
      <c r="T44" s="15" t="e">
        <f t="shared" si="17"/>
        <v>#REF!</v>
      </c>
    </row>
    <row r="45" spans="1:20" ht="18.75" customHeight="1" x14ac:dyDescent="0.25">
      <c r="A45" s="12" t="e">
        <f t="shared" ref="A45:A46" si="19">A44</f>
        <v>#REF!</v>
      </c>
      <c r="B45" s="16" t="e">
        <f t="shared" si="18"/>
        <v>#REF!</v>
      </c>
      <c r="C45" s="16"/>
      <c r="D45" s="12" t="s">
        <v>53</v>
      </c>
      <c r="E45" s="12" t="e">
        <f t="shared" si="13"/>
        <v>#REF!</v>
      </c>
      <c r="G45" s="15" t="e">
        <f>nomenclaturas!#REF!</f>
        <v>#REF!</v>
      </c>
      <c r="H45" s="15">
        <v>0</v>
      </c>
      <c r="I45" s="15" t="e">
        <f>nomenclaturas!#REF!</f>
        <v>#REF!</v>
      </c>
      <c r="J45" s="15" t="e">
        <f t="shared" si="7"/>
        <v>#REF!</v>
      </c>
      <c r="L45" s="15" t="e">
        <f>nomenclaturas!#REF!</f>
        <v>#REF!</v>
      </c>
      <c r="M45" s="15">
        <v>0</v>
      </c>
      <c r="N45" s="15" t="e">
        <f>nomenclaturas!#REF!</f>
        <v>#REF!</v>
      </c>
      <c r="O45" s="15" t="e">
        <f t="shared" si="16"/>
        <v>#REF!</v>
      </c>
      <c r="Q45" s="15" t="e">
        <f>nomenclaturas!#REF!</f>
        <v>#REF!</v>
      </c>
      <c r="R45" s="15">
        <v>0</v>
      </c>
      <c r="S45" s="15" t="e">
        <f>nomenclaturas!#REF!</f>
        <v>#REF!</v>
      </c>
      <c r="T45" s="15" t="e">
        <f t="shared" si="17"/>
        <v>#REF!</v>
      </c>
    </row>
    <row r="46" spans="1:20" ht="18.75" customHeight="1" x14ac:dyDescent="0.25">
      <c r="A46" s="12" t="e">
        <f t="shared" si="19"/>
        <v>#REF!</v>
      </c>
      <c r="B46" s="16" t="e">
        <f t="shared" si="18"/>
        <v>#REF!</v>
      </c>
      <c r="C46" s="16"/>
      <c r="D46" s="12" t="s">
        <v>54</v>
      </c>
      <c r="E46" s="12" t="e">
        <f t="shared" si="13"/>
        <v>#REF!</v>
      </c>
      <c r="G46" s="15" t="e">
        <f>nomenclaturas!#REF!</f>
        <v>#REF!</v>
      </c>
      <c r="H46" s="15">
        <v>0</v>
      </c>
      <c r="I46" s="15" t="e">
        <f>nomenclaturas!#REF!</f>
        <v>#REF!</v>
      </c>
      <c r="J46" s="15" t="e">
        <f t="shared" si="7"/>
        <v>#REF!</v>
      </c>
      <c r="L46" s="15" t="e">
        <f>nomenclaturas!#REF!</f>
        <v>#REF!</v>
      </c>
      <c r="M46" s="15">
        <v>0</v>
      </c>
      <c r="N46" s="15" t="e">
        <f>nomenclaturas!#REF!</f>
        <v>#REF!</v>
      </c>
      <c r="O46" s="15" t="e">
        <f t="shared" si="16"/>
        <v>#REF!</v>
      </c>
      <c r="Q46" s="15" t="e">
        <f>nomenclaturas!#REF!</f>
        <v>#REF!</v>
      </c>
      <c r="R46" s="15">
        <v>0</v>
      </c>
      <c r="S46" s="15" t="e">
        <f>nomenclaturas!#REF!</f>
        <v>#REF!</v>
      </c>
      <c r="T46" s="15" t="e">
        <f t="shared" si="17"/>
        <v>#REF!</v>
      </c>
    </row>
    <row r="47" spans="1:20" ht="18.75" customHeight="1" x14ac:dyDescent="0.25">
      <c r="A47" s="12" t="e">
        <f>nomenclaturas!#REF!</f>
        <v>#REF!</v>
      </c>
      <c r="B47" s="16" t="e">
        <f>B27</f>
        <v>#REF!</v>
      </c>
      <c r="C47" s="16"/>
      <c r="D47" s="12" t="s">
        <v>55</v>
      </c>
      <c r="E47" s="12" t="e">
        <f t="shared" si="13"/>
        <v>#REF!</v>
      </c>
      <c r="G47" s="15" t="e">
        <f>nomenclaturas!#REF!</f>
        <v>#REF!</v>
      </c>
      <c r="H47" s="15">
        <v>0</v>
      </c>
      <c r="I47" s="15" t="e">
        <f>nomenclaturas!#REF!</f>
        <v>#REF!</v>
      </c>
      <c r="J47" s="15" t="e">
        <f t="shared" si="7"/>
        <v>#REF!</v>
      </c>
      <c r="L47" s="15" t="e">
        <f>nomenclaturas!#REF!</f>
        <v>#REF!</v>
      </c>
      <c r="M47" s="15">
        <v>0</v>
      </c>
      <c r="N47" s="15" t="e">
        <f>nomenclaturas!#REF!</f>
        <v>#REF!</v>
      </c>
      <c r="O47" s="15" t="e">
        <f t="shared" si="16"/>
        <v>#REF!</v>
      </c>
      <c r="Q47" s="15" t="e">
        <f>nomenclaturas!#REF!</f>
        <v>#REF!</v>
      </c>
      <c r="R47" s="15">
        <v>0</v>
      </c>
      <c r="S47" s="15" t="e">
        <f>nomenclaturas!#REF!</f>
        <v>#REF!</v>
      </c>
      <c r="T47" s="15" t="e">
        <f t="shared" si="17"/>
        <v>#REF!</v>
      </c>
    </row>
    <row r="48" spans="1:20" ht="18.75" customHeight="1" x14ac:dyDescent="0.25">
      <c r="A48" s="12" t="e">
        <f>A47</f>
        <v>#REF!</v>
      </c>
      <c r="B48" s="16" t="e">
        <f t="shared" ref="B48:B50" si="20">B28</f>
        <v>#REF!</v>
      </c>
      <c r="C48" s="16"/>
      <c r="D48" s="12" t="s">
        <v>56</v>
      </c>
      <c r="E48" s="12" t="e">
        <f t="shared" si="13"/>
        <v>#REF!</v>
      </c>
      <c r="G48" s="15" t="e">
        <f>nomenclaturas!#REF!</f>
        <v>#REF!</v>
      </c>
      <c r="H48" s="15">
        <v>0</v>
      </c>
      <c r="I48" s="15" t="e">
        <f>nomenclaturas!#REF!</f>
        <v>#REF!</v>
      </c>
      <c r="J48" s="15" t="e">
        <f t="shared" si="7"/>
        <v>#REF!</v>
      </c>
      <c r="L48" s="15" t="e">
        <f>nomenclaturas!#REF!</f>
        <v>#REF!</v>
      </c>
      <c r="M48" s="15">
        <v>0</v>
      </c>
      <c r="N48" s="15" t="e">
        <f>nomenclaturas!#REF!</f>
        <v>#REF!</v>
      </c>
      <c r="O48" s="15" t="e">
        <f t="shared" si="16"/>
        <v>#REF!</v>
      </c>
      <c r="Q48" s="15" t="e">
        <f>nomenclaturas!#REF!</f>
        <v>#REF!</v>
      </c>
      <c r="R48" s="15">
        <v>0</v>
      </c>
      <c r="S48" s="15" t="e">
        <f>nomenclaturas!#REF!</f>
        <v>#REF!</v>
      </c>
      <c r="T48" s="15" t="e">
        <f t="shared" si="17"/>
        <v>#REF!</v>
      </c>
    </row>
    <row r="49" spans="1:20" ht="18.75" customHeight="1" x14ac:dyDescent="0.25">
      <c r="A49" s="12" t="e">
        <f t="shared" ref="A49:A50" si="21">A48</f>
        <v>#REF!</v>
      </c>
      <c r="B49" s="16" t="e">
        <f t="shared" si="20"/>
        <v>#REF!</v>
      </c>
      <c r="C49" s="16"/>
      <c r="D49" s="12" t="s">
        <v>57</v>
      </c>
      <c r="E49" s="12" t="e">
        <f t="shared" si="13"/>
        <v>#REF!</v>
      </c>
      <c r="G49" s="15" t="e">
        <f>nomenclaturas!#REF!</f>
        <v>#REF!</v>
      </c>
      <c r="H49" s="15">
        <v>0</v>
      </c>
      <c r="I49" s="15" t="e">
        <f>nomenclaturas!#REF!</f>
        <v>#REF!</v>
      </c>
      <c r="J49" s="15" t="e">
        <f t="shared" si="7"/>
        <v>#REF!</v>
      </c>
      <c r="L49" s="15" t="e">
        <f>nomenclaturas!#REF!</f>
        <v>#REF!</v>
      </c>
      <c r="M49" s="15">
        <v>0</v>
      </c>
      <c r="N49" s="15" t="e">
        <f>nomenclaturas!#REF!</f>
        <v>#REF!</v>
      </c>
      <c r="O49" s="15" t="e">
        <f t="shared" si="16"/>
        <v>#REF!</v>
      </c>
      <c r="Q49" s="15" t="e">
        <f>nomenclaturas!#REF!</f>
        <v>#REF!</v>
      </c>
      <c r="R49" s="15">
        <v>0</v>
      </c>
      <c r="S49" s="15" t="e">
        <f>nomenclaturas!#REF!</f>
        <v>#REF!</v>
      </c>
      <c r="T49" s="15" t="e">
        <f t="shared" si="17"/>
        <v>#REF!</v>
      </c>
    </row>
    <row r="50" spans="1:20" ht="18.75" customHeight="1" x14ac:dyDescent="0.25">
      <c r="A50" s="12" t="e">
        <f t="shared" si="21"/>
        <v>#REF!</v>
      </c>
      <c r="B50" s="16" t="e">
        <f t="shared" si="20"/>
        <v>#REF!</v>
      </c>
      <c r="C50" s="16"/>
      <c r="D50" s="12" t="s">
        <v>58</v>
      </c>
      <c r="E50" s="12" t="e">
        <f t="shared" si="13"/>
        <v>#REF!</v>
      </c>
      <c r="G50" s="15" t="e">
        <f>nomenclaturas!#REF!</f>
        <v>#REF!</v>
      </c>
      <c r="H50" s="15">
        <v>0</v>
      </c>
      <c r="I50" s="15" t="e">
        <f>nomenclaturas!#REF!</f>
        <v>#REF!</v>
      </c>
      <c r="J50" s="15" t="e">
        <f t="shared" si="7"/>
        <v>#REF!</v>
      </c>
      <c r="L50" s="15" t="e">
        <f>nomenclaturas!#REF!</f>
        <v>#REF!</v>
      </c>
      <c r="M50" s="15">
        <v>0</v>
      </c>
      <c r="N50" s="15" t="e">
        <f>nomenclaturas!#REF!</f>
        <v>#REF!</v>
      </c>
      <c r="O50" s="15" t="e">
        <f t="shared" si="16"/>
        <v>#REF!</v>
      </c>
      <c r="Q50" s="15" t="e">
        <f>nomenclaturas!#REF!</f>
        <v>#REF!</v>
      </c>
      <c r="R50" s="15">
        <v>0</v>
      </c>
      <c r="S50" s="15" t="e">
        <f>nomenclaturas!#REF!</f>
        <v>#REF!</v>
      </c>
      <c r="T50" s="15" t="e">
        <f t="shared" si="17"/>
        <v>#REF!</v>
      </c>
    </row>
    <row r="51" spans="1:20" ht="18.75" customHeight="1" x14ac:dyDescent="0.25">
      <c r="A51" s="12" t="e">
        <f>nomenclaturas!#REF!</f>
        <v>#REF!</v>
      </c>
      <c r="B51" s="16" t="e">
        <f>B27</f>
        <v>#REF!</v>
      </c>
      <c r="C51" s="16"/>
      <c r="D51" s="12" t="s">
        <v>59</v>
      </c>
      <c r="E51" s="12" t="e">
        <f t="shared" si="13"/>
        <v>#REF!</v>
      </c>
      <c r="G51" s="15" t="e">
        <f>nomenclaturas!#REF!</f>
        <v>#REF!</v>
      </c>
      <c r="H51" s="15">
        <v>0</v>
      </c>
      <c r="I51" s="15" t="e">
        <f>nomenclaturas!#REF!</f>
        <v>#REF!</v>
      </c>
      <c r="J51" s="15" t="e">
        <f t="shared" si="7"/>
        <v>#REF!</v>
      </c>
      <c r="L51" s="15" t="e">
        <f>nomenclaturas!#REF!</f>
        <v>#REF!</v>
      </c>
      <c r="M51" s="15">
        <v>0</v>
      </c>
      <c r="N51" s="15" t="e">
        <f>nomenclaturas!#REF!</f>
        <v>#REF!</v>
      </c>
      <c r="O51" s="15" t="e">
        <f t="shared" si="16"/>
        <v>#REF!</v>
      </c>
      <c r="Q51" s="15" t="e">
        <f>nomenclaturas!#REF!</f>
        <v>#REF!</v>
      </c>
      <c r="R51" s="15">
        <v>0</v>
      </c>
      <c r="S51" s="15" t="e">
        <f>nomenclaturas!#REF!</f>
        <v>#REF!</v>
      </c>
      <c r="T51" s="15" t="e">
        <f t="shared" si="17"/>
        <v>#REF!</v>
      </c>
    </row>
    <row r="52" spans="1:20" ht="18.75" customHeight="1" x14ac:dyDescent="0.25">
      <c r="A52" s="12" t="e">
        <f>A51</f>
        <v>#REF!</v>
      </c>
      <c r="B52" s="16" t="e">
        <f t="shared" ref="B52:B54" si="22">B28</f>
        <v>#REF!</v>
      </c>
      <c r="C52" s="16"/>
      <c r="D52" s="12" t="s">
        <v>60</v>
      </c>
      <c r="E52" s="12" t="e">
        <f t="shared" si="13"/>
        <v>#REF!</v>
      </c>
      <c r="G52" s="15" t="e">
        <f>nomenclaturas!#REF!</f>
        <v>#REF!</v>
      </c>
      <c r="H52" s="15">
        <v>0</v>
      </c>
      <c r="I52" s="15" t="e">
        <f>nomenclaturas!#REF!</f>
        <v>#REF!</v>
      </c>
      <c r="J52" s="15" t="e">
        <f t="shared" si="7"/>
        <v>#REF!</v>
      </c>
      <c r="L52" s="15" t="e">
        <f>nomenclaturas!#REF!</f>
        <v>#REF!</v>
      </c>
      <c r="M52" s="15">
        <v>0</v>
      </c>
      <c r="N52" s="15" t="e">
        <f>nomenclaturas!#REF!</f>
        <v>#REF!</v>
      </c>
      <c r="O52" s="15" t="e">
        <f t="shared" si="16"/>
        <v>#REF!</v>
      </c>
      <c r="Q52" s="15" t="e">
        <f>nomenclaturas!#REF!</f>
        <v>#REF!</v>
      </c>
      <c r="R52" s="15">
        <v>0</v>
      </c>
      <c r="S52" s="15" t="e">
        <f>nomenclaturas!#REF!</f>
        <v>#REF!</v>
      </c>
      <c r="T52" s="15" t="e">
        <f t="shared" si="17"/>
        <v>#REF!</v>
      </c>
    </row>
    <row r="53" spans="1:20" ht="18.75" customHeight="1" x14ac:dyDescent="0.25">
      <c r="A53" s="12" t="e">
        <f t="shared" ref="A53:A54" si="23">A52</f>
        <v>#REF!</v>
      </c>
      <c r="B53" s="16" t="e">
        <f t="shared" si="22"/>
        <v>#REF!</v>
      </c>
      <c r="C53" s="16"/>
      <c r="D53" s="12" t="s">
        <v>61</v>
      </c>
      <c r="E53" s="12" t="e">
        <f t="shared" si="13"/>
        <v>#REF!</v>
      </c>
      <c r="G53" s="15" t="e">
        <f>nomenclaturas!#REF!</f>
        <v>#REF!</v>
      </c>
      <c r="H53" s="15">
        <v>0</v>
      </c>
      <c r="I53" s="15" t="e">
        <f>nomenclaturas!#REF!</f>
        <v>#REF!</v>
      </c>
      <c r="J53" s="15" t="e">
        <f t="shared" si="7"/>
        <v>#REF!</v>
      </c>
      <c r="L53" s="15" t="e">
        <f>nomenclaturas!#REF!</f>
        <v>#REF!</v>
      </c>
      <c r="M53" s="15">
        <v>0</v>
      </c>
      <c r="N53" s="15" t="e">
        <f>nomenclaturas!#REF!</f>
        <v>#REF!</v>
      </c>
      <c r="O53" s="15" t="e">
        <f t="shared" si="16"/>
        <v>#REF!</v>
      </c>
      <c r="Q53" s="15" t="e">
        <f>nomenclaturas!#REF!</f>
        <v>#REF!</v>
      </c>
      <c r="R53" s="15">
        <v>0</v>
      </c>
      <c r="S53" s="15" t="e">
        <f>nomenclaturas!#REF!</f>
        <v>#REF!</v>
      </c>
      <c r="T53" s="15" t="e">
        <f t="shared" si="17"/>
        <v>#REF!</v>
      </c>
    </row>
    <row r="54" spans="1:20" ht="18.75" customHeight="1" x14ac:dyDescent="0.25">
      <c r="A54" s="12" t="e">
        <f t="shared" si="23"/>
        <v>#REF!</v>
      </c>
      <c r="B54" s="16" t="e">
        <f t="shared" si="22"/>
        <v>#REF!</v>
      </c>
      <c r="C54" s="16"/>
      <c r="D54" s="12" t="s">
        <v>62</v>
      </c>
      <c r="E54" s="12" t="e">
        <f t="shared" si="13"/>
        <v>#REF!</v>
      </c>
      <c r="G54" s="15" t="e">
        <f>nomenclaturas!#REF!</f>
        <v>#REF!</v>
      </c>
      <c r="H54" s="15">
        <v>0</v>
      </c>
      <c r="I54" s="15" t="e">
        <f>nomenclaturas!#REF!</f>
        <v>#REF!</v>
      </c>
      <c r="J54" s="15" t="e">
        <f t="shared" si="7"/>
        <v>#REF!</v>
      </c>
      <c r="L54" s="15" t="e">
        <f>nomenclaturas!#REF!</f>
        <v>#REF!</v>
      </c>
      <c r="M54" s="15">
        <v>0</v>
      </c>
      <c r="N54" s="15" t="e">
        <f>nomenclaturas!#REF!</f>
        <v>#REF!</v>
      </c>
      <c r="O54" s="15" t="e">
        <f t="shared" si="16"/>
        <v>#REF!</v>
      </c>
      <c r="Q54" s="15" t="e">
        <f>nomenclaturas!#REF!</f>
        <v>#REF!</v>
      </c>
      <c r="R54" s="15">
        <v>0</v>
      </c>
      <c r="S54" s="15" t="e">
        <f>nomenclaturas!#REF!</f>
        <v>#REF!</v>
      </c>
      <c r="T54" s="15" t="e">
        <f t="shared" si="17"/>
        <v>#REF!</v>
      </c>
    </row>
    <row r="55" spans="1:20" ht="18.75" customHeight="1" x14ac:dyDescent="0.25">
      <c r="A55" s="12" t="e">
        <f>nomenclaturas!#REF!</f>
        <v>#REF!</v>
      </c>
      <c r="B55" s="14" t="e">
        <f>nomenclaturas!#REF!</f>
        <v>#REF!</v>
      </c>
      <c r="C55" s="14" t="e">
        <f>nomenclaturas!#REF!</f>
        <v>#REF!</v>
      </c>
      <c r="D55" s="12" t="s">
        <v>63</v>
      </c>
      <c r="E55" s="12" t="e">
        <f t="shared" si="13"/>
        <v>#REF!</v>
      </c>
      <c r="G55" s="15" t="e">
        <f>nomenclaturas!#REF!</f>
        <v>#REF!</v>
      </c>
      <c r="H55" s="15">
        <v>0</v>
      </c>
      <c r="I55" s="15" t="e">
        <f>nomenclaturas!#REF!</f>
        <v>#REF!</v>
      </c>
      <c r="J55" s="15" t="e">
        <f t="shared" si="7"/>
        <v>#REF!</v>
      </c>
      <c r="L55" s="15" t="e">
        <f>nomenclaturas!#REF!</f>
        <v>#REF!</v>
      </c>
      <c r="M55" s="15">
        <v>0</v>
      </c>
      <c r="N55" s="15" t="e">
        <f>nomenclaturas!#REF!</f>
        <v>#REF!</v>
      </c>
      <c r="O55" s="15" t="e">
        <f t="shared" si="16"/>
        <v>#REF!</v>
      </c>
      <c r="Q55" s="15" t="e">
        <f>nomenclaturas!#REF!</f>
        <v>#REF!</v>
      </c>
      <c r="R55" s="15">
        <v>0</v>
      </c>
      <c r="S55" s="15" t="e">
        <f>nomenclaturas!#REF!</f>
        <v>#REF!</v>
      </c>
      <c r="T55" s="15" t="e">
        <f t="shared" si="17"/>
        <v>#REF!</v>
      </c>
    </row>
    <row r="56" spans="1:20" ht="18.75" customHeight="1" x14ac:dyDescent="0.25">
      <c r="A56" s="12" t="e">
        <f>A55</f>
        <v>#REF!</v>
      </c>
      <c r="B56" s="16" t="e">
        <f>nomenclaturas!#REF!</f>
        <v>#REF!</v>
      </c>
      <c r="C56" s="14" t="e">
        <f>nomenclaturas!#REF!</f>
        <v>#REF!</v>
      </c>
      <c r="D56" s="12" t="s">
        <v>64</v>
      </c>
      <c r="E56" s="12" t="e">
        <f t="shared" si="13"/>
        <v>#REF!</v>
      </c>
      <c r="G56" s="15" t="e">
        <f>nomenclaturas!#REF!</f>
        <v>#REF!</v>
      </c>
      <c r="H56" s="15">
        <v>0</v>
      </c>
      <c r="I56" s="15" t="e">
        <f>nomenclaturas!#REF!</f>
        <v>#REF!</v>
      </c>
      <c r="J56" s="15" t="e">
        <f t="shared" si="7"/>
        <v>#REF!</v>
      </c>
      <c r="L56" s="15" t="e">
        <f>nomenclaturas!#REF!</f>
        <v>#REF!</v>
      </c>
      <c r="M56" s="15">
        <v>0</v>
      </c>
      <c r="N56" s="15" t="e">
        <f>nomenclaturas!#REF!</f>
        <v>#REF!</v>
      </c>
      <c r="O56" s="15" t="e">
        <f t="shared" si="16"/>
        <v>#REF!</v>
      </c>
      <c r="Q56" s="15" t="e">
        <f>nomenclaturas!#REF!</f>
        <v>#REF!</v>
      </c>
      <c r="R56" s="15">
        <v>0</v>
      </c>
      <c r="S56" s="15" t="e">
        <f>nomenclaturas!#REF!</f>
        <v>#REF!</v>
      </c>
      <c r="T56" s="15" t="e">
        <f t="shared" si="17"/>
        <v>#REF!</v>
      </c>
    </row>
    <row r="57" spans="1:20" ht="18.75" customHeight="1" x14ac:dyDescent="0.25">
      <c r="A57" s="12" t="e">
        <f t="shared" ref="A57:A58" si="24">A56</f>
        <v>#REF!</v>
      </c>
      <c r="B57" s="16" t="e">
        <f>nomenclaturas!#REF!</f>
        <v>#REF!</v>
      </c>
      <c r="C57" s="14" t="e">
        <f>nomenclaturas!#REF!</f>
        <v>#REF!</v>
      </c>
      <c r="D57" s="12" t="s">
        <v>65</v>
      </c>
      <c r="E57" s="12" t="e">
        <f t="shared" si="13"/>
        <v>#REF!</v>
      </c>
      <c r="G57" s="15" t="e">
        <f>nomenclaturas!#REF!</f>
        <v>#REF!</v>
      </c>
      <c r="H57" s="15">
        <v>0</v>
      </c>
      <c r="I57" s="15" t="e">
        <f>nomenclaturas!#REF!</f>
        <v>#REF!</v>
      </c>
      <c r="J57" s="15" t="e">
        <f t="shared" si="7"/>
        <v>#REF!</v>
      </c>
      <c r="L57" s="15" t="e">
        <f>nomenclaturas!#REF!</f>
        <v>#REF!</v>
      </c>
      <c r="M57" s="15">
        <v>0</v>
      </c>
      <c r="N57" s="15" t="e">
        <f>nomenclaturas!#REF!</f>
        <v>#REF!</v>
      </c>
      <c r="O57" s="15" t="e">
        <f t="shared" si="16"/>
        <v>#REF!</v>
      </c>
      <c r="Q57" s="15" t="e">
        <f>nomenclaturas!#REF!</f>
        <v>#REF!</v>
      </c>
      <c r="R57" s="15">
        <v>0</v>
      </c>
      <c r="S57" s="15" t="e">
        <f>nomenclaturas!#REF!</f>
        <v>#REF!</v>
      </c>
      <c r="T57" s="15" t="e">
        <f t="shared" si="17"/>
        <v>#REF!</v>
      </c>
    </row>
    <row r="58" spans="1:20" ht="18.75" customHeight="1" x14ac:dyDescent="0.25">
      <c r="A58" s="12" t="e">
        <f t="shared" si="24"/>
        <v>#REF!</v>
      </c>
      <c r="B58" s="16" t="e">
        <f>nomenclaturas!#REF!</f>
        <v>#REF!</v>
      </c>
      <c r="C58" s="14" t="e">
        <f>nomenclaturas!#REF!</f>
        <v>#REF!</v>
      </c>
      <c r="D58" s="12" t="s">
        <v>66</v>
      </c>
      <c r="E58" s="12" t="e">
        <f t="shared" si="13"/>
        <v>#REF!</v>
      </c>
      <c r="G58" s="15" t="e">
        <f>nomenclaturas!#REF!</f>
        <v>#REF!</v>
      </c>
      <c r="H58" s="15">
        <v>0</v>
      </c>
      <c r="I58" s="15" t="e">
        <f>nomenclaturas!#REF!</f>
        <v>#REF!</v>
      </c>
      <c r="J58" s="15" t="e">
        <f t="shared" si="7"/>
        <v>#REF!</v>
      </c>
      <c r="L58" s="15" t="e">
        <f>nomenclaturas!#REF!</f>
        <v>#REF!</v>
      </c>
      <c r="M58" s="15">
        <v>0</v>
      </c>
      <c r="N58" s="15" t="e">
        <f>nomenclaturas!#REF!</f>
        <v>#REF!</v>
      </c>
      <c r="O58" s="15" t="e">
        <f t="shared" si="16"/>
        <v>#REF!</v>
      </c>
      <c r="Q58" s="15" t="e">
        <f>nomenclaturas!#REF!</f>
        <v>#REF!</v>
      </c>
      <c r="R58" s="15">
        <v>0</v>
      </c>
      <c r="S58" s="15" t="e">
        <f>nomenclaturas!#REF!</f>
        <v>#REF!</v>
      </c>
      <c r="T58" s="15" t="e">
        <f t="shared" si="17"/>
        <v>#REF!</v>
      </c>
    </row>
    <row r="59" spans="1:20" ht="18.75" customHeight="1" x14ac:dyDescent="0.25">
      <c r="A59" s="12" t="e">
        <f>nomenclaturas!#REF!</f>
        <v>#REF!</v>
      </c>
      <c r="B59" s="16" t="e">
        <f>nomenclaturas!#REF!</f>
        <v>#REF!</v>
      </c>
      <c r="C59" s="14" t="e">
        <f>nomenclaturas!#REF!</f>
        <v>#REF!</v>
      </c>
      <c r="D59" s="12" t="s">
        <v>67</v>
      </c>
      <c r="E59" s="12" t="e">
        <f t="shared" si="13"/>
        <v>#REF!</v>
      </c>
      <c r="G59" s="15" t="e">
        <f>nomenclaturas!#REF!</f>
        <v>#REF!</v>
      </c>
      <c r="H59" s="15">
        <v>0</v>
      </c>
      <c r="I59" s="15" t="e">
        <f>nomenclaturas!#REF!</f>
        <v>#REF!</v>
      </c>
      <c r="J59" s="15" t="e">
        <f t="shared" si="7"/>
        <v>#REF!</v>
      </c>
      <c r="L59" s="15" t="e">
        <f>nomenclaturas!#REF!</f>
        <v>#REF!</v>
      </c>
      <c r="M59" s="15">
        <v>0</v>
      </c>
      <c r="N59" s="15" t="e">
        <f>nomenclaturas!#REF!</f>
        <v>#REF!</v>
      </c>
      <c r="O59" s="15" t="e">
        <f t="shared" si="16"/>
        <v>#REF!</v>
      </c>
      <c r="Q59" s="15" t="e">
        <f>nomenclaturas!#REF!</f>
        <v>#REF!</v>
      </c>
      <c r="R59" s="15">
        <v>0</v>
      </c>
      <c r="S59" s="15" t="e">
        <f>nomenclaturas!#REF!</f>
        <v>#REF!</v>
      </c>
      <c r="T59" s="15" t="e">
        <f t="shared" si="17"/>
        <v>#REF!</v>
      </c>
    </row>
    <row r="60" spans="1:20" ht="18.75" customHeight="1" x14ac:dyDescent="0.25">
      <c r="A60" s="12" t="e">
        <f>A59</f>
        <v>#REF!</v>
      </c>
      <c r="B60" s="16" t="e">
        <f>nomenclaturas!#REF!</f>
        <v>#REF!</v>
      </c>
      <c r="C60" s="14" t="e">
        <f>nomenclaturas!#REF!</f>
        <v>#REF!</v>
      </c>
      <c r="D60" s="12" t="s">
        <v>68</v>
      </c>
      <c r="E60" s="12" t="e">
        <f t="shared" si="13"/>
        <v>#REF!</v>
      </c>
      <c r="G60" s="15" t="e">
        <f>nomenclaturas!#REF!</f>
        <v>#REF!</v>
      </c>
      <c r="H60" s="15">
        <v>0</v>
      </c>
      <c r="I60" s="15" t="e">
        <f>nomenclaturas!#REF!</f>
        <v>#REF!</v>
      </c>
      <c r="J60" s="15" t="e">
        <f t="shared" si="7"/>
        <v>#REF!</v>
      </c>
      <c r="L60" s="15" t="e">
        <f>nomenclaturas!#REF!</f>
        <v>#REF!</v>
      </c>
      <c r="M60" s="15">
        <v>0</v>
      </c>
      <c r="N60" s="15" t="e">
        <f>nomenclaturas!#REF!</f>
        <v>#REF!</v>
      </c>
      <c r="O60" s="15" t="e">
        <f t="shared" si="16"/>
        <v>#REF!</v>
      </c>
      <c r="Q60" s="15" t="e">
        <f>nomenclaturas!#REF!</f>
        <v>#REF!</v>
      </c>
      <c r="R60" s="15">
        <v>0</v>
      </c>
      <c r="S60" s="15" t="e">
        <f>nomenclaturas!#REF!</f>
        <v>#REF!</v>
      </c>
      <c r="T60" s="15" t="e">
        <f t="shared" si="17"/>
        <v>#REF!</v>
      </c>
    </row>
    <row r="61" spans="1:20" ht="18.75" customHeight="1" x14ac:dyDescent="0.25">
      <c r="A61" s="12" t="e">
        <f t="shared" ref="A61:A62" si="25">A60</f>
        <v>#REF!</v>
      </c>
      <c r="B61" s="16" t="e">
        <f>nomenclaturas!#REF!</f>
        <v>#REF!</v>
      </c>
      <c r="C61" s="14" t="e">
        <f>nomenclaturas!#REF!</f>
        <v>#REF!</v>
      </c>
      <c r="D61" s="12" t="s">
        <v>69</v>
      </c>
      <c r="E61" s="12" t="e">
        <f t="shared" si="13"/>
        <v>#REF!</v>
      </c>
      <c r="G61" s="15" t="e">
        <f>nomenclaturas!#REF!</f>
        <v>#REF!</v>
      </c>
      <c r="H61" s="15">
        <v>0</v>
      </c>
      <c r="I61" s="15" t="e">
        <f>nomenclaturas!#REF!</f>
        <v>#REF!</v>
      </c>
      <c r="J61" s="15" t="e">
        <f t="shared" si="7"/>
        <v>#REF!</v>
      </c>
      <c r="L61" s="15" t="e">
        <f>nomenclaturas!#REF!</f>
        <v>#REF!</v>
      </c>
      <c r="M61" s="15">
        <v>0</v>
      </c>
      <c r="N61" s="15" t="e">
        <f>nomenclaturas!#REF!</f>
        <v>#REF!</v>
      </c>
      <c r="O61" s="15" t="e">
        <f t="shared" si="16"/>
        <v>#REF!</v>
      </c>
      <c r="Q61" s="15" t="e">
        <f>nomenclaturas!#REF!</f>
        <v>#REF!</v>
      </c>
      <c r="R61" s="15">
        <v>0</v>
      </c>
      <c r="S61" s="15" t="e">
        <f>nomenclaturas!#REF!</f>
        <v>#REF!</v>
      </c>
      <c r="T61" s="15" t="e">
        <f t="shared" si="17"/>
        <v>#REF!</v>
      </c>
    </row>
    <row r="62" spans="1:20" ht="18.75" customHeight="1" x14ac:dyDescent="0.25">
      <c r="A62" s="12" t="e">
        <f t="shared" si="25"/>
        <v>#REF!</v>
      </c>
      <c r="B62" s="16" t="e">
        <f>nomenclaturas!#REF!</f>
        <v>#REF!</v>
      </c>
      <c r="C62" s="14" t="e">
        <f>nomenclaturas!#REF!</f>
        <v>#REF!</v>
      </c>
      <c r="D62" s="12" t="s">
        <v>72</v>
      </c>
      <c r="E62" s="12" t="e">
        <f t="shared" si="13"/>
        <v>#REF!</v>
      </c>
      <c r="G62" s="15" t="e">
        <f>nomenclaturas!#REF!</f>
        <v>#REF!</v>
      </c>
      <c r="H62" s="15">
        <v>0</v>
      </c>
      <c r="I62" s="15" t="e">
        <f>nomenclaturas!#REF!</f>
        <v>#REF!</v>
      </c>
      <c r="J62" s="15" t="e">
        <f t="shared" si="7"/>
        <v>#REF!</v>
      </c>
      <c r="L62" s="15" t="e">
        <f>nomenclaturas!#REF!</f>
        <v>#REF!</v>
      </c>
      <c r="M62" s="15">
        <v>0</v>
      </c>
      <c r="N62" s="15" t="e">
        <f>nomenclaturas!#REF!</f>
        <v>#REF!</v>
      </c>
      <c r="O62" s="15" t="e">
        <f t="shared" si="16"/>
        <v>#REF!</v>
      </c>
      <c r="Q62" s="15" t="e">
        <f>nomenclaturas!#REF!</f>
        <v>#REF!</v>
      </c>
      <c r="R62" s="15">
        <v>0</v>
      </c>
      <c r="S62" s="15" t="e">
        <f>nomenclaturas!#REF!</f>
        <v>#REF!</v>
      </c>
      <c r="T62" s="15" t="e">
        <f t="shared" si="17"/>
        <v>#REF!</v>
      </c>
    </row>
    <row r="63" spans="1:20" ht="18.75" customHeight="1" x14ac:dyDescent="0.25">
      <c r="A63" s="12" t="e">
        <f>nomenclaturas!#REF!</f>
        <v>#REF!</v>
      </c>
      <c r="B63" s="14" t="e">
        <f>nomenclaturas!#REF!</f>
        <v>#REF!</v>
      </c>
      <c r="C63" s="14"/>
      <c r="D63" s="12" t="s">
        <v>70</v>
      </c>
      <c r="E63" s="12" t="e">
        <f t="shared" si="13"/>
        <v>#REF!</v>
      </c>
      <c r="G63" s="15" t="e">
        <f>nomenclaturas!#REF!</f>
        <v>#REF!</v>
      </c>
      <c r="H63" s="15" t="e">
        <f>nomenclaturas!#REF!</f>
        <v>#REF!</v>
      </c>
      <c r="I63" s="15" t="e">
        <f>nomenclaturas!#REF!</f>
        <v>#REF!</v>
      </c>
      <c r="J63" s="15" t="e">
        <f t="shared" ref="J63:J72" si="26">SUM(G63:I63)</f>
        <v>#REF!</v>
      </c>
      <c r="L63" s="15" t="e">
        <f>nomenclaturas!#REF!</f>
        <v>#REF!</v>
      </c>
      <c r="M63" s="15" t="e">
        <f>nomenclaturas!#REF!</f>
        <v>#REF!</v>
      </c>
      <c r="N63" s="15" t="e">
        <f>nomenclaturas!#REF!</f>
        <v>#REF!</v>
      </c>
      <c r="O63" s="15" t="e">
        <f t="shared" si="16"/>
        <v>#REF!</v>
      </c>
      <c r="Q63" s="15" t="e">
        <f>nomenclaturas!#REF!</f>
        <v>#REF!</v>
      </c>
      <c r="R63" s="15" t="e">
        <f>nomenclaturas!#REF!</f>
        <v>#REF!</v>
      </c>
      <c r="S63" s="15" t="e">
        <f>nomenclaturas!#REF!</f>
        <v>#REF!</v>
      </c>
      <c r="T63" s="15" t="e">
        <f t="shared" si="17"/>
        <v>#REF!</v>
      </c>
    </row>
    <row r="64" spans="1:20" ht="18.75" customHeight="1" x14ac:dyDescent="0.25">
      <c r="A64" s="12" t="e">
        <f>nomenclaturas!#REF!</f>
        <v>#REF!</v>
      </c>
      <c r="B64" s="12" t="e">
        <f>nomenclaturas!#REF!</f>
        <v>#REF!</v>
      </c>
      <c r="C64" s="12"/>
      <c r="D64" s="12" t="s">
        <v>71</v>
      </c>
      <c r="E64" s="12" t="e">
        <f t="shared" si="13"/>
        <v>#REF!</v>
      </c>
      <c r="G64" s="15" t="e">
        <f>nomenclaturas!#REF!</f>
        <v>#REF!</v>
      </c>
      <c r="H64" s="15" t="e">
        <f>nomenclaturas!#REF!</f>
        <v>#REF!</v>
      </c>
      <c r="I64" s="15" t="e">
        <f>nomenclaturas!#REF!</f>
        <v>#REF!</v>
      </c>
      <c r="J64" s="15" t="e">
        <f t="shared" si="26"/>
        <v>#REF!</v>
      </c>
      <c r="L64" s="15" t="e">
        <f>nomenclaturas!#REF!</f>
        <v>#REF!</v>
      </c>
      <c r="M64" s="15" t="e">
        <f>nomenclaturas!#REF!</f>
        <v>#REF!</v>
      </c>
      <c r="N64" s="15" t="e">
        <f>nomenclaturas!#REF!</f>
        <v>#REF!</v>
      </c>
      <c r="O64" s="15" t="e">
        <f t="shared" si="16"/>
        <v>#REF!</v>
      </c>
      <c r="Q64" s="15" t="e">
        <f>nomenclaturas!#REF!</f>
        <v>#REF!</v>
      </c>
      <c r="R64" s="15" t="e">
        <f>nomenclaturas!#REF!</f>
        <v>#REF!</v>
      </c>
      <c r="S64" s="15" t="e">
        <f>nomenclaturas!#REF!</f>
        <v>#REF!</v>
      </c>
      <c r="T64" s="15" t="e">
        <f t="shared" si="17"/>
        <v>#REF!</v>
      </c>
    </row>
    <row r="65" spans="1:20" ht="18.75" customHeight="1" x14ac:dyDescent="0.25">
      <c r="A65" s="12" t="e">
        <f>nomenclaturas!#REF!</f>
        <v>#REF!</v>
      </c>
      <c r="B65" s="12" t="e">
        <f>nomenclaturas!#REF!</f>
        <v>#REF!</v>
      </c>
      <c r="C65" s="12"/>
      <c r="D65" s="12" t="s">
        <v>73</v>
      </c>
      <c r="E65" s="12" t="e">
        <f t="shared" si="13"/>
        <v>#REF!</v>
      </c>
      <c r="G65" s="15" t="e">
        <f>nomenclaturas!#REF!</f>
        <v>#REF!</v>
      </c>
      <c r="H65" s="15" t="e">
        <f>nomenclaturas!#REF!</f>
        <v>#REF!</v>
      </c>
      <c r="I65" s="15" t="e">
        <f>nomenclaturas!#REF!</f>
        <v>#REF!</v>
      </c>
      <c r="J65" s="15" t="e">
        <f t="shared" si="26"/>
        <v>#REF!</v>
      </c>
      <c r="L65" s="15" t="e">
        <f>nomenclaturas!#REF!</f>
        <v>#REF!</v>
      </c>
      <c r="M65" s="15" t="e">
        <f>nomenclaturas!#REF!</f>
        <v>#REF!</v>
      </c>
      <c r="N65" s="15" t="e">
        <f>nomenclaturas!#REF!</f>
        <v>#REF!</v>
      </c>
      <c r="O65" s="15" t="e">
        <f t="shared" si="16"/>
        <v>#REF!</v>
      </c>
      <c r="Q65" s="15" t="e">
        <f>nomenclaturas!#REF!</f>
        <v>#REF!</v>
      </c>
      <c r="R65" s="15" t="e">
        <f>nomenclaturas!#REF!</f>
        <v>#REF!</v>
      </c>
      <c r="S65" s="15" t="e">
        <f>nomenclaturas!#REF!</f>
        <v>#REF!</v>
      </c>
      <c r="T65" s="15" t="e">
        <f t="shared" si="17"/>
        <v>#REF!</v>
      </c>
    </row>
    <row r="66" spans="1:20" ht="18.75" customHeight="1" x14ac:dyDescent="0.25">
      <c r="A66" s="12" t="e">
        <f>nomenclaturas!#REF!</f>
        <v>#REF!</v>
      </c>
      <c r="B66" s="12" t="e">
        <f>nomenclaturas!#REF!</f>
        <v>#REF!</v>
      </c>
      <c r="C66" s="12"/>
      <c r="D66" s="12" t="s">
        <v>74</v>
      </c>
      <c r="E66" s="12" t="e">
        <f t="shared" si="13"/>
        <v>#REF!</v>
      </c>
      <c r="G66" s="15" t="e">
        <f>nomenclaturas!#REF!</f>
        <v>#REF!</v>
      </c>
      <c r="H66" s="15" t="e">
        <f>nomenclaturas!#REF!</f>
        <v>#REF!</v>
      </c>
      <c r="I66" s="15" t="e">
        <f>nomenclaturas!#REF!</f>
        <v>#REF!</v>
      </c>
      <c r="J66" s="15" t="e">
        <f t="shared" si="26"/>
        <v>#REF!</v>
      </c>
      <c r="L66" s="15" t="e">
        <f>nomenclaturas!#REF!</f>
        <v>#REF!</v>
      </c>
      <c r="M66" s="15" t="e">
        <f>nomenclaturas!#REF!</f>
        <v>#REF!</v>
      </c>
      <c r="N66" s="15" t="e">
        <f>nomenclaturas!#REF!</f>
        <v>#REF!</v>
      </c>
      <c r="O66" s="15" t="e">
        <f t="shared" si="16"/>
        <v>#REF!</v>
      </c>
      <c r="Q66" s="15" t="e">
        <f>nomenclaturas!#REF!</f>
        <v>#REF!</v>
      </c>
      <c r="R66" s="15" t="e">
        <f>nomenclaturas!#REF!</f>
        <v>#REF!</v>
      </c>
      <c r="S66" s="15" t="e">
        <f>nomenclaturas!#REF!</f>
        <v>#REF!</v>
      </c>
      <c r="T66" s="15" t="e">
        <f t="shared" si="17"/>
        <v>#REF!</v>
      </c>
    </row>
    <row r="67" spans="1:20" ht="18.75" customHeight="1" x14ac:dyDescent="0.25">
      <c r="A67" s="12" t="e">
        <f>nomenclaturas!#REF!</f>
        <v>#REF!</v>
      </c>
      <c r="B67" s="12" t="e">
        <f>nomenclaturas!#REF!</f>
        <v>#REF!</v>
      </c>
      <c r="C67" s="12"/>
      <c r="D67" s="12" t="s">
        <v>75</v>
      </c>
      <c r="E67" s="12" t="e">
        <f t="shared" si="13"/>
        <v>#REF!</v>
      </c>
      <c r="G67" s="15" t="e">
        <f>nomenclaturas!#REF!</f>
        <v>#REF!</v>
      </c>
      <c r="H67" s="15" t="e">
        <f>nomenclaturas!#REF!</f>
        <v>#REF!</v>
      </c>
      <c r="I67" s="15" t="e">
        <f>nomenclaturas!#REF!</f>
        <v>#REF!</v>
      </c>
      <c r="J67" s="15" t="e">
        <f t="shared" si="26"/>
        <v>#REF!</v>
      </c>
      <c r="L67" s="15" t="e">
        <f>nomenclaturas!#REF!</f>
        <v>#REF!</v>
      </c>
      <c r="M67" s="15" t="e">
        <f>nomenclaturas!#REF!</f>
        <v>#REF!</v>
      </c>
      <c r="N67" s="15" t="e">
        <f>nomenclaturas!#REF!</f>
        <v>#REF!</v>
      </c>
      <c r="O67" s="15" t="e">
        <f t="shared" si="16"/>
        <v>#REF!</v>
      </c>
      <c r="Q67" s="15" t="e">
        <f>nomenclaturas!#REF!</f>
        <v>#REF!</v>
      </c>
      <c r="R67" s="15" t="e">
        <f>nomenclaturas!#REF!</f>
        <v>#REF!</v>
      </c>
      <c r="S67" s="15" t="e">
        <f>nomenclaturas!#REF!</f>
        <v>#REF!</v>
      </c>
      <c r="T67" s="15" t="e">
        <f t="shared" si="17"/>
        <v>#REF!</v>
      </c>
    </row>
    <row r="68" spans="1:20" ht="18.75" customHeight="1" x14ac:dyDescent="0.25">
      <c r="A68" s="12" t="e">
        <f>nomenclaturas!#REF!</f>
        <v>#REF!</v>
      </c>
      <c r="B68" s="12" t="e">
        <f>nomenclaturas!#REF!</f>
        <v>#REF!</v>
      </c>
      <c r="C68" s="12"/>
      <c r="D68" s="12" t="s">
        <v>76</v>
      </c>
      <c r="E68" s="12" t="e">
        <f t="shared" si="13"/>
        <v>#REF!</v>
      </c>
      <c r="G68" s="15" t="e">
        <f>nomenclaturas!#REF!</f>
        <v>#REF!</v>
      </c>
      <c r="H68" s="15" t="e">
        <f>nomenclaturas!#REF!</f>
        <v>#REF!</v>
      </c>
      <c r="I68" s="15" t="e">
        <f>nomenclaturas!#REF!</f>
        <v>#REF!</v>
      </c>
      <c r="J68" s="15" t="e">
        <f t="shared" si="26"/>
        <v>#REF!</v>
      </c>
      <c r="L68" s="15" t="e">
        <f>nomenclaturas!#REF!</f>
        <v>#REF!</v>
      </c>
      <c r="M68" s="15" t="e">
        <f>nomenclaturas!#REF!</f>
        <v>#REF!</v>
      </c>
      <c r="N68" s="15" t="e">
        <f>nomenclaturas!#REF!</f>
        <v>#REF!</v>
      </c>
      <c r="O68" s="15" t="e">
        <f t="shared" si="16"/>
        <v>#REF!</v>
      </c>
      <c r="Q68" s="15" t="e">
        <f>nomenclaturas!#REF!</f>
        <v>#REF!</v>
      </c>
      <c r="R68" s="15" t="e">
        <f>nomenclaturas!#REF!</f>
        <v>#REF!</v>
      </c>
      <c r="S68" s="15" t="e">
        <f>nomenclaturas!#REF!</f>
        <v>#REF!</v>
      </c>
      <c r="T68" s="15" t="e">
        <f t="shared" si="17"/>
        <v>#REF!</v>
      </c>
    </row>
    <row r="69" spans="1:20" ht="18.75" customHeight="1" x14ac:dyDescent="0.25">
      <c r="A69" s="12" t="e">
        <f>nomenclaturas!#REF!</f>
        <v>#REF!</v>
      </c>
      <c r="B69" s="12" t="e">
        <f>nomenclaturas!#REF!</f>
        <v>#REF!</v>
      </c>
      <c r="C69" s="12"/>
      <c r="D69" s="12" t="s">
        <v>77</v>
      </c>
      <c r="E69" s="12" t="e">
        <f t="shared" si="13"/>
        <v>#REF!</v>
      </c>
      <c r="G69" s="15" t="e">
        <f>nomenclaturas!#REF!</f>
        <v>#REF!</v>
      </c>
      <c r="H69" s="15" t="e">
        <f>nomenclaturas!#REF!</f>
        <v>#REF!</v>
      </c>
      <c r="I69" s="15" t="e">
        <f>nomenclaturas!#REF!</f>
        <v>#REF!</v>
      </c>
      <c r="J69" s="15" t="e">
        <f t="shared" si="26"/>
        <v>#REF!</v>
      </c>
      <c r="L69" s="15" t="e">
        <f>nomenclaturas!#REF!</f>
        <v>#REF!</v>
      </c>
      <c r="M69" s="15" t="e">
        <f>nomenclaturas!#REF!</f>
        <v>#REF!</v>
      </c>
      <c r="N69" s="15" t="e">
        <f>nomenclaturas!#REF!</f>
        <v>#REF!</v>
      </c>
      <c r="O69" s="15" t="e">
        <f t="shared" si="16"/>
        <v>#REF!</v>
      </c>
      <c r="Q69" s="15" t="e">
        <f>nomenclaturas!#REF!</f>
        <v>#REF!</v>
      </c>
      <c r="R69" s="15" t="e">
        <f>nomenclaturas!#REF!</f>
        <v>#REF!</v>
      </c>
      <c r="S69" s="15" t="e">
        <f>nomenclaturas!#REF!</f>
        <v>#REF!</v>
      </c>
      <c r="T69" s="15" t="e">
        <f t="shared" si="17"/>
        <v>#REF!</v>
      </c>
    </row>
    <row r="70" spans="1:20" ht="18.75" customHeight="1" x14ac:dyDescent="0.25">
      <c r="A70" s="12" t="e">
        <f>nomenclaturas!#REF!</f>
        <v>#REF!</v>
      </c>
      <c r="B70" s="12" t="e">
        <f>nomenclaturas!#REF!</f>
        <v>#REF!</v>
      </c>
      <c r="C70" s="12"/>
      <c r="D70" s="12" t="s">
        <v>78</v>
      </c>
      <c r="E70" s="12" t="e">
        <f t="shared" si="13"/>
        <v>#REF!</v>
      </c>
      <c r="G70" s="15" t="e">
        <f>nomenclaturas!#REF!</f>
        <v>#REF!</v>
      </c>
      <c r="H70" s="15" t="e">
        <f>nomenclaturas!#REF!</f>
        <v>#REF!</v>
      </c>
      <c r="I70" s="15" t="e">
        <f>nomenclaturas!#REF!</f>
        <v>#REF!</v>
      </c>
      <c r="J70" s="15" t="e">
        <f t="shared" si="26"/>
        <v>#REF!</v>
      </c>
      <c r="L70" s="15" t="e">
        <f>nomenclaturas!#REF!</f>
        <v>#REF!</v>
      </c>
      <c r="M70" s="15" t="e">
        <f>nomenclaturas!#REF!</f>
        <v>#REF!</v>
      </c>
      <c r="N70" s="15" t="e">
        <f>nomenclaturas!#REF!</f>
        <v>#REF!</v>
      </c>
      <c r="O70" s="15" t="e">
        <f t="shared" si="16"/>
        <v>#REF!</v>
      </c>
      <c r="Q70" s="15" t="e">
        <f>nomenclaturas!#REF!</f>
        <v>#REF!</v>
      </c>
      <c r="R70" s="15" t="e">
        <f>nomenclaturas!#REF!</f>
        <v>#REF!</v>
      </c>
      <c r="S70" s="15" t="e">
        <f>nomenclaturas!#REF!</f>
        <v>#REF!</v>
      </c>
      <c r="T70" s="15" t="e">
        <f t="shared" si="17"/>
        <v>#REF!</v>
      </c>
    </row>
    <row r="71" spans="1:20" ht="18.75" customHeight="1" x14ac:dyDescent="0.25">
      <c r="A71" s="12" t="e">
        <f>nomenclaturas!#REF!</f>
        <v>#REF!</v>
      </c>
      <c r="B71" s="12" t="e">
        <f>nomenclaturas!#REF!</f>
        <v>#REF!</v>
      </c>
      <c r="C71" s="12"/>
      <c r="D71" s="12" t="s">
        <v>79</v>
      </c>
      <c r="E71" s="12" t="e">
        <f t="shared" ref="E71:E96" si="27">A71&amp;" - "&amp;B71&amp;(IF(C71=0, ,(" - "&amp;C71)))</f>
        <v>#REF!</v>
      </c>
      <c r="G71" s="15" t="e">
        <f>nomenclaturas!#REF!</f>
        <v>#REF!</v>
      </c>
      <c r="H71" s="15" t="e">
        <f>nomenclaturas!#REF!</f>
        <v>#REF!</v>
      </c>
      <c r="I71" s="15" t="e">
        <f>nomenclaturas!#REF!</f>
        <v>#REF!</v>
      </c>
      <c r="J71" s="15" t="e">
        <f t="shared" si="26"/>
        <v>#REF!</v>
      </c>
      <c r="L71" s="15" t="e">
        <f>nomenclaturas!#REF!</f>
        <v>#REF!</v>
      </c>
      <c r="M71" s="15" t="e">
        <f>nomenclaturas!#REF!</f>
        <v>#REF!</v>
      </c>
      <c r="N71" s="15" t="e">
        <f>nomenclaturas!#REF!</f>
        <v>#REF!</v>
      </c>
      <c r="O71" s="15" t="e">
        <f t="shared" si="16"/>
        <v>#REF!</v>
      </c>
      <c r="Q71" s="15" t="e">
        <f>nomenclaturas!#REF!</f>
        <v>#REF!</v>
      </c>
      <c r="R71" s="15" t="e">
        <f>nomenclaturas!#REF!</f>
        <v>#REF!</v>
      </c>
      <c r="S71" s="15" t="e">
        <f>nomenclaturas!#REF!</f>
        <v>#REF!</v>
      </c>
      <c r="T71" s="15" t="e">
        <f t="shared" si="17"/>
        <v>#REF!</v>
      </c>
    </row>
    <row r="72" spans="1:20" ht="18.75" customHeight="1" x14ac:dyDescent="0.25">
      <c r="A72" s="12" t="e">
        <f>nomenclaturas!#REF!</f>
        <v>#REF!</v>
      </c>
      <c r="B72" s="12" t="e">
        <f>nomenclaturas!#REF!</f>
        <v>#REF!</v>
      </c>
      <c r="C72" s="12"/>
      <c r="D72" s="12" t="s">
        <v>80</v>
      </c>
      <c r="E72" s="12" t="e">
        <f t="shared" si="27"/>
        <v>#REF!</v>
      </c>
      <c r="G72" s="15" t="e">
        <f>nomenclaturas!#REF!</f>
        <v>#REF!</v>
      </c>
      <c r="H72" s="15" t="e">
        <f>nomenclaturas!#REF!</f>
        <v>#REF!</v>
      </c>
      <c r="I72" s="15" t="e">
        <f>nomenclaturas!#REF!</f>
        <v>#REF!</v>
      </c>
      <c r="J72" s="15" t="e">
        <f t="shared" si="26"/>
        <v>#REF!</v>
      </c>
      <c r="L72" s="15" t="e">
        <f>nomenclaturas!#REF!</f>
        <v>#REF!</v>
      </c>
      <c r="M72" s="15" t="e">
        <f>nomenclaturas!#REF!</f>
        <v>#REF!</v>
      </c>
      <c r="N72" s="15" t="e">
        <f>nomenclaturas!#REF!</f>
        <v>#REF!</v>
      </c>
      <c r="O72" s="15" t="e">
        <f t="shared" si="16"/>
        <v>#REF!</v>
      </c>
      <c r="Q72" s="18" t="e">
        <f>nomenclaturas!#REF!</f>
        <v>#REF!</v>
      </c>
      <c r="R72" s="18" t="e">
        <f>nomenclaturas!#REF!</f>
        <v>#REF!</v>
      </c>
      <c r="S72" s="18" t="e">
        <f>nomenclaturas!#REF!</f>
        <v>#REF!</v>
      </c>
      <c r="T72" s="15" t="e">
        <f t="shared" si="17"/>
        <v>#REF!</v>
      </c>
    </row>
    <row r="73" spans="1:20" ht="18.75" customHeight="1" x14ac:dyDescent="0.25">
      <c r="A73" s="12" t="e">
        <f>nomenclaturas!#REF!</f>
        <v>#REF!</v>
      </c>
      <c r="B73" s="12" t="e">
        <f>nomenclaturas!#REF!</f>
        <v>#REF!</v>
      </c>
      <c r="C73" s="12"/>
      <c r="D73" s="12" t="s">
        <v>81</v>
      </c>
      <c r="E73" s="12" t="e">
        <f t="shared" si="27"/>
        <v>#REF!</v>
      </c>
      <c r="G73" s="15"/>
      <c r="H73" s="15"/>
      <c r="I73" s="12"/>
      <c r="J73" s="15" t="e">
        <f>nomenclaturas!#REF!</f>
        <v>#REF!</v>
      </c>
      <c r="L73" s="12"/>
      <c r="M73" s="15"/>
      <c r="N73" s="12"/>
      <c r="O73" s="15" t="e">
        <f>nomenclaturas!#REF!</f>
        <v>#REF!</v>
      </c>
      <c r="Q73" s="12"/>
      <c r="R73" s="15"/>
      <c r="S73" s="12"/>
      <c r="T73" s="15" t="e">
        <f>nomenclaturas!#REF!</f>
        <v>#REF!</v>
      </c>
    </row>
    <row r="74" spans="1:20" ht="18.75" customHeight="1" x14ac:dyDescent="0.25">
      <c r="A74" s="12" t="e">
        <f>nomenclaturas!#REF!</f>
        <v>#REF!</v>
      </c>
      <c r="B74" s="14" t="e">
        <f>nomenclaturas!#REF!</f>
        <v>#REF!</v>
      </c>
      <c r="C74" s="14"/>
      <c r="D74" s="12" t="s">
        <v>27</v>
      </c>
      <c r="E74" s="12" t="e">
        <f t="shared" si="27"/>
        <v>#REF!</v>
      </c>
      <c r="G74" s="15" t="e">
        <f>nomenclaturas!#REF!</f>
        <v>#REF!</v>
      </c>
      <c r="H74" s="15" t="e">
        <f>nomenclaturas!#REF!</f>
        <v>#REF!</v>
      </c>
      <c r="I74" s="15" t="e">
        <f>nomenclaturas!#REF!</f>
        <v>#REF!</v>
      </c>
      <c r="J74" s="15" t="e">
        <f>SUM(G74:I74)</f>
        <v>#REF!</v>
      </c>
      <c r="L74" s="15">
        <v>2980</v>
      </c>
      <c r="M74" s="15">
        <v>1261</v>
      </c>
      <c r="N74" s="15" t="e">
        <f>nomenclaturas!#REF!</f>
        <v>#REF!</v>
      </c>
      <c r="O74" s="15" t="e">
        <f t="shared" ref="O74:O85" si="28">SUM(L74:N74)</f>
        <v>#REF!</v>
      </c>
      <c r="Q74" s="15" t="e">
        <f>nomenclaturas!#REF!</f>
        <v>#REF!</v>
      </c>
      <c r="R74" s="15" t="e">
        <f>nomenclaturas!#REF!</f>
        <v>#REF!</v>
      </c>
      <c r="S74" s="15" t="e">
        <f>nomenclaturas!#REF!</f>
        <v>#REF!</v>
      </c>
      <c r="T74" s="15" t="e">
        <f t="shared" ref="T74:T85" si="29">SUM(Q74:S74)</f>
        <v>#REF!</v>
      </c>
    </row>
    <row r="75" spans="1:20" ht="18.75" customHeight="1" x14ac:dyDescent="0.25">
      <c r="A75" s="12" t="e">
        <f>nomenclaturas!#REF!</f>
        <v>#REF!</v>
      </c>
      <c r="B75" s="12" t="e">
        <f>nomenclaturas!#REF!</f>
        <v>#REF!</v>
      </c>
      <c r="C75" s="14" t="e">
        <f>nomenclaturas!#REF!</f>
        <v>#REF!</v>
      </c>
      <c r="D75" s="12" t="s">
        <v>28</v>
      </c>
      <c r="E75" s="12" t="e">
        <f t="shared" si="27"/>
        <v>#REF!</v>
      </c>
      <c r="G75" s="15" t="e">
        <f>nomenclaturas!#REF!</f>
        <v>#REF!</v>
      </c>
      <c r="H75" s="15" t="e">
        <f>nomenclaturas!#REF!</f>
        <v>#REF!</v>
      </c>
      <c r="I75" s="15" t="e">
        <f>nomenclaturas!#REF!</f>
        <v>#REF!</v>
      </c>
      <c r="J75" s="15" t="e">
        <f t="shared" ref="J75:J77" si="30">SUM(G75:I75)</f>
        <v>#REF!</v>
      </c>
      <c r="L75" s="15">
        <v>3219</v>
      </c>
      <c r="M75" s="15">
        <v>1369</v>
      </c>
      <c r="N75" s="15" t="e">
        <f>nomenclaturas!#REF!</f>
        <v>#REF!</v>
      </c>
      <c r="O75" s="15" t="e">
        <f t="shared" si="28"/>
        <v>#REF!</v>
      </c>
      <c r="Q75" s="15" t="e">
        <f>nomenclaturas!#REF!</f>
        <v>#REF!</v>
      </c>
      <c r="R75" s="15" t="e">
        <f>nomenclaturas!#REF!</f>
        <v>#REF!</v>
      </c>
      <c r="S75" s="15" t="e">
        <f>nomenclaturas!#REF!</f>
        <v>#REF!</v>
      </c>
      <c r="T75" s="15" t="e">
        <f t="shared" si="29"/>
        <v>#REF!</v>
      </c>
    </row>
    <row r="76" spans="1:20" ht="18.75" customHeight="1" x14ac:dyDescent="0.25">
      <c r="A76" s="12" t="e">
        <f>nomenclaturas!#REF!</f>
        <v>#REF!</v>
      </c>
      <c r="B76" s="12" t="e">
        <f>nomenclaturas!#REF!</f>
        <v>#REF!</v>
      </c>
      <c r="C76" s="14" t="e">
        <f>nomenclaturas!#REF!</f>
        <v>#REF!</v>
      </c>
      <c r="D76" s="12" t="s">
        <v>29</v>
      </c>
      <c r="E76" s="12" t="e">
        <f t="shared" si="27"/>
        <v>#REF!</v>
      </c>
      <c r="G76" s="15" t="e">
        <f>nomenclaturas!#REF!</f>
        <v>#REF!</v>
      </c>
      <c r="H76" s="15" t="e">
        <f>nomenclaturas!#REF!</f>
        <v>#REF!</v>
      </c>
      <c r="I76" s="15" t="e">
        <f>nomenclaturas!#REF!</f>
        <v>#REF!</v>
      </c>
      <c r="J76" s="15" t="e">
        <f t="shared" si="30"/>
        <v>#REF!</v>
      </c>
      <c r="L76" s="15">
        <v>3517</v>
      </c>
      <c r="M76" s="15">
        <v>1482</v>
      </c>
      <c r="N76" s="15" t="e">
        <f>nomenclaturas!#REF!</f>
        <v>#REF!</v>
      </c>
      <c r="O76" s="15" t="e">
        <f t="shared" si="28"/>
        <v>#REF!</v>
      </c>
      <c r="Q76" s="15" t="e">
        <f>nomenclaturas!#REF!</f>
        <v>#REF!</v>
      </c>
      <c r="R76" s="15" t="e">
        <f>nomenclaturas!#REF!</f>
        <v>#REF!</v>
      </c>
      <c r="S76" s="15" t="e">
        <f>nomenclaturas!#REF!</f>
        <v>#REF!</v>
      </c>
      <c r="T76" s="15" t="e">
        <f t="shared" si="29"/>
        <v>#REF!</v>
      </c>
    </row>
    <row r="77" spans="1:20" ht="18.75" customHeight="1" x14ac:dyDescent="0.25">
      <c r="A77" s="12" t="e">
        <f>nomenclaturas!#REF!</f>
        <v>#REF!</v>
      </c>
      <c r="B77" s="12" t="e">
        <f>nomenclaturas!#REF!</f>
        <v>#REF!</v>
      </c>
      <c r="C77" s="14" t="e">
        <f>nomenclaturas!#REF!</f>
        <v>#REF!</v>
      </c>
      <c r="D77" s="12" t="s">
        <v>30</v>
      </c>
      <c r="E77" s="12" t="e">
        <f t="shared" si="27"/>
        <v>#REF!</v>
      </c>
      <c r="G77" s="15" t="e">
        <f>nomenclaturas!#REF!</f>
        <v>#REF!</v>
      </c>
      <c r="H77" s="15" t="e">
        <f>nomenclaturas!#REF!</f>
        <v>#REF!</v>
      </c>
      <c r="I77" s="15" t="e">
        <f>nomenclaturas!#REF!</f>
        <v>#REF!</v>
      </c>
      <c r="J77" s="15" t="e">
        <f t="shared" si="30"/>
        <v>#REF!</v>
      </c>
      <c r="L77" s="15">
        <v>3785</v>
      </c>
      <c r="M77" s="15">
        <v>1608</v>
      </c>
      <c r="N77" s="15" t="e">
        <f>nomenclaturas!#REF!</f>
        <v>#REF!</v>
      </c>
      <c r="O77" s="15" t="e">
        <f t="shared" si="28"/>
        <v>#REF!</v>
      </c>
      <c r="Q77" s="15" t="e">
        <f>nomenclaturas!#REF!</f>
        <v>#REF!</v>
      </c>
      <c r="R77" s="15" t="e">
        <f>nomenclaturas!#REF!</f>
        <v>#REF!</v>
      </c>
      <c r="S77" s="15" t="e">
        <f>nomenclaturas!#REF!</f>
        <v>#REF!</v>
      </c>
      <c r="T77" s="15" t="e">
        <f t="shared" si="29"/>
        <v>#REF!</v>
      </c>
    </row>
    <row r="78" spans="1:20" ht="18.75" customHeight="1" x14ac:dyDescent="0.25">
      <c r="A78" s="12" t="e">
        <f>nomenclaturas!#REF!</f>
        <v>#REF!</v>
      </c>
      <c r="B78" s="12" t="e">
        <f>nomenclaturas!#REF!</f>
        <v>#REF!</v>
      </c>
      <c r="C78" s="12"/>
      <c r="D78" s="12" t="s">
        <v>96</v>
      </c>
      <c r="E78" s="12" t="e">
        <f t="shared" si="27"/>
        <v>#REF!</v>
      </c>
      <c r="G78" s="15" t="e">
        <f>nomenclaturas!#REF!</f>
        <v>#REF!</v>
      </c>
      <c r="H78" s="15" t="e">
        <f>nomenclaturas!#REF!</f>
        <v>#REF!</v>
      </c>
      <c r="I78" s="15" t="e">
        <f>nomenclaturas!#REF!</f>
        <v>#REF!</v>
      </c>
      <c r="J78" s="15" t="e">
        <f t="shared" ref="J78:J85" si="31">SUM(G78:I78)</f>
        <v>#REF!</v>
      </c>
      <c r="L78" s="15" t="e">
        <f>nomenclaturas!#REF!</f>
        <v>#REF!</v>
      </c>
      <c r="M78" s="15" t="e">
        <f>nomenclaturas!#REF!</f>
        <v>#REF!</v>
      </c>
      <c r="N78" s="15" t="e">
        <f>nomenclaturas!#REF!</f>
        <v>#REF!</v>
      </c>
      <c r="O78" s="15" t="e">
        <f t="shared" si="28"/>
        <v>#REF!</v>
      </c>
      <c r="Q78" s="15" t="e">
        <f>nomenclaturas!#REF!</f>
        <v>#REF!</v>
      </c>
      <c r="R78" s="15" t="e">
        <f>nomenclaturas!#REF!</f>
        <v>#REF!</v>
      </c>
      <c r="S78" s="15" t="e">
        <f>nomenclaturas!#REF!</f>
        <v>#REF!</v>
      </c>
      <c r="T78" s="15" t="e">
        <f t="shared" si="29"/>
        <v>#REF!</v>
      </c>
    </row>
    <row r="79" spans="1:20" ht="18.75" customHeight="1" x14ac:dyDescent="0.25">
      <c r="A79" s="12" t="e">
        <f>nomenclaturas!#REF!</f>
        <v>#REF!</v>
      </c>
      <c r="B79" s="12" t="e">
        <f>nomenclaturas!#REF!</f>
        <v>#REF!</v>
      </c>
      <c r="C79" s="12"/>
      <c r="D79" s="12" t="s">
        <v>82</v>
      </c>
      <c r="E79" s="12" t="e">
        <f t="shared" si="27"/>
        <v>#REF!</v>
      </c>
      <c r="G79" s="15" t="e">
        <f>nomenclaturas!#REF!</f>
        <v>#REF!</v>
      </c>
      <c r="H79" s="15" t="e">
        <f>nomenclaturas!#REF!</f>
        <v>#REF!</v>
      </c>
      <c r="I79" s="15" t="e">
        <f>nomenclaturas!#REF!</f>
        <v>#REF!</v>
      </c>
      <c r="J79" s="15" t="e">
        <f t="shared" si="31"/>
        <v>#REF!</v>
      </c>
      <c r="L79" s="15" t="e">
        <f>nomenclaturas!#REF!</f>
        <v>#REF!</v>
      </c>
      <c r="M79" s="15" t="e">
        <f>nomenclaturas!#REF!</f>
        <v>#REF!</v>
      </c>
      <c r="N79" s="15" t="e">
        <f>nomenclaturas!#REF!</f>
        <v>#REF!</v>
      </c>
      <c r="O79" s="15" t="e">
        <f t="shared" si="28"/>
        <v>#REF!</v>
      </c>
      <c r="Q79" s="15" t="e">
        <f>nomenclaturas!#REF!</f>
        <v>#REF!</v>
      </c>
      <c r="R79" s="15" t="e">
        <f>nomenclaturas!#REF!</f>
        <v>#REF!</v>
      </c>
      <c r="S79" s="15" t="e">
        <f>nomenclaturas!#REF!</f>
        <v>#REF!</v>
      </c>
      <c r="T79" s="15" t="e">
        <f t="shared" si="29"/>
        <v>#REF!</v>
      </c>
    </row>
    <row r="80" spans="1:20" ht="18.75" customHeight="1" x14ac:dyDescent="0.25">
      <c r="A80" s="12" t="e">
        <f>nomenclaturas!#REF!</f>
        <v>#REF!</v>
      </c>
      <c r="B80" s="12" t="e">
        <f>nomenclaturas!#REF!</f>
        <v>#REF!</v>
      </c>
      <c r="C80" s="12"/>
      <c r="D80" s="12" t="s">
        <v>83</v>
      </c>
      <c r="E80" s="12" t="e">
        <f t="shared" si="27"/>
        <v>#REF!</v>
      </c>
      <c r="G80" s="15" t="e">
        <f>nomenclaturas!#REF!</f>
        <v>#REF!</v>
      </c>
      <c r="H80" s="15" t="e">
        <f>nomenclaturas!#REF!</f>
        <v>#REF!</v>
      </c>
      <c r="I80" s="15" t="e">
        <f>nomenclaturas!#REF!</f>
        <v>#REF!</v>
      </c>
      <c r="J80" s="15" t="e">
        <f t="shared" si="31"/>
        <v>#REF!</v>
      </c>
      <c r="L80" s="15" t="e">
        <f>nomenclaturas!#REF!</f>
        <v>#REF!</v>
      </c>
      <c r="M80" s="15" t="e">
        <f>nomenclaturas!#REF!</f>
        <v>#REF!</v>
      </c>
      <c r="N80" s="15" t="e">
        <f>nomenclaturas!#REF!</f>
        <v>#REF!</v>
      </c>
      <c r="O80" s="15" t="e">
        <f t="shared" si="28"/>
        <v>#REF!</v>
      </c>
      <c r="Q80" s="15" t="e">
        <f>nomenclaturas!#REF!</f>
        <v>#REF!</v>
      </c>
      <c r="R80" s="15" t="e">
        <f>nomenclaturas!#REF!</f>
        <v>#REF!</v>
      </c>
      <c r="S80" s="15" t="e">
        <f>nomenclaturas!#REF!</f>
        <v>#REF!</v>
      </c>
      <c r="T80" s="15" t="e">
        <f t="shared" si="29"/>
        <v>#REF!</v>
      </c>
    </row>
    <row r="81" spans="1:20" ht="18.75" customHeight="1" x14ac:dyDescent="0.25">
      <c r="A81" s="12" t="e">
        <f>nomenclaturas!#REF!</f>
        <v>#REF!</v>
      </c>
      <c r="B81" s="12" t="e">
        <f>nomenclaturas!#REF!</f>
        <v>#REF!</v>
      </c>
      <c r="C81" s="12"/>
      <c r="D81" s="12" t="s">
        <v>84</v>
      </c>
      <c r="E81" s="12" t="e">
        <f t="shared" si="27"/>
        <v>#REF!</v>
      </c>
      <c r="G81" s="15" t="e">
        <f>nomenclaturas!#REF!</f>
        <v>#REF!</v>
      </c>
      <c r="H81" s="15" t="e">
        <f>nomenclaturas!#REF!</f>
        <v>#REF!</v>
      </c>
      <c r="I81" s="15" t="e">
        <f>nomenclaturas!#REF!</f>
        <v>#REF!</v>
      </c>
      <c r="J81" s="15" t="e">
        <f t="shared" si="31"/>
        <v>#REF!</v>
      </c>
      <c r="L81" s="15" t="e">
        <f>nomenclaturas!#REF!</f>
        <v>#REF!</v>
      </c>
      <c r="M81" s="15" t="e">
        <f>nomenclaturas!#REF!</f>
        <v>#REF!</v>
      </c>
      <c r="N81" s="15" t="e">
        <f>nomenclaturas!#REF!</f>
        <v>#REF!</v>
      </c>
      <c r="O81" s="15" t="e">
        <f t="shared" si="28"/>
        <v>#REF!</v>
      </c>
      <c r="Q81" s="15" t="e">
        <f>nomenclaturas!#REF!</f>
        <v>#REF!</v>
      </c>
      <c r="R81" s="15" t="e">
        <f>nomenclaturas!#REF!</f>
        <v>#REF!</v>
      </c>
      <c r="S81" s="15" t="e">
        <f>nomenclaturas!#REF!</f>
        <v>#REF!</v>
      </c>
      <c r="T81" s="15" t="e">
        <f t="shared" si="29"/>
        <v>#REF!</v>
      </c>
    </row>
    <row r="82" spans="1:20" ht="18.75" customHeight="1" x14ac:dyDescent="0.25">
      <c r="A82" s="12" t="e">
        <f>nomenclaturas!#REF!</f>
        <v>#REF!</v>
      </c>
      <c r="B82" s="12" t="e">
        <f>nomenclaturas!#REF!</f>
        <v>#REF!</v>
      </c>
      <c r="C82" s="12"/>
      <c r="D82" s="12" t="s">
        <v>85</v>
      </c>
      <c r="E82" s="12" t="e">
        <f t="shared" si="27"/>
        <v>#REF!</v>
      </c>
      <c r="G82" s="15" t="e">
        <f>nomenclaturas!#REF!</f>
        <v>#REF!</v>
      </c>
      <c r="H82" s="15" t="e">
        <f>nomenclaturas!#REF!</f>
        <v>#REF!</v>
      </c>
      <c r="I82" s="15" t="e">
        <f>nomenclaturas!#REF!</f>
        <v>#REF!</v>
      </c>
      <c r="J82" s="15" t="e">
        <f t="shared" si="31"/>
        <v>#REF!</v>
      </c>
      <c r="L82" s="15" t="e">
        <f>nomenclaturas!#REF!</f>
        <v>#REF!</v>
      </c>
      <c r="M82" s="15" t="e">
        <f>nomenclaturas!#REF!</f>
        <v>#REF!</v>
      </c>
      <c r="N82" s="15" t="e">
        <f>nomenclaturas!#REF!</f>
        <v>#REF!</v>
      </c>
      <c r="O82" s="15" t="e">
        <f t="shared" si="28"/>
        <v>#REF!</v>
      </c>
      <c r="Q82" s="15" t="e">
        <f>nomenclaturas!#REF!</f>
        <v>#REF!</v>
      </c>
      <c r="R82" s="15" t="e">
        <f>nomenclaturas!#REF!</f>
        <v>#REF!</v>
      </c>
      <c r="S82" s="15" t="e">
        <f>nomenclaturas!#REF!</f>
        <v>#REF!</v>
      </c>
      <c r="T82" s="15" t="e">
        <f t="shared" si="29"/>
        <v>#REF!</v>
      </c>
    </row>
    <row r="83" spans="1:20" ht="18.75" customHeight="1" x14ac:dyDescent="0.25">
      <c r="A83" s="12" t="e">
        <f>nomenclaturas!#REF!</f>
        <v>#REF!</v>
      </c>
      <c r="B83" s="14" t="e">
        <f>nomenclaturas!#REF!</f>
        <v>#REF!</v>
      </c>
      <c r="C83" s="14"/>
      <c r="D83" s="12" t="s">
        <v>97</v>
      </c>
      <c r="E83" s="12" t="e">
        <f t="shared" si="27"/>
        <v>#REF!</v>
      </c>
      <c r="G83" s="15" t="e">
        <f>nomenclaturas!#REF!</f>
        <v>#REF!</v>
      </c>
      <c r="H83" s="15" t="e">
        <f>nomenclaturas!#REF!</f>
        <v>#REF!</v>
      </c>
      <c r="I83" s="15" t="e">
        <f>nomenclaturas!#REF!</f>
        <v>#REF!</v>
      </c>
      <c r="J83" s="15" t="e">
        <f t="shared" si="31"/>
        <v>#REF!</v>
      </c>
      <c r="L83" s="15" t="e">
        <f>nomenclaturas!#REF!</f>
        <v>#REF!</v>
      </c>
      <c r="M83" s="15" t="e">
        <f>nomenclaturas!#REF!</f>
        <v>#REF!</v>
      </c>
      <c r="N83" s="15" t="e">
        <f>nomenclaturas!#REF!</f>
        <v>#REF!</v>
      </c>
      <c r="O83" s="15" t="e">
        <f t="shared" si="28"/>
        <v>#REF!</v>
      </c>
      <c r="Q83" s="15" t="e">
        <f>nomenclaturas!#REF!</f>
        <v>#REF!</v>
      </c>
      <c r="R83" s="15" t="e">
        <f>nomenclaturas!#REF!</f>
        <v>#REF!</v>
      </c>
      <c r="S83" s="15" t="e">
        <f>nomenclaturas!#REF!</f>
        <v>#REF!</v>
      </c>
      <c r="T83" s="15" t="e">
        <f t="shared" si="29"/>
        <v>#REF!</v>
      </c>
    </row>
    <row r="84" spans="1:20" ht="18.75" customHeight="1" x14ac:dyDescent="0.25">
      <c r="A84" s="12" t="e">
        <f>nomenclaturas!#REF!</f>
        <v>#REF!</v>
      </c>
      <c r="B84" s="12" t="e">
        <f>nomenclaturas!#REF!</f>
        <v>#REF!</v>
      </c>
      <c r="C84" s="12"/>
      <c r="D84" s="12" t="s">
        <v>86</v>
      </c>
      <c r="E84" s="12" t="e">
        <f t="shared" si="27"/>
        <v>#REF!</v>
      </c>
      <c r="G84" s="15" t="e">
        <f>nomenclaturas!#REF!</f>
        <v>#REF!</v>
      </c>
      <c r="H84" s="15" t="e">
        <f>nomenclaturas!#REF!</f>
        <v>#REF!</v>
      </c>
      <c r="I84" s="15" t="e">
        <f>nomenclaturas!#REF!</f>
        <v>#REF!</v>
      </c>
      <c r="J84" s="15" t="e">
        <f t="shared" si="31"/>
        <v>#REF!</v>
      </c>
      <c r="L84" s="15" t="e">
        <f>nomenclaturas!#REF!</f>
        <v>#REF!</v>
      </c>
      <c r="M84" s="15" t="e">
        <f>nomenclaturas!#REF!</f>
        <v>#REF!</v>
      </c>
      <c r="N84" s="15" t="e">
        <f>nomenclaturas!#REF!</f>
        <v>#REF!</v>
      </c>
      <c r="O84" s="15" t="e">
        <f t="shared" si="28"/>
        <v>#REF!</v>
      </c>
      <c r="Q84" s="15" t="e">
        <f>nomenclaturas!#REF!</f>
        <v>#REF!</v>
      </c>
      <c r="R84" s="15" t="e">
        <f>nomenclaturas!#REF!</f>
        <v>#REF!</v>
      </c>
      <c r="S84" s="15" t="e">
        <f>nomenclaturas!#REF!</f>
        <v>#REF!</v>
      </c>
      <c r="T84" s="15" t="e">
        <f t="shared" si="29"/>
        <v>#REF!</v>
      </c>
    </row>
    <row r="85" spans="1:20" ht="18.75" customHeight="1" x14ac:dyDescent="0.25">
      <c r="A85" s="12" t="e">
        <f>nomenclaturas!#REF!</f>
        <v>#REF!</v>
      </c>
      <c r="B85" s="12" t="e">
        <f>nomenclaturas!#REF!</f>
        <v>#REF!</v>
      </c>
      <c r="C85" s="12"/>
      <c r="D85" s="12" t="s">
        <v>87</v>
      </c>
      <c r="E85" s="12" t="e">
        <f t="shared" si="27"/>
        <v>#REF!</v>
      </c>
      <c r="G85" s="15" t="e">
        <f>nomenclaturas!#REF!</f>
        <v>#REF!</v>
      </c>
      <c r="H85" s="15" t="e">
        <f>nomenclaturas!#REF!</f>
        <v>#REF!</v>
      </c>
      <c r="I85" s="15" t="e">
        <f>nomenclaturas!#REF!</f>
        <v>#REF!</v>
      </c>
      <c r="J85" s="15" t="e">
        <f t="shared" si="31"/>
        <v>#REF!</v>
      </c>
      <c r="L85" s="15" t="e">
        <f>nomenclaturas!#REF!</f>
        <v>#REF!</v>
      </c>
      <c r="M85" s="15" t="e">
        <f>nomenclaturas!#REF!</f>
        <v>#REF!</v>
      </c>
      <c r="N85" s="15" t="e">
        <f>nomenclaturas!#REF!</f>
        <v>#REF!</v>
      </c>
      <c r="O85" s="15" t="e">
        <f t="shared" si="28"/>
        <v>#REF!</v>
      </c>
      <c r="Q85" s="15" t="e">
        <f>nomenclaturas!#REF!</f>
        <v>#REF!</v>
      </c>
      <c r="R85" s="15" t="e">
        <f>nomenclaturas!#REF!</f>
        <v>#REF!</v>
      </c>
      <c r="S85" s="15" t="e">
        <f>nomenclaturas!#REF!</f>
        <v>#REF!</v>
      </c>
      <c r="T85" s="15" t="e">
        <f t="shared" si="29"/>
        <v>#REF!</v>
      </c>
    </row>
    <row r="86" spans="1:20" ht="18.75" customHeight="1" x14ac:dyDescent="0.25">
      <c r="A86" s="12" t="e">
        <f>nomenclaturas!#REF!</f>
        <v>#REF!</v>
      </c>
      <c r="B86" s="12" t="e">
        <f>nomenclaturas!#REF!</f>
        <v>#REF!</v>
      </c>
      <c r="C86" s="12"/>
      <c r="D86" s="12" t="s">
        <v>92</v>
      </c>
      <c r="E86" s="12" t="e">
        <f>A86&amp;" - "&amp;B86&amp;(IF(C86=0, ,(" - "&amp;C86)))</f>
        <v>#REF!</v>
      </c>
      <c r="G86" s="15" t="e">
        <f>nomenclaturas!#REF!</f>
        <v>#REF!</v>
      </c>
      <c r="H86" s="15" t="e">
        <f>nomenclaturas!#REF!</f>
        <v>#REF!</v>
      </c>
      <c r="I86" s="15" t="e">
        <f>nomenclaturas!#REF!</f>
        <v>#REF!</v>
      </c>
      <c r="J86" s="15" t="e">
        <f>SUM(G86:I86)</f>
        <v>#REF!</v>
      </c>
      <c r="L86" s="15" t="e">
        <f>nomenclaturas!#REF!</f>
        <v>#REF!</v>
      </c>
      <c r="M86" s="15" t="e">
        <f>nomenclaturas!#REF!</f>
        <v>#REF!</v>
      </c>
      <c r="N86" s="15" t="e">
        <f>nomenclaturas!#REF!</f>
        <v>#REF!</v>
      </c>
      <c r="O86" s="15" t="e">
        <f>SUM(L86:N86)</f>
        <v>#REF!</v>
      </c>
      <c r="Q86" s="18" t="e">
        <f>nomenclaturas!#REF!</f>
        <v>#REF!</v>
      </c>
      <c r="R86" s="18" t="e">
        <f>nomenclaturas!#REF!</f>
        <v>#REF!</v>
      </c>
      <c r="S86" s="18" t="e">
        <f>nomenclaturas!#REF!</f>
        <v>#REF!</v>
      </c>
      <c r="T86" s="15" t="e">
        <f>SUM(Q86:S86)</f>
        <v>#REF!</v>
      </c>
    </row>
    <row r="87" spans="1:20" ht="27.75" customHeight="1" x14ac:dyDescent="0.25">
      <c r="A87" s="12" t="e">
        <f>nomenclaturas!#REF!</f>
        <v>#REF!</v>
      </c>
      <c r="B87" s="14" t="e">
        <f>nomenclaturas!#REF!</f>
        <v>#REF!</v>
      </c>
      <c r="C87" s="14"/>
      <c r="D87" s="12" t="s">
        <v>93</v>
      </c>
      <c r="E87" s="12" t="e">
        <f t="shared" si="27"/>
        <v>#REF!</v>
      </c>
      <c r="G87" s="12"/>
      <c r="H87" s="15"/>
      <c r="I87" s="15"/>
      <c r="J87" s="15" t="e">
        <f>nomenclaturas!#REF!</f>
        <v>#REF!</v>
      </c>
      <c r="L87" s="12"/>
      <c r="M87" s="15"/>
      <c r="N87" s="15"/>
      <c r="O87" s="15">
        <v>4730</v>
      </c>
      <c r="Q87" s="12"/>
      <c r="R87" s="15"/>
      <c r="S87" s="15"/>
      <c r="T87" s="15">
        <v>177</v>
      </c>
    </row>
    <row r="88" spans="1:20" ht="18.75" customHeight="1" x14ac:dyDescent="0.25">
      <c r="A88" s="12" t="e">
        <f>nomenclaturas!#REF!</f>
        <v>#REF!</v>
      </c>
      <c r="B88" s="14" t="e">
        <f>nomenclaturas!#REF!</f>
        <v>#REF!</v>
      </c>
      <c r="C88" s="14"/>
      <c r="D88" s="12" t="s">
        <v>19</v>
      </c>
      <c r="E88" s="12" t="e">
        <f t="shared" si="27"/>
        <v>#REF!</v>
      </c>
      <c r="G88" s="12"/>
      <c r="H88" s="15"/>
      <c r="I88" s="15"/>
      <c r="J88" s="15" t="e">
        <f>nomenclaturas!#REF!</f>
        <v>#REF!</v>
      </c>
      <c r="L88" s="12"/>
      <c r="M88" s="12"/>
      <c r="N88" s="12"/>
      <c r="O88" s="15" t="e">
        <f>nomenclaturas!#REF!</f>
        <v>#REF!</v>
      </c>
      <c r="Q88" s="12"/>
      <c r="R88" s="12"/>
      <c r="S88" s="12"/>
      <c r="T88" s="15" t="e">
        <f>nomenclaturas!#REF!</f>
        <v>#REF!</v>
      </c>
    </row>
    <row r="89" spans="1:20" ht="18.75" customHeight="1" x14ac:dyDescent="0.25">
      <c r="A89" s="12" t="e">
        <f>nomenclaturas!#REF!</f>
        <v>#REF!</v>
      </c>
      <c r="B89" s="14" t="e">
        <f>nomenclaturas!#REF!</f>
        <v>#REF!</v>
      </c>
      <c r="C89" s="14"/>
      <c r="D89" s="12" t="s">
        <v>18</v>
      </c>
      <c r="E89" s="12" t="e">
        <f t="shared" si="27"/>
        <v>#REF!</v>
      </c>
      <c r="G89" s="15"/>
      <c r="H89" s="15"/>
      <c r="I89" s="15"/>
      <c r="J89" s="15" t="e">
        <f>nomenclaturas!#REF!</f>
        <v>#REF!</v>
      </c>
      <c r="L89" s="15"/>
      <c r="M89" s="15"/>
      <c r="N89" s="15"/>
      <c r="O89" s="15" t="e">
        <f>nomenclaturas!#REF!</f>
        <v>#REF!</v>
      </c>
      <c r="Q89" s="15"/>
      <c r="R89" s="15"/>
      <c r="S89" s="15"/>
      <c r="T89" s="15" t="e">
        <f>nomenclaturas!#REF!</f>
        <v>#REF!</v>
      </c>
    </row>
    <row r="90" spans="1:20" ht="32.25" customHeight="1" x14ac:dyDescent="0.25">
      <c r="A90" s="12" t="e">
        <f>nomenclaturas!#REF!</f>
        <v>#REF!</v>
      </c>
      <c r="B90" s="14" t="e">
        <f>nomenclaturas!#REF!</f>
        <v>#REF!</v>
      </c>
      <c r="C90" s="14"/>
      <c r="D90" s="12" t="s">
        <v>35</v>
      </c>
      <c r="E90" s="12" t="e">
        <f t="shared" si="27"/>
        <v>#REF!</v>
      </c>
      <c r="G90" s="15"/>
      <c r="H90" s="15"/>
      <c r="I90" s="15"/>
      <c r="J90" s="15" t="e">
        <f>nomenclaturas!#REF!</f>
        <v>#REF!</v>
      </c>
      <c r="L90" s="12"/>
      <c r="M90" s="12"/>
      <c r="N90" s="12"/>
      <c r="O90" s="15" t="e">
        <f>nomenclaturas!#REF!</f>
        <v>#REF!</v>
      </c>
      <c r="Q90" s="12"/>
      <c r="R90" s="12"/>
      <c r="S90" s="12"/>
      <c r="T90" s="15" t="e">
        <f>nomenclaturas!#REF!</f>
        <v>#REF!</v>
      </c>
    </row>
    <row r="91" spans="1:20" ht="32.25" customHeight="1" x14ac:dyDescent="0.25">
      <c r="A91" s="12" t="e">
        <f>nomenclaturas!#REF!</f>
        <v>#REF!</v>
      </c>
      <c r="B91" s="14" t="e">
        <f>nomenclaturas!#REF!</f>
        <v>#REF!</v>
      </c>
      <c r="C91" s="14"/>
      <c r="D91" s="12" t="s">
        <v>36</v>
      </c>
      <c r="E91" s="12" t="e">
        <f t="shared" si="27"/>
        <v>#REF!</v>
      </c>
      <c r="G91" s="15"/>
      <c r="H91" s="15"/>
      <c r="I91" s="15"/>
      <c r="J91" s="15" t="e">
        <f>nomenclaturas!#REF!</f>
        <v>#REF!</v>
      </c>
      <c r="L91" s="15"/>
      <c r="M91" s="15"/>
      <c r="N91" s="15"/>
      <c r="O91" s="15" t="e">
        <f>nomenclaturas!#REF!</f>
        <v>#REF!</v>
      </c>
      <c r="Q91" s="15"/>
      <c r="R91" s="15"/>
      <c r="S91" s="15"/>
      <c r="T91" s="15" t="e">
        <f>nomenclaturas!#REF!</f>
        <v>#REF!</v>
      </c>
    </row>
    <row r="92" spans="1:20" ht="32.25" customHeight="1" x14ac:dyDescent="0.25">
      <c r="A92" s="12" t="e">
        <f>nomenclaturas!#REF!</f>
        <v>#REF!</v>
      </c>
      <c r="B92" s="14" t="e">
        <f>nomenclaturas!#REF!</f>
        <v>#REF!</v>
      </c>
      <c r="C92" s="14"/>
      <c r="D92" s="12" t="s">
        <v>37</v>
      </c>
      <c r="E92" s="12" t="e">
        <f t="shared" si="27"/>
        <v>#REF!</v>
      </c>
      <c r="G92" s="15"/>
      <c r="H92" s="15"/>
      <c r="I92" s="15"/>
      <c r="J92" s="15" t="e">
        <f>nomenclaturas!#REF!</f>
        <v>#REF!</v>
      </c>
      <c r="L92" s="15"/>
      <c r="M92" s="15"/>
      <c r="N92" s="15"/>
      <c r="O92" s="15" t="e">
        <f>nomenclaturas!#REF!</f>
        <v>#REF!</v>
      </c>
      <c r="Q92" s="15"/>
      <c r="R92" s="15"/>
      <c r="S92" s="15"/>
      <c r="T92" s="15" t="e">
        <f>nomenclaturas!#REF!</f>
        <v>#REF!</v>
      </c>
    </row>
    <row r="93" spans="1:20" ht="18.75" customHeight="1" x14ac:dyDescent="0.25">
      <c r="A93" s="12" t="e">
        <f>nomenclaturas!#REF!</f>
        <v>#REF!</v>
      </c>
      <c r="B93" s="14" t="e">
        <f>nomenclaturas!#REF!</f>
        <v>#REF!</v>
      </c>
      <c r="C93" s="14"/>
      <c r="D93" s="12" t="s">
        <v>88</v>
      </c>
      <c r="E93" s="12" t="e">
        <f t="shared" si="27"/>
        <v>#REF!</v>
      </c>
      <c r="G93" s="12"/>
      <c r="H93" s="15"/>
      <c r="I93" s="12"/>
      <c r="J93" s="15" t="e">
        <f>nomenclaturas!#REF!</f>
        <v>#REF!</v>
      </c>
      <c r="L93" s="12"/>
      <c r="M93" s="15"/>
      <c r="N93" s="12"/>
      <c r="O93" s="15" t="e">
        <f>nomenclaturas!#REF!</f>
        <v>#REF!</v>
      </c>
      <c r="Q93" s="12"/>
      <c r="R93" s="15"/>
      <c r="S93" s="12"/>
      <c r="T93" s="15" t="e">
        <f>nomenclaturas!#REF!</f>
        <v>#REF!</v>
      </c>
    </row>
    <row r="94" spans="1:20" ht="18.75" customHeight="1" x14ac:dyDescent="0.25">
      <c r="A94" s="12" t="e">
        <f>nomenclaturas!#REF!</f>
        <v>#REF!</v>
      </c>
      <c r="B94" s="14" t="e">
        <f>nomenclaturas!#REF!</f>
        <v>#REF!</v>
      </c>
      <c r="C94" s="14"/>
      <c r="D94" s="12" t="s">
        <v>98</v>
      </c>
      <c r="E94" s="12" t="e">
        <f t="shared" si="27"/>
        <v>#REF!</v>
      </c>
      <c r="G94" s="12"/>
      <c r="H94" s="15"/>
      <c r="I94" s="12"/>
      <c r="J94" s="15" t="e">
        <f>nomenclaturas!#REF!</f>
        <v>#REF!</v>
      </c>
      <c r="L94" s="12"/>
      <c r="M94" s="15"/>
      <c r="N94" s="12"/>
      <c r="O94" s="15" t="e">
        <f>nomenclaturas!#REF!</f>
        <v>#REF!</v>
      </c>
      <c r="Q94" s="12"/>
      <c r="R94" s="15"/>
      <c r="S94" s="12"/>
      <c r="T94" s="15" t="e">
        <f>nomenclaturas!#REF!</f>
        <v>#REF!</v>
      </c>
    </row>
    <row r="95" spans="1:20" ht="18.75" customHeight="1" x14ac:dyDescent="0.25">
      <c r="A95" s="12" t="e">
        <f>nomenclaturas!#REF!</f>
        <v>#REF!</v>
      </c>
      <c r="B95" s="14" t="e">
        <f>nomenclaturas!#REF!</f>
        <v>#REF!</v>
      </c>
      <c r="C95" s="14"/>
      <c r="D95" s="12" t="s">
        <v>89</v>
      </c>
      <c r="E95" s="12" t="e">
        <f t="shared" si="27"/>
        <v>#REF!</v>
      </c>
      <c r="G95" s="12"/>
      <c r="H95" s="15"/>
      <c r="I95" s="12"/>
      <c r="J95" s="15" t="e">
        <f>nomenclaturas!#REF!</f>
        <v>#REF!</v>
      </c>
      <c r="L95" s="12"/>
      <c r="M95" s="15"/>
      <c r="N95" s="12"/>
      <c r="O95" s="15" t="e">
        <f>nomenclaturas!#REF!</f>
        <v>#REF!</v>
      </c>
      <c r="Q95" s="12"/>
      <c r="R95" s="15"/>
      <c r="S95" s="12"/>
      <c r="T95" s="15" t="e">
        <f>nomenclaturas!#REF!</f>
        <v>#REF!</v>
      </c>
    </row>
    <row r="96" spans="1:20" ht="27" customHeight="1" x14ac:dyDescent="0.25">
      <c r="A96" s="12" t="e">
        <f>nomenclaturas!#REF!</f>
        <v>#REF!</v>
      </c>
      <c r="B96" s="14" t="e">
        <f>nomenclaturas!#REF!</f>
        <v>#REF!</v>
      </c>
      <c r="C96" s="12"/>
      <c r="D96" s="12" t="s">
        <v>20</v>
      </c>
      <c r="E96" s="12" t="e">
        <f t="shared" si="27"/>
        <v>#REF!</v>
      </c>
      <c r="G96" s="12"/>
      <c r="H96" s="15"/>
      <c r="I96" s="12"/>
      <c r="J96" s="15" t="e">
        <f>nomenclaturas!#REF!</f>
        <v>#REF!</v>
      </c>
      <c r="L96" s="12"/>
      <c r="M96" s="15"/>
      <c r="N96" s="12"/>
      <c r="O96" s="15" t="e">
        <f>nomenclaturas!#REF!</f>
        <v>#REF!</v>
      </c>
      <c r="Q96" s="12"/>
      <c r="R96" s="15"/>
      <c r="S96" s="12"/>
      <c r="T96" s="15" t="e">
        <f>nomenclaturas!#REF!</f>
        <v>#REF!</v>
      </c>
    </row>
    <row r="97" spans="1:20" ht="27" customHeight="1" x14ac:dyDescent="0.25">
      <c r="A97" s="12" t="e">
        <f>nomenclaturas!#REF!</f>
        <v>#REF!</v>
      </c>
      <c r="B97" s="14" t="e">
        <f>nomenclaturas!#REF!</f>
        <v>#REF!</v>
      </c>
      <c r="C97" s="12"/>
      <c r="D97" s="12" t="s">
        <v>129</v>
      </c>
      <c r="E97" s="12" t="e">
        <f>A97&amp;" - "&amp;B97&amp;(IF(C97=0, ,(" - "&amp;C97)))</f>
        <v>#REF!</v>
      </c>
      <c r="G97" s="15" t="e">
        <f>nomenclaturas!#REF!</f>
        <v>#REF!</v>
      </c>
      <c r="H97" s="15" t="e">
        <f>nomenclaturas!#REF!</f>
        <v>#REF!</v>
      </c>
      <c r="I97" s="15" t="e">
        <f>nomenclaturas!#REF!</f>
        <v>#REF!</v>
      </c>
      <c r="J97" s="15" t="e">
        <f>SUM(G97:I97)</f>
        <v>#REF!</v>
      </c>
      <c r="L97" s="15" t="e">
        <f>nomenclaturas!#REF!</f>
        <v>#REF!</v>
      </c>
      <c r="M97" s="15" t="e">
        <f>nomenclaturas!#REF!</f>
        <v>#REF!</v>
      </c>
      <c r="N97" s="15" t="e">
        <f>nomenclaturas!#REF!</f>
        <v>#REF!</v>
      </c>
      <c r="O97" s="15" t="e">
        <f>SUM(L97:N97)</f>
        <v>#REF!</v>
      </c>
      <c r="Q97" s="15" t="e">
        <f>nomenclaturas!#REF!</f>
        <v>#REF!</v>
      </c>
      <c r="R97" s="15" t="e">
        <f>nomenclaturas!#REF!</f>
        <v>#REF!</v>
      </c>
      <c r="S97" s="15" t="e">
        <f>nomenclaturas!#REF!</f>
        <v>#REF!</v>
      </c>
      <c r="T97" s="15" t="e">
        <f>SUM(Q97:S97)</f>
        <v>#REF!</v>
      </c>
    </row>
  </sheetData>
  <mergeCells count="3">
    <mergeCell ref="G1:J1"/>
    <mergeCell ref="L1:O1"/>
    <mergeCell ref="Q1:T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comparativo CE</vt:lpstr>
      <vt:lpstr>nomenclaturas</vt:lpstr>
      <vt:lpstr>usuários hipotéticos</vt:lpstr>
      <vt:lpstr>legenda para gráficos</vt:lpstr>
      <vt:lpstr>Dados Gráficos</vt:lpstr>
      <vt:lpstr>'comparativo CE'!Area_de_impressao</vt:lpstr>
      <vt:lpstr>'legenda para gráficos'!Area_de_impressao</vt:lpstr>
      <vt:lpstr>nomenclaturas!Area_de_impressao</vt:lpstr>
      <vt:lpstr>nomenclaturas!Titulos_de_impressao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marco.amorim</dc:creator>
  <cp:lastModifiedBy>Vandelene Ferreira Melo</cp:lastModifiedBy>
  <cp:lastPrinted>2015-06-16T19:47:20Z</cp:lastPrinted>
  <dcterms:created xsi:type="dcterms:W3CDTF">2012-04-30T12:10:36Z</dcterms:created>
  <dcterms:modified xsi:type="dcterms:W3CDTF">2019-10-03T17:12:37Z</dcterms:modified>
</cp:coreProperties>
</file>