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naaguas-my.sharepoint.com/personal/marco_amorim_ana_gov_br/Documents/MARCO/GECOB/COBRANÇA NO PAÍS/dados cobranca arrecadacao/"/>
    </mc:Choice>
  </mc:AlternateContent>
  <xr:revisionPtr revIDLastSave="114" documentId="8_{09343034-6E31-4350-8858-41B9B53594F6}" xr6:coauthVersionLast="47" xr6:coauthVersionMax="47" xr10:uidLastSave="{75BDB2D2-C066-4DEE-9B94-8186E3E83C0F}"/>
  <bookViews>
    <workbookView xWindow="-120" yWindow="-120" windowWidth="20730" windowHeight="11040" xr2:uid="{00000000-000D-0000-FFFF-FFFF00000000}"/>
  </bookViews>
  <sheets>
    <sheet name="cobranças" sheetId="1" r:id="rId1"/>
    <sheet name="para conjuntura" sheetId="2" r:id="rId2"/>
    <sheet name="para conjuntura1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</externalReferences>
  <definedNames>
    <definedName name="_xlnm.Print_Area" localSheetId="0">cobranças!$A$1:$GE$168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A55" i="1" l="1"/>
  <c r="FY55" i="1"/>
  <c r="FW55" i="1"/>
  <c r="FV55" i="1"/>
  <c r="FT55" i="1"/>
  <c r="FR55" i="1"/>
  <c r="FP55" i="1"/>
  <c r="FO55" i="1"/>
  <c r="GA56" i="1"/>
  <c r="FY56" i="1"/>
  <c r="FW56" i="1"/>
  <c r="FV56" i="1"/>
  <c r="FT56" i="1"/>
  <c r="FR56" i="1"/>
  <c r="FP56" i="1"/>
  <c r="FO56" i="1"/>
  <c r="GD95" i="1"/>
  <c r="GC96" i="1"/>
  <c r="GC95" i="1"/>
  <c r="GA59" i="1" l="1"/>
  <c r="FY59" i="1"/>
  <c r="FW59" i="1"/>
  <c r="FV59" i="1"/>
  <c r="GB59" i="1" s="1"/>
  <c r="FT59" i="1"/>
  <c r="FR59" i="1"/>
  <c r="FP59" i="1"/>
  <c r="FO59" i="1"/>
  <c r="GA57" i="1"/>
  <c r="FY57" i="1"/>
  <c r="FW57" i="1"/>
  <c r="FV57" i="1"/>
  <c r="GB57" i="1" s="1"/>
  <c r="FT57" i="1"/>
  <c r="FR57" i="1"/>
  <c r="FP57" i="1"/>
  <c r="FO57" i="1"/>
  <c r="FU57" i="1" s="1"/>
  <c r="GA51" i="1"/>
  <c r="FY51" i="1"/>
  <c r="FW51" i="1"/>
  <c r="FV51" i="1"/>
  <c r="GB51" i="1" s="1"/>
  <c r="FT51" i="1"/>
  <c r="FR51" i="1"/>
  <c r="FP51" i="1"/>
  <c r="FO51" i="1"/>
  <c r="FU51" i="1" s="1"/>
  <c r="GA50" i="1"/>
  <c r="FY50" i="1"/>
  <c r="FW50" i="1"/>
  <c r="FV50" i="1"/>
  <c r="FT50" i="1"/>
  <c r="FR50" i="1"/>
  <c r="FP50" i="1"/>
  <c r="FO50" i="1"/>
  <c r="GA49" i="1"/>
  <c r="FY49" i="1"/>
  <c r="FW49" i="1"/>
  <c r="FV49" i="1"/>
  <c r="GB49" i="1" s="1"/>
  <c r="FT49" i="1"/>
  <c r="FR49" i="1"/>
  <c r="FP49" i="1"/>
  <c r="FO49" i="1"/>
  <c r="FV48" i="1"/>
  <c r="FW48" i="1"/>
  <c r="FY48" i="1"/>
  <c r="GA48" i="1"/>
  <c r="GB48" i="1" l="1"/>
  <c r="FT48" i="1"/>
  <c r="FR48" i="1"/>
  <c r="FP48" i="1"/>
  <c r="FO48" i="1"/>
  <c r="FU48" i="1" s="1"/>
  <c r="EZ6" i="1" l="1"/>
  <c r="GA142" i="1"/>
  <c r="FY142" i="1"/>
  <c r="FW142" i="1"/>
  <c r="FV142" i="1"/>
  <c r="FT142" i="1"/>
  <c r="FR142" i="1"/>
  <c r="FP142" i="1"/>
  <c r="FO142" i="1"/>
  <c r="GA140" i="1" l="1"/>
  <c r="FY140" i="1"/>
  <c r="FW140" i="1"/>
  <c r="FV140" i="1"/>
  <c r="FT140" i="1"/>
  <c r="FR140" i="1"/>
  <c r="FP140" i="1"/>
  <c r="FO140" i="1"/>
  <c r="GA139" i="1"/>
  <c r="FY139" i="1"/>
  <c r="FW139" i="1"/>
  <c r="FV139" i="1"/>
  <c r="FT139" i="1"/>
  <c r="FR139" i="1"/>
  <c r="FP139" i="1"/>
  <c r="FO139" i="1"/>
  <c r="GA138" i="1"/>
  <c r="FY138" i="1"/>
  <c r="FW138" i="1"/>
  <c r="FV138" i="1"/>
  <c r="FT138" i="1"/>
  <c r="FR138" i="1"/>
  <c r="FP138" i="1"/>
  <c r="FO138" i="1"/>
  <c r="GA137" i="1"/>
  <c r="FY137" i="1"/>
  <c r="FW137" i="1"/>
  <c r="FV137" i="1"/>
  <c r="FT137" i="1"/>
  <c r="FR137" i="1"/>
  <c r="FP137" i="1"/>
  <c r="FO137" i="1"/>
  <c r="GA136" i="1"/>
  <c r="FY136" i="1"/>
  <c r="FW136" i="1"/>
  <c r="FV136" i="1"/>
  <c r="FT136" i="1"/>
  <c r="FR136" i="1"/>
  <c r="FP136" i="1"/>
  <c r="FO136" i="1"/>
  <c r="GA135" i="1"/>
  <c r="FY135" i="1"/>
  <c r="FW135" i="1"/>
  <c r="FV135" i="1"/>
  <c r="FT135" i="1"/>
  <c r="FR135" i="1"/>
  <c r="FP135" i="1"/>
  <c r="FO135" i="1"/>
  <c r="GA134" i="1"/>
  <c r="FY134" i="1"/>
  <c r="FW134" i="1"/>
  <c r="FV134" i="1"/>
  <c r="FT134" i="1"/>
  <c r="FR134" i="1"/>
  <c r="FP134" i="1"/>
  <c r="FO134" i="1"/>
  <c r="GA133" i="1"/>
  <c r="FY133" i="1"/>
  <c r="FW133" i="1"/>
  <c r="FV133" i="1"/>
  <c r="FT133" i="1"/>
  <c r="FR133" i="1"/>
  <c r="FP133" i="1"/>
  <c r="FO133" i="1"/>
  <c r="GA132" i="1"/>
  <c r="FY132" i="1"/>
  <c r="FW132" i="1"/>
  <c r="FV132" i="1"/>
  <c r="FT132" i="1"/>
  <c r="FR132" i="1"/>
  <c r="FP132" i="1"/>
  <c r="FO132" i="1"/>
  <c r="GA131" i="1"/>
  <c r="FY131" i="1"/>
  <c r="FW131" i="1"/>
  <c r="FV131" i="1"/>
  <c r="FT131" i="1"/>
  <c r="FR131" i="1"/>
  <c r="FP131" i="1"/>
  <c r="FO131" i="1"/>
  <c r="GA130" i="1"/>
  <c r="FY130" i="1"/>
  <c r="FW130" i="1"/>
  <c r="FV130" i="1"/>
  <c r="FT130" i="1"/>
  <c r="FR130" i="1"/>
  <c r="FP130" i="1"/>
  <c r="FO130" i="1"/>
  <c r="GA129" i="1"/>
  <c r="FY129" i="1"/>
  <c r="FW129" i="1"/>
  <c r="FV129" i="1"/>
  <c r="FT129" i="1"/>
  <c r="FR129" i="1"/>
  <c r="FP129" i="1"/>
  <c r="FO129" i="1"/>
  <c r="GA127" i="1"/>
  <c r="GA126" i="1"/>
  <c r="GA125" i="1"/>
  <c r="GA124" i="1"/>
  <c r="GA123" i="1"/>
  <c r="GA122" i="1"/>
  <c r="FW127" i="1"/>
  <c r="FV127" i="1"/>
  <c r="FT127" i="1"/>
  <c r="FW126" i="1"/>
  <c r="FV126" i="1"/>
  <c r="FT126" i="1"/>
  <c r="FW125" i="1"/>
  <c r="FV125" i="1"/>
  <c r="FT125" i="1"/>
  <c r="FW124" i="1"/>
  <c r="FV124" i="1"/>
  <c r="FT124" i="1"/>
  <c r="FW123" i="1"/>
  <c r="FV123" i="1"/>
  <c r="FT123" i="1"/>
  <c r="FW122" i="1"/>
  <c r="FV122" i="1"/>
  <c r="FT122" i="1"/>
  <c r="FP127" i="1"/>
  <c r="FO127" i="1"/>
  <c r="FP126" i="1"/>
  <c r="FO126" i="1"/>
  <c r="FP125" i="1"/>
  <c r="FO125" i="1"/>
  <c r="FP124" i="1"/>
  <c r="FO124" i="1"/>
  <c r="FP123" i="1"/>
  <c r="FO123" i="1"/>
  <c r="FP122" i="1"/>
  <c r="FO122" i="1"/>
  <c r="GA120" i="1"/>
  <c r="FY120" i="1"/>
  <c r="FW120" i="1"/>
  <c r="FV120" i="1"/>
  <c r="FT120" i="1"/>
  <c r="FR120" i="1"/>
  <c r="FP120" i="1"/>
  <c r="FO120" i="1"/>
  <c r="GA119" i="1"/>
  <c r="FY119" i="1"/>
  <c r="FW119" i="1"/>
  <c r="FV119" i="1"/>
  <c r="FT119" i="1"/>
  <c r="FR119" i="1"/>
  <c r="FP119" i="1"/>
  <c r="FO119" i="1"/>
  <c r="GA118" i="1"/>
  <c r="FY118" i="1"/>
  <c r="FW118" i="1"/>
  <c r="FV118" i="1"/>
  <c r="FT118" i="1"/>
  <c r="FR118" i="1"/>
  <c r="FP118" i="1"/>
  <c r="FO118" i="1"/>
  <c r="FT116" i="1"/>
  <c r="FR116" i="1"/>
  <c r="FP116" i="1"/>
  <c r="FO116" i="1"/>
  <c r="FT115" i="1"/>
  <c r="FR115" i="1"/>
  <c r="FP115" i="1"/>
  <c r="FO115" i="1"/>
  <c r="FT114" i="1"/>
  <c r="FR114" i="1"/>
  <c r="FP114" i="1"/>
  <c r="FO114" i="1"/>
  <c r="FT113" i="1"/>
  <c r="FR113" i="1"/>
  <c r="FP113" i="1"/>
  <c r="FO113" i="1"/>
  <c r="FT112" i="1"/>
  <c r="FR112" i="1"/>
  <c r="FP112" i="1"/>
  <c r="FO112" i="1"/>
  <c r="FT111" i="1"/>
  <c r="FR111" i="1"/>
  <c r="FP111" i="1"/>
  <c r="FO111" i="1"/>
  <c r="GA109" i="1"/>
  <c r="FY109" i="1"/>
  <c r="FW109" i="1"/>
  <c r="FV109" i="1"/>
  <c r="FT109" i="1"/>
  <c r="FR109" i="1"/>
  <c r="FP109" i="1"/>
  <c r="FO109" i="1"/>
  <c r="GA108" i="1"/>
  <c r="FY108" i="1"/>
  <c r="FW108" i="1"/>
  <c r="FV108" i="1"/>
  <c r="FT108" i="1"/>
  <c r="FR108" i="1"/>
  <c r="FP108" i="1"/>
  <c r="FO108" i="1"/>
  <c r="GA103" i="1"/>
  <c r="FV103" i="1"/>
  <c r="FO103" i="1"/>
  <c r="GA106" i="1"/>
  <c r="FY106" i="1"/>
  <c r="FW106" i="1"/>
  <c r="FV106" i="1"/>
  <c r="FT106" i="1"/>
  <c r="FR106" i="1"/>
  <c r="FP106" i="1"/>
  <c r="FO106" i="1"/>
  <c r="GA105" i="1"/>
  <c r="FY105" i="1"/>
  <c r="FW105" i="1"/>
  <c r="FV105" i="1"/>
  <c r="FT105" i="1"/>
  <c r="FR105" i="1"/>
  <c r="FP105" i="1"/>
  <c r="FO105" i="1"/>
  <c r="GA104" i="1"/>
  <c r="FY104" i="1"/>
  <c r="FW104" i="1"/>
  <c r="FV104" i="1"/>
  <c r="FT104" i="1"/>
  <c r="FR104" i="1"/>
  <c r="FP104" i="1"/>
  <c r="FO104" i="1"/>
  <c r="GA102" i="1"/>
  <c r="FY102" i="1"/>
  <c r="FW102" i="1"/>
  <c r="FV102" i="1"/>
  <c r="FT102" i="1"/>
  <c r="FR102" i="1"/>
  <c r="FP102" i="1"/>
  <c r="FO102" i="1"/>
  <c r="GA101" i="1"/>
  <c r="FY101" i="1"/>
  <c r="FW101" i="1"/>
  <c r="FV101" i="1"/>
  <c r="FT101" i="1"/>
  <c r="FR101" i="1"/>
  <c r="FP101" i="1"/>
  <c r="FO101" i="1"/>
  <c r="GA99" i="1"/>
  <c r="FY99" i="1"/>
  <c r="FW99" i="1"/>
  <c r="FV99" i="1"/>
  <c r="FT99" i="1"/>
  <c r="FR99" i="1"/>
  <c r="FP99" i="1"/>
  <c r="FO99" i="1"/>
  <c r="GA96" i="1"/>
  <c r="FY96" i="1"/>
  <c r="FW96" i="1"/>
  <c r="FV96" i="1"/>
  <c r="FT96" i="1"/>
  <c r="FR96" i="1"/>
  <c r="FP96" i="1"/>
  <c r="FO96" i="1"/>
  <c r="GA95" i="1"/>
  <c r="FY95" i="1"/>
  <c r="FW95" i="1"/>
  <c r="FV95" i="1"/>
  <c r="FT95" i="1"/>
  <c r="FR95" i="1"/>
  <c r="FP95" i="1"/>
  <c r="FO95" i="1"/>
  <c r="GA94" i="1"/>
  <c r="FY94" i="1"/>
  <c r="FW94" i="1"/>
  <c r="FV94" i="1"/>
  <c r="FT94" i="1"/>
  <c r="FR94" i="1"/>
  <c r="FP94" i="1"/>
  <c r="FO94" i="1"/>
  <c r="GA93" i="1"/>
  <c r="FY93" i="1"/>
  <c r="FW93" i="1"/>
  <c r="FV93" i="1"/>
  <c r="FT93" i="1"/>
  <c r="FR93" i="1"/>
  <c r="FP93" i="1"/>
  <c r="FO93" i="1"/>
  <c r="GA92" i="1"/>
  <c r="FY92" i="1"/>
  <c r="FW92" i="1"/>
  <c r="FV92" i="1"/>
  <c r="FT92" i="1"/>
  <c r="FR92" i="1"/>
  <c r="FP92" i="1"/>
  <c r="FO92" i="1"/>
  <c r="GA91" i="1"/>
  <c r="FY91" i="1"/>
  <c r="FW91" i="1"/>
  <c r="FV91" i="1"/>
  <c r="FT91" i="1"/>
  <c r="FR91" i="1"/>
  <c r="FP91" i="1"/>
  <c r="FO91" i="1"/>
  <c r="GA90" i="1"/>
  <c r="FY90" i="1"/>
  <c r="FW90" i="1"/>
  <c r="FV90" i="1"/>
  <c r="FT90" i="1"/>
  <c r="FR90" i="1"/>
  <c r="FP90" i="1"/>
  <c r="FO90" i="1"/>
  <c r="GA89" i="1"/>
  <c r="FY89" i="1"/>
  <c r="FW89" i="1"/>
  <c r="FV89" i="1"/>
  <c r="FT89" i="1"/>
  <c r="FR89" i="1"/>
  <c r="FP89" i="1"/>
  <c r="FO89" i="1"/>
  <c r="GA88" i="1"/>
  <c r="FY88" i="1"/>
  <c r="FW88" i="1"/>
  <c r="FV88" i="1"/>
  <c r="FT88" i="1"/>
  <c r="FR88" i="1"/>
  <c r="FP88" i="1"/>
  <c r="FO88" i="1"/>
  <c r="GA87" i="1"/>
  <c r="FY87" i="1"/>
  <c r="FW87" i="1"/>
  <c r="FV87" i="1"/>
  <c r="FT87" i="1"/>
  <c r="FR87" i="1"/>
  <c r="FP87" i="1"/>
  <c r="FO87" i="1"/>
  <c r="GA86" i="1"/>
  <c r="FY86" i="1"/>
  <c r="FW86" i="1"/>
  <c r="FV86" i="1"/>
  <c r="FT86" i="1"/>
  <c r="FR86" i="1"/>
  <c r="FP86" i="1"/>
  <c r="FO86" i="1"/>
  <c r="GA85" i="1"/>
  <c r="FY85" i="1"/>
  <c r="FW85" i="1"/>
  <c r="FV85" i="1"/>
  <c r="FT85" i="1"/>
  <c r="FR85" i="1"/>
  <c r="FP85" i="1"/>
  <c r="FO85" i="1"/>
  <c r="GA84" i="1"/>
  <c r="FY84" i="1"/>
  <c r="FW84" i="1"/>
  <c r="FV84" i="1"/>
  <c r="FT84" i="1"/>
  <c r="FR84" i="1"/>
  <c r="FP84" i="1"/>
  <c r="FO84" i="1"/>
  <c r="GA83" i="1"/>
  <c r="FY83" i="1"/>
  <c r="FW83" i="1"/>
  <c r="FV83" i="1"/>
  <c r="FT83" i="1"/>
  <c r="FR83" i="1"/>
  <c r="FP83" i="1"/>
  <c r="FO83" i="1"/>
  <c r="GA82" i="1"/>
  <c r="FY82" i="1"/>
  <c r="FW82" i="1"/>
  <c r="FV82" i="1"/>
  <c r="FT82" i="1"/>
  <c r="FR82" i="1"/>
  <c r="FP82" i="1"/>
  <c r="FO82" i="1"/>
  <c r="GA81" i="1"/>
  <c r="FY81" i="1"/>
  <c r="FW81" i="1"/>
  <c r="FV81" i="1"/>
  <c r="FT81" i="1"/>
  <c r="FR81" i="1"/>
  <c r="FP81" i="1"/>
  <c r="FO81" i="1"/>
  <c r="GA80" i="1"/>
  <c r="FY80" i="1"/>
  <c r="FW80" i="1"/>
  <c r="FV80" i="1"/>
  <c r="FT80" i="1"/>
  <c r="FR80" i="1"/>
  <c r="FP80" i="1"/>
  <c r="FO80" i="1"/>
  <c r="GA79" i="1"/>
  <c r="FY79" i="1"/>
  <c r="FW79" i="1"/>
  <c r="FV79" i="1"/>
  <c r="FT79" i="1"/>
  <c r="FR79" i="1"/>
  <c r="FP79" i="1"/>
  <c r="FO79" i="1"/>
  <c r="GA78" i="1"/>
  <c r="FY78" i="1"/>
  <c r="FW78" i="1"/>
  <c r="FV78" i="1"/>
  <c r="FT78" i="1"/>
  <c r="FR78" i="1"/>
  <c r="FP78" i="1"/>
  <c r="FO78" i="1"/>
  <c r="GA77" i="1"/>
  <c r="FY77" i="1"/>
  <c r="FW77" i="1"/>
  <c r="FV77" i="1"/>
  <c r="FT77" i="1"/>
  <c r="FR77" i="1"/>
  <c r="FP77" i="1"/>
  <c r="FO77" i="1"/>
  <c r="GA76" i="1"/>
  <c r="FY76" i="1"/>
  <c r="FW76" i="1"/>
  <c r="FV76" i="1"/>
  <c r="FT76" i="1"/>
  <c r="FR76" i="1"/>
  <c r="FP76" i="1"/>
  <c r="FO76" i="1"/>
  <c r="GA75" i="1"/>
  <c r="FY75" i="1"/>
  <c r="FW75" i="1"/>
  <c r="FV75" i="1"/>
  <c r="FT75" i="1"/>
  <c r="FR75" i="1"/>
  <c r="FP75" i="1"/>
  <c r="FO75" i="1"/>
  <c r="GA74" i="1"/>
  <c r="FY74" i="1"/>
  <c r="FW74" i="1"/>
  <c r="FV74" i="1"/>
  <c r="FT74" i="1"/>
  <c r="FR74" i="1"/>
  <c r="FP74" i="1"/>
  <c r="FO74" i="1"/>
  <c r="GA73" i="1"/>
  <c r="FY73" i="1"/>
  <c r="FW73" i="1"/>
  <c r="FV73" i="1"/>
  <c r="FT73" i="1"/>
  <c r="FR73" i="1"/>
  <c r="FP73" i="1"/>
  <c r="FO73" i="1"/>
  <c r="GA72" i="1"/>
  <c r="FY72" i="1"/>
  <c r="FW72" i="1"/>
  <c r="FV72" i="1"/>
  <c r="FT72" i="1"/>
  <c r="FR72" i="1"/>
  <c r="FP72" i="1"/>
  <c r="FO72" i="1"/>
  <c r="GA71" i="1"/>
  <c r="FY71" i="1"/>
  <c r="FW71" i="1"/>
  <c r="FV71" i="1"/>
  <c r="FT71" i="1"/>
  <c r="FR71" i="1"/>
  <c r="FP71" i="1"/>
  <c r="FO71" i="1"/>
  <c r="GA70" i="1"/>
  <c r="FY70" i="1"/>
  <c r="FW70" i="1"/>
  <c r="FV70" i="1"/>
  <c r="FT70" i="1"/>
  <c r="FR70" i="1"/>
  <c r="FP70" i="1"/>
  <c r="FO70" i="1"/>
  <c r="GA69" i="1"/>
  <c r="FY69" i="1"/>
  <c r="FW69" i="1"/>
  <c r="FV69" i="1"/>
  <c r="FT69" i="1"/>
  <c r="FR69" i="1"/>
  <c r="FP69" i="1"/>
  <c r="FO69" i="1"/>
  <c r="GA68" i="1"/>
  <c r="FY68" i="1"/>
  <c r="FW68" i="1"/>
  <c r="FV68" i="1"/>
  <c r="FT68" i="1"/>
  <c r="FR68" i="1"/>
  <c r="FP68" i="1"/>
  <c r="FO68" i="1"/>
  <c r="GA67" i="1"/>
  <c r="FY67" i="1"/>
  <c r="FW67" i="1"/>
  <c r="FV67" i="1"/>
  <c r="FT67" i="1"/>
  <c r="FR67" i="1"/>
  <c r="FP67" i="1"/>
  <c r="FO67" i="1"/>
  <c r="GA66" i="1"/>
  <c r="FY66" i="1"/>
  <c r="FW66" i="1"/>
  <c r="FV66" i="1"/>
  <c r="FT66" i="1"/>
  <c r="FR66" i="1"/>
  <c r="FP66" i="1"/>
  <c r="FO66" i="1"/>
  <c r="GA65" i="1"/>
  <c r="FY65" i="1"/>
  <c r="FW65" i="1"/>
  <c r="FV65" i="1"/>
  <c r="FT65" i="1"/>
  <c r="FR65" i="1"/>
  <c r="FP65" i="1"/>
  <c r="FO65" i="1"/>
  <c r="GA64" i="1"/>
  <c r="FY64" i="1"/>
  <c r="FW64" i="1"/>
  <c r="FV64" i="1"/>
  <c r="FT64" i="1"/>
  <c r="FR64" i="1"/>
  <c r="FP64" i="1"/>
  <c r="FO64" i="1"/>
  <c r="GA63" i="1"/>
  <c r="FY63" i="1"/>
  <c r="FW63" i="1"/>
  <c r="FV63" i="1"/>
  <c r="FT63" i="1"/>
  <c r="FR63" i="1"/>
  <c r="FP63" i="1"/>
  <c r="FO63" i="1"/>
  <c r="GA62" i="1"/>
  <c r="FY62" i="1"/>
  <c r="FW62" i="1"/>
  <c r="FV62" i="1"/>
  <c r="FT62" i="1"/>
  <c r="FR62" i="1"/>
  <c r="FP62" i="1"/>
  <c r="FO62" i="1"/>
  <c r="GA61" i="1"/>
  <c r="FY61" i="1"/>
  <c r="FW61" i="1"/>
  <c r="FV61" i="1"/>
  <c r="FT61" i="1"/>
  <c r="FR61" i="1"/>
  <c r="FP61" i="1"/>
  <c r="FO61" i="1"/>
  <c r="GA58" i="1"/>
  <c r="FY58" i="1"/>
  <c r="FW58" i="1"/>
  <c r="FV58" i="1"/>
  <c r="FT58" i="1"/>
  <c r="FR58" i="1"/>
  <c r="FP58" i="1"/>
  <c r="FO58" i="1"/>
  <c r="GA54" i="1"/>
  <c r="FY54" i="1"/>
  <c r="FW54" i="1"/>
  <c r="FV54" i="1"/>
  <c r="FT54" i="1"/>
  <c r="FR54" i="1"/>
  <c r="FP54" i="1"/>
  <c r="FO54" i="1"/>
  <c r="GA53" i="1"/>
  <c r="FY53" i="1"/>
  <c r="FW53" i="1"/>
  <c r="FV53" i="1"/>
  <c r="FT53" i="1"/>
  <c r="FR53" i="1"/>
  <c r="FP53" i="1"/>
  <c r="FO53" i="1"/>
  <c r="GA52" i="1"/>
  <c r="FY52" i="1"/>
  <c r="FW52" i="1"/>
  <c r="FV52" i="1"/>
  <c r="FT52" i="1"/>
  <c r="FR52" i="1"/>
  <c r="FP52" i="1"/>
  <c r="FO52" i="1"/>
  <c r="GA47" i="1"/>
  <c r="FY47" i="1"/>
  <c r="FW47" i="1"/>
  <c r="FV47" i="1"/>
  <c r="FT47" i="1"/>
  <c r="FR47" i="1"/>
  <c r="FP47" i="1"/>
  <c r="FO47" i="1"/>
  <c r="GA46" i="1"/>
  <c r="FY46" i="1"/>
  <c r="FW46" i="1"/>
  <c r="FV46" i="1"/>
  <c r="FT46" i="1"/>
  <c r="FR46" i="1"/>
  <c r="FP46" i="1"/>
  <c r="FO46" i="1"/>
  <c r="GA45" i="1"/>
  <c r="FY45" i="1"/>
  <c r="FW45" i="1"/>
  <c r="FV45" i="1"/>
  <c r="FT45" i="1"/>
  <c r="FR45" i="1"/>
  <c r="FP45" i="1"/>
  <c r="FO45" i="1"/>
  <c r="GA44" i="1"/>
  <c r="FY44" i="1"/>
  <c r="FW44" i="1"/>
  <c r="FV44" i="1"/>
  <c r="FT44" i="1"/>
  <c r="FR44" i="1"/>
  <c r="FP44" i="1"/>
  <c r="FO44" i="1"/>
  <c r="GA43" i="1"/>
  <c r="FY43" i="1"/>
  <c r="FW43" i="1"/>
  <c r="FV43" i="1"/>
  <c r="FT43" i="1"/>
  <c r="FR43" i="1"/>
  <c r="FP43" i="1"/>
  <c r="FO43" i="1"/>
  <c r="GA42" i="1"/>
  <c r="FY42" i="1"/>
  <c r="FW42" i="1"/>
  <c r="FV42" i="1"/>
  <c r="FT42" i="1"/>
  <c r="FR42" i="1"/>
  <c r="FP42" i="1"/>
  <c r="FO42" i="1"/>
  <c r="GA41" i="1"/>
  <c r="FY41" i="1"/>
  <c r="FW41" i="1"/>
  <c r="FV41" i="1"/>
  <c r="FT41" i="1"/>
  <c r="FR41" i="1"/>
  <c r="FP41" i="1"/>
  <c r="FO41" i="1"/>
  <c r="GA40" i="1"/>
  <c r="FY40" i="1"/>
  <c r="FW40" i="1"/>
  <c r="FV40" i="1"/>
  <c r="FT40" i="1"/>
  <c r="FR40" i="1"/>
  <c r="FP40" i="1"/>
  <c r="FO40" i="1"/>
  <c r="GA39" i="1"/>
  <c r="FY39" i="1"/>
  <c r="FW39" i="1"/>
  <c r="FV39" i="1"/>
  <c r="FT39" i="1"/>
  <c r="FR39" i="1"/>
  <c r="FP39" i="1"/>
  <c r="FO39" i="1"/>
  <c r="GA37" i="1"/>
  <c r="FY37" i="1"/>
  <c r="FW37" i="1"/>
  <c r="FV37" i="1"/>
  <c r="FT37" i="1"/>
  <c r="FR37" i="1"/>
  <c r="FP37" i="1"/>
  <c r="FO37" i="1"/>
  <c r="GA36" i="1"/>
  <c r="FY36" i="1"/>
  <c r="FW36" i="1"/>
  <c r="FV36" i="1"/>
  <c r="FT36" i="1"/>
  <c r="FR36" i="1"/>
  <c r="FP36" i="1"/>
  <c r="FO36" i="1"/>
  <c r="GA35" i="1"/>
  <c r="FY35" i="1"/>
  <c r="FW35" i="1"/>
  <c r="FV35" i="1"/>
  <c r="FT35" i="1"/>
  <c r="FR35" i="1"/>
  <c r="FP35" i="1"/>
  <c r="FO35" i="1"/>
  <c r="GA34" i="1"/>
  <c r="FY34" i="1"/>
  <c r="FW34" i="1"/>
  <c r="FV34" i="1"/>
  <c r="FT34" i="1"/>
  <c r="FR34" i="1"/>
  <c r="FP34" i="1"/>
  <c r="FO34" i="1"/>
  <c r="GA33" i="1"/>
  <c r="FY33" i="1"/>
  <c r="FW33" i="1"/>
  <c r="FV33" i="1"/>
  <c r="FT33" i="1"/>
  <c r="FR33" i="1"/>
  <c r="FP33" i="1"/>
  <c r="FO33" i="1"/>
  <c r="GA31" i="1"/>
  <c r="FY31" i="1"/>
  <c r="FW31" i="1"/>
  <c r="FV31" i="1"/>
  <c r="FT31" i="1"/>
  <c r="FR31" i="1"/>
  <c r="FP31" i="1"/>
  <c r="FO31" i="1"/>
  <c r="GA30" i="1"/>
  <c r="FY30" i="1"/>
  <c r="FW30" i="1"/>
  <c r="FV30" i="1"/>
  <c r="FT30" i="1"/>
  <c r="FR30" i="1"/>
  <c r="FP30" i="1"/>
  <c r="FO30" i="1"/>
  <c r="GA29" i="1"/>
  <c r="FY29" i="1"/>
  <c r="FW29" i="1"/>
  <c r="FV29" i="1"/>
  <c r="FT29" i="1"/>
  <c r="FR29" i="1"/>
  <c r="FP29" i="1"/>
  <c r="FO29" i="1"/>
  <c r="GA28" i="1"/>
  <c r="FY28" i="1"/>
  <c r="FW28" i="1"/>
  <c r="FV28" i="1"/>
  <c r="FT28" i="1"/>
  <c r="FR28" i="1"/>
  <c r="FP28" i="1"/>
  <c r="FO28" i="1"/>
  <c r="GA26" i="1"/>
  <c r="FY26" i="1"/>
  <c r="FW26" i="1"/>
  <c r="FV26" i="1"/>
  <c r="FT26" i="1"/>
  <c r="FR26" i="1"/>
  <c r="FP26" i="1"/>
  <c r="FO26" i="1"/>
  <c r="GA24" i="1"/>
  <c r="FY24" i="1"/>
  <c r="FW24" i="1"/>
  <c r="FV24" i="1"/>
  <c r="FT24" i="1"/>
  <c r="FR24" i="1"/>
  <c r="FP24" i="1"/>
  <c r="FO24" i="1"/>
  <c r="GA23" i="1"/>
  <c r="FY23" i="1"/>
  <c r="FW23" i="1"/>
  <c r="FV23" i="1"/>
  <c r="FT23" i="1"/>
  <c r="FR23" i="1"/>
  <c r="FP23" i="1"/>
  <c r="FO23" i="1"/>
  <c r="GA22" i="1"/>
  <c r="FY22" i="1"/>
  <c r="FW22" i="1"/>
  <c r="FV22" i="1"/>
  <c r="FT22" i="1"/>
  <c r="FR22" i="1"/>
  <c r="FP22" i="1"/>
  <c r="FO22" i="1"/>
  <c r="GA21" i="1"/>
  <c r="FY21" i="1"/>
  <c r="FW21" i="1"/>
  <c r="FV21" i="1"/>
  <c r="FT21" i="1"/>
  <c r="FR21" i="1"/>
  <c r="FP21" i="1"/>
  <c r="FO21" i="1"/>
  <c r="GA20" i="1"/>
  <c r="FY20" i="1"/>
  <c r="FW20" i="1"/>
  <c r="FV20" i="1"/>
  <c r="FT20" i="1"/>
  <c r="FR20" i="1"/>
  <c r="FP20" i="1"/>
  <c r="FO20" i="1"/>
  <c r="GA18" i="1"/>
  <c r="FY18" i="1"/>
  <c r="FW18" i="1"/>
  <c r="FV18" i="1"/>
  <c r="FT18" i="1"/>
  <c r="FR18" i="1"/>
  <c r="FP18" i="1"/>
  <c r="FO18" i="1"/>
  <c r="GA17" i="1"/>
  <c r="FY17" i="1"/>
  <c r="FW17" i="1"/>
  <c r="FV17" i="1"/>
  <c r="FT17" i="1"/>
  <c r="FR17" i="1"/>
  <c r="FP17" i="1"/>
  <c r="FO17" i="1"/>
  <c r="GA16" i="1"/>
  <c r="FY16" i="1"/>
  <c r="FW16" i="1"/>
  <c r="FV16" i="1"/>
  <c r="FT16" i="1"/>
  <c r="FR16" i="1"/>
  <c r="FP16" i="1"/>
  <c r="FO16" i="1"/>
  <c r="GA14" i="1"/>
  <c r="FY14" i="1"/>
  <c r="FW14" i="1"/>
  <c r="FV14" i="1"/>
  <c r="FT14" i="1"/>
  <c r="FR14" i="1"/>
  <c r="FP14" i="1"/>
  <c r="FO14" i="1"/>
  <c r="FH115" i="1"/>
  <c r="FH116" i="1"/>
  <c r="FA115" i="1"/>
  <c r="FA116" i="1"/>
  <c r="EZ97" i="1" l="1"/>
  <c r="FN115" i="1"/>
  <c r="GD115" i="1" s="1"/>
  <c r="H114" i="3" s="1"/>
  <c r="FG115" i="1"/>
  <c r="D114" i="3"/>
  <c r="F114" i="3"/>
  <c r="B114" i="3"/>
  <c r="GB115" i="1"/>
  <c r="FU115" i="1"/>
  <c r="GC172" i="1"/>
  <c r="GC164" i="1"/>
  <c r="B117" i="3"/>
  <c r="B118" i="3"/>
  <c r="FU119" i="1"/>
  <c r="GC119" i="1" s="1"/>
  <c r="G118" i="3" s="1"/>
  <c r="FX121" i="1"/>
  <c r="FZ121" i="1"/>
  <c r="GB12" i="1"/>
  <c r="FU12" i="1"/>
  <c r="D10" i="3"/>
  <c r="E10" i="3"/>
  <c r="F10" i="3"/>
  <c r="GC11" i="1"/>
  <c r="G10" i="3" s="1"/>
  <c r="GD11" i="1"/>
  <c r="F11" i="2" s="1"/>
  <c r="C11" i="2"/>
  <c r="D11" i="2"/>
  <c r="E11" i="2"/>
  <c r="B96" i="3"/>
  <c r="B95" i="3"/>
  <c r="B94" i="3"/>
  <c r="B93" i="3"/>
  <c r="B92" i="3"/>
  <c r="E31" i="3"/>
  <c r="F31" i="3"/>
  <c r="B35" i="3"/>
  <c r="B36" i="3"/>
  <c r="B31" i="3"/>
  <c r="B32" i="3"/>
  <c r="B33" i="3"/>
  <c r="B34" i="3"/>
  <c r="B28" i="3"/>
  <c r="B29" i="3"/>
  <c r="B30" i="3"/>
  <c r="F5" i="3"/>
  <c r="F6" i="3"/>
  <c r="F7" i="3"/>
  <c r="F8" i="3"/>
  <c r="F9" i="3"/>
  <c r="F4" i="3"/>
  <c r="E5" i="3"/>
  <c r="E6" i="3"/>
  <c r="E7" i="3"/>
  <c r="E8" i="3"/>
  <c r="E9" i="3"/>
  <c r="E4" i="3"/>
  <c r="F14" i="3"/>
  <c r="E18" i="3"/>
  <c r="F18" i="3"/>
  <c r="GB157" i="1"/>
  <c r="K32" i="2" s="1"/>
  <c r="K40" i="2"/>
  <c r="K36" i="2"/>
  <c r="FW121" i="1" l="1"/>
  <c r="GC115" i="1"/>
  <c r="G114" i="3" s="1"/>
  <c r="E114" i="3"/>
  <c r="FU118" i="1"/>
  <c r="E117" i="3" s="1"/>
  <c r="FV121" i="1"/>
  <c r="GB119" i="1"/>
  <c r="GD119" i="1" s="1"/>
  <c r="H118" i="3" s="1"/>
  <c r="GB118" i="1"/>
  <c r="F117" i="3" s="1"/>
  <c r="E118" i="3"/>
  <c r="GA121" i="1"/>
  <c r="FY121" i="1"/>
  <c r="H10" i="3"/>
  <c r="O150" i="3"/>
  <c r="DW37" i="1"/>
  <c r="DI37" i="1"/>
  <c r="DW36" i="1"/>
  <c r="DI36" i="1"/>
  <c r="DW35" i="1"/>
  <c r="DI35" i="1"/>
  <c r="DW34" i="1"/>
  <c r="DI34" i="1"/>
  <c r="DW33" i="1"/>
  <c r="DI33" i="1"/>
  <c r="DW32" i="1"/>
  <c r="DI32" i="1"/>
  <c r="DW31" i="1"/>
  <c r="DI31" i="1"/>
  <c r="DW30" i="1"/>
  <c r="DI30" i="1"/>
  <c r="DW29" i="1"/>
  <c r="DI29" i="1"/>
  <c r="DW28" i="1"/>
  <c r="DI28" i="1"/>
  <c r="R98" i="1"/>
  <c r="R60" i="1"/>
  <c r="R38" i="1"/>
  <c r="R27" i="1"/>
  <c r="FX38" i="1"/>
  <c r="FZ38" i="1"/>
  <c r="FQ38" i="1"/>
  <c r="FS38" i="1"/>
  <c r="F58" i="3"/>
  <c r="F56" i="3"/>
  <c r="F48" i="3"/>
  <c r="F50" i="3"/>
  <c r="F47" i="3"/>
  <c r="E47" i="3"/>
  <c r="FX60" i="1"/>
  <c r="FZ60" i="1"/>
  <c r="FQ60" i="1"/>
  <c r="FS60" i="1"/>
  <c r="GC118" i="1" l="1"/>
  <c r="G117" i="3" s="1"/>
  <c r="GD118" i="1"/>
  <c r="H117" i="3" s="1"/>
  <c r="F118" i="3"/>
  <c r="GB104" i="1"/>
  <c r="F103" i="3" s="1"/>
  <c r="FU106" i="1"/>
  <c r="E105" i="3" s="1"/>
  <c r="GB105" i="1"/>
  <c r="F104" i="3" s="1"/>
  <c r="GB101" i="1"/>
  <c r="F100" i="3" s="1"/>
  <c r="GB31" i="1"/>
  <c r="F30" i="3" s="1"/>
  <c r="FU105" i="1"/>
  <c r="E104" i="3" s="1"/>
  <c r="GB102" i="1"/>
  <c r="F101" i="3" s="1"/>
  <c r="FU102" i="1"/>
  <c r="E101" i="3" s="1"/>
  <c r="GB106" i="1"/>
  <c r="F105" i="3" s="1"/>
  <c r="FU101" i="1"/>
  <c r="E100" i="3" s="1"/>
  <c r="FU104" i="1"/>
  <c r="E103" i="3" s="1"/>
  <c r="FU35" i="1"/>
  <c r="E34" i="3" s="1"/>
  <c r="FU30" i="1"/>
  <c r="E29" i="3" s="1"/>
  <c r="FU28" i="1"/>
  <c r="E27" i="3" s="1"/>
  <c r="FW60" i="1"/>
  <c r="FW38" i="1"/>
  <c r="FO38" i="1"/>
  <c r="GB36" i="1"/>
  <c r="F35" i="3" s="1"/>
  <c r="FT60" i="1"/>
  <c r="FP38" i="1"/>
  <c r="FY38" i="1"/>
  <c r="FU46" i="1"/>
  <c r="E45" i="3" s="1"/>
  <c r="FU42" i="1"/>
  <c r="E41" i="3" s="1"/>
  <c r="FR60" i="1"/>
  <c r="GB58" i="1"/>
  <c r="F57" i="3" s="1"/>
  <c r="GB56" i="1"/>
  <c r="F55" i="3" s="1"/>
  <c r="GB55" i="1"/>
  <c r="F54" i="3" s="1"/>
  <c r="GB54" i="1"/>
  <c r="F53" i="3" s="1"/>
  <c r="GB53" i="1"/>
  <c r="F52" i="3" s="1"/>
  <c r="GB52" i="1"/>
  <c r="F51" i="3" s="1"/>
  <c r="GB50" i="1"/>
  <c r="F49" i="3" s="1"/>
  <c r="GB47" i="1"/>
  <c r="F46" i="3" s="1"/>
  <c r="GB46" i="1"/>
  <c r="F45" i="3" s="1"/>
  <c r="GB45" i="1"/>
  <c r="F44" i="3" s="1"/>
  <c r="GB44" i="1"/>
  <c r="F43" i="3" s="1"/>
  <c r="GB43" i="1"/>
  <c r="F42" i="3" s="1"/>
  <c r="GB42" i="1"/>
  <c r="F41" i="3" s="1"/>
  <c r="GB41" i="1"/>
  <c r="F40" i="3" s="1"/>
  <c r="GB40" i="1"/>
  <c r="F39" i="3" s="1"/>
  <c r="FV60" i="1"/>
  <c r="FU37" i="1"/>
  <c r="E36" i="3" s="1"/>
  <c r="FU34" i="1"/>
  <c r="E33" i="3" s="1"/>
  <c r="FU29" i="1"/>
  <c r="E28" i="3" s="1"/>
  <c r="GB33" i="1"/>
  <c r="F32" i="3" s="1"/>
  <c r="FU45" i="1"/>
  <c r="E44" i="3" s="1"/>
  <c r="FU41" i="1"/>
  <c r="E40" i="3" s="1"/>
  <c r="FP60" i="1"/>
  <c r="GA60" i="1"/>
  <c r="FU36" i="1"/>
  <c r="E35" i="3" s="1"/>
  <c r="FU33" i="1"/>
  <c r="E32" i="3" s="1"/>
  <c r="FT38" i="1"/>
  <c r="GB35" i="1"/>
  <c r="F34" i="3" s="1"/>
  <c r="GB30" i="1"/>
  <c r="F29" i="3" s="1"/>
  <c r="GB29" i="1"/>
  <c r="F28" i="3" s="1"/>
  <c r="GB28" i="1"/>
  <c r="F27" i="3" s="1"/>
  <c r="FV38" i="1"/>
  <c r="FU59" i="1"/>
  <c r="E58" i="3" s="1"/>
  <c r="FU58" i="1"/>
  <c r="E57" i="3" s="1"/>
  <c r="E56" i="3"/>
  <c r="FU56" i="1"/>
  <c r="E55" i="3" s="1"/>
  <c r="FU55" i="1"/>
  <c r="E54" i="3" s="1"/>
  <c r="FU54" i="1"/>
  <c r="E53" i="3" s="1"/>
  <c r="FU53" i="1"/>
  <c r="E52" i="3" s="1"/>
  <c r="FU52" i="1"/>
  <c r="E51" i="3" s="1"/>
  <c r="E50" i="3"/>
  <c r="FU50" i="1"/>
  <c r="E49" i="3" s="1"/>
  <c r="FO60" i="1"/>
  <c r="FU47" i="1"/>
  <c r="E46" i="3" s="1"/>
  <c r="FU44" i="1"/>
  <c r="E43" i="3" s="1"/>
  <c r="FU43" i="1"/>
  <c r="E42" i="3" s="1"/>
  <c r="FU40" i="1"/>
  <c r="E39" i="3" s="1"/>
  <c r="FU39" i="1"/>
  <c r="E38" i="3" s="1"/>
  <c r="FY60" i="1"/>
  <c r="FU31" i="1"/>
  <c r="E30" i="3" s="1"/>
  <c r="FR38" i="1"/>
  <c r="GB37" i="1"/>
  <c r="F36" i="3" s="1"/>
  <c r="GB34" i="1"/>
  <c r="F33" i="3" s="1"/>
  <c r="GA38" i="1"/>
  <c r="GB39" i="1"/>
  <c r="F38" i="3" s="1"/>
  <c r="FU49" i="1"/>
  <c r="E48" i="3" s="1"/>
  <c r="FU38" i="1" l="1"/>
  <c r="E37" i="3" s="1"/>
  <c r="E11" i="3"/>
  <c r="FV12" i="1"/>
  <c r="FW12" i="1"/>
  <c r="FX12" i="1"/>
  <c r="FY12" i="1"/>
  <c r="FZ12" i="1"/>
  <c r="GA12" i="1"/>
  <c r="F11" i="3"/>
  <c r="FU15" i="1"/>
  <c r="E14" i="3" s="1"/>
  <c r="FX27" i="1"/>
  <c r="FZ27" i="1"/>
  <c r="GB38" i="1"/>
  <c r="F37" i="3" s="1"/>
  <c r="FU60" i="1"/>
  <c r="E59" i="3" s="1"/>
  <c r="GB60" i="1"/>
  <c r="F59" i="3" s="1"/>
  <c r="FV100" i="1"/>
  <c r="FY100" i="1"/>
  <c r="GA100" i="1"/>
  <c r="FX100" i="1"/>
  <c r="FZ100" i="1"/>
  <c r="FU103" i="1"/>
  <c r="GB103" i="1"/>
  <c r="F102" i="3" s="1"/>
  <c r="FV107" i="1"/>
  <c r="FW107" i="1"/>
  <c r="FX107" i="1"/>
  <c r="FY107" i="1"/>
  <c r="FZ107" i="1"/>
  <c r="GA107" i="1"/>
  <c r="FV110" i="1"/>
  <c r="FX110" i="1"/>
  <c r="FZ110" i="1"/>
  <c r="FU111" i="1"/>
  <c r="E110" i="3" s="1"/>
  <c r="GB111" i="1"/>
  <c r="F110" i="3" s="1"/>
  <c r="FU112" i="1"/>
  <c r="E111" i="3" s="1"/>
  <c r="GB112" i="1"/>
  <c r="FU113" i="1"/>
  <c r="E112" i="3" s="1"/>
  <c r="GB113" i="1"/>
  <c r="F112" i="3" s="1"/>
  <c r="FU114" i="1"/>
  <c r="E113" i="3" s="1"/>
  <c r="GB114" i="1"/>
  <c r="F113" i="3" s="1"/>
  <c r="FU116" i="1"/>
  <c r="E115" i="3" s="1"/>
  <c r="GB116" i="1"/>
  <c r="F115" i="3" s="1"/>
  <c r="FV117" i="1"/>
  <c r="FW117" i="1"/>
  <c r="FX117" i="1"/>
  <c r="FY117" i="1"/>
  <c r="FZ117" i="1"/>
  <c r="GA117" i="1"/>
  <c r="FX128" i="1"/>
  <c r="FY128" i="1"/>
  <c r="FZ128" i="1"/>
  <c r="FX141" i="1"/>
  <c r="FZ141" i="1"/>
  <c r="FV143" i="1"/>
  <c r="FY143" i="1"/>
  <c r="GA143" i="1"/>
  <c r="FX143" i="1"/>
  <c r="FZ143" i="1"/>
  <c r="FO12" i="1"/>
  <c r="FP12" i="1"/>
  <c r="FQ12" i="1"/>
  <c r="FR12" i="1"/>
  <c r="FS12" i="1"/>
  <c r="FT12" i="1"/>
  <c r="FO27" i="1"/>
  <c r="FQ27" i="1"/>
  <c r="FS27" i="1"/>
  <c r="FO100" i="1"/>
  <c r="FP100" i="1"/>
  <c r="FR100" i="1"/>
  <c r="FT100" i="1"/>
  <c r="FQ100" i="1"/>
  <c r="FS100" i="1"/>
  <c r="FO107" i="1"/>
  <c r="FP107" i="1"/>
  <c r="FQ107" i="1"/>
  <c r="FR107" i="1"/>
  <c r="FS107" i="1"/>
  <c r="FT107" i="1"/>
  <c r="FO110" i="1"/>
  <c r="FT110" i="1"/>
  <c r="FQ110" i="1"/>
  <c r="FS110" i="1"/>
  <c r="FO117" i="1"/>
  <c r="FP117" i="1"/>
  <c r="FQ117" i="1"/>
  <c r="FR117" i="1"/>
  <c r="FS117" i="1"/>
  <c r="FT117" i="1"/>
  <c r="FO121" i="1"/>
  <c r="FP121" i="1"/>
  <c r="FT121" i="1"/>
  <c r="FQ121" i="1"/>
  <c r="FS121" i="1"/>
  <c r="FQ128" i="1"/>
  <c r="FR128" i="1"/>
  <c r="FS128" i="1"/>
  <c r="FQ141" i="1"/>
  <c r="FS141" i="1"/>
  <c r="FO143" i="1"/>
  <c r="FP143" i="1"/>
  <c r="FR143" i="1"/>
  <c r="FT143" i="1"/>
  <c r="FQ143" i="1"/>
  <c r="FS143" i="1"/>
  <c r="FU107" i="1" l="1"/>
  <c r="E106" i="3" s="1"/>
  <c r="E102" i="3"/>
  <c r="GB117" i="1"/>
  <c r="F116" i="3" s="1"/>
  <c r="F111" i="3"/>
  <c r="FT27" i="1"/>
  <c r="GB127" i="1"/>
  <c r="F126" i="3" s="1"/>
  <c r="GB123" i="1"/>
  <c r="F122" i="3" s="1"/>
  <c r="GB90" i="1"/>
  <c r="F89" i="3" s="1"/>
  <c r="GA27" i="1"/>
  <c r="FW27" i="1"/>
  <c r="FU95" i="1"/>
  <c r="E94" i="3" s="1"/>
  <c r="FU94" i="1"/>
  <c r="E93" i="3" s="1"/>
  <c r="FU93" i="1"/>
  <c r="E92" i="3" s="1"/>
  <c r="FU91" i="1"/>
  <c r="E90" i="3" s="1"/>
  <c r="FU90" i="1"/>
  <c r="E89" i="3" s="1"/>
  <c r="FU89" i="1"/>
  <c r="E88" i="3" s="1"/>
  <c r="FU88" i="1"/>
  <c r="E87" i="3" s="1"/>
  <c r="FU87" i="1"/>
  <c r="E86" i="3" s="1"/>
  <c r="FU86" i="1"/>
  <c r="E85" i="3" s="1"/>
  <c r="FU85" i="1"/>
  <c r="E84" i="3" s="1"/>
  <c r="FU84" i="1"/>
  <c r="E83" i="3" s="1"/>
  <c r="FU83" i="1"/>
  <c r="E82" i="3" s="1"/>
  <c r="FU82" i="1"/>
  <c r="E81" i="3" s="1"/>
  <c r="FU81" i="1"/>
  <c r="E80" i="3" s="1"/>
  <c r="FU80" i="1"/>
  <c r="E79" i="3" s="1"/>
  <c r="FU79" i="1"/>
  <c r="E78" i="3" s="1"/>
  <c r="FU78" i="1"/>
  <c r="E77" i="3" s="1"/>
  <c r="FU77" i="1"/>
  <c r="E76" i="3" s="1"/>
  <c r="FU76" i="1"/>
  <c r="E75" i="3" s="1"/>
  <c r="FU75" i="1"/>
  <c r="E74" i="3" s="1"/>
  <c r="FU74" i="1"/>
  <c r="E73" i="3" s="1"/>
  <c r="FU73" i="1"/>
  <c r="E72" i="3" s="1"/>
  <c r="FU72" i="1"/>
  <c r="E71" i="3" s="1"/>
  <c r="FU71" i="1"/>
  <c r="E70" i="3" s="1"/>
  <c r="FU70" i="1"/>
  <c r="E69" i="3" s="1"/>
  <c r="FU69" i="1"/>
  <c r="E68" i="3" s="1"/>
  <c r="FU68" i="1"/>
  <c r="E67" i="3" s="1"/>
  <c r="FU67" i="1"/>
  <c r="E66" i="3" s="1"/>
  <c r="FU66" i="1"/>
  <c r="E65" i="3" s="1"/>
  <c r="FU65" i="1"/>
  <c r="E64" i="3" s="1"/>
  <c r="FU64" i="1"/>
  <c r="E63" i="3" s="1"/>
  <c r="FU63" i="1"/>
  <c r="E62" i="3" s="1"/>
  <c r="FU62" i="1"/>
  <c r="E61" i="3" s="1"/>
  <c r="FU61" i="1"/>
  <c r="E60" i="3" s="1"/>
  <c r="FU26" i="1"/>
  <c r="E25" i="3" s="1"/>
  <c r="FU24" i="1"/>
  <c r="E23" i="3" s="1"/>
  <c r="FU23" i="1"/>
  <c r="E22" i="3" s="1"/>
  <c r="FU22" i="1"/>
  <c r="E21" i="3" s="1"/>
  <c r="FU21" i="1"/>
  <c r="E20" i="3" s="1"/>
  <c r="FU20" i="1"/>
  <c r="E19" i="3" s="1"/>
  <c r="FU18" i="1"/>
  <c r="E17" i="3" s="1"/>
  <c r="FU17" i="1"/>
  <c r="E16" i="3" s="1"/>
  <c r="FU16" i="1"/>
  <c r="E15" i="3" s="1"/>
  <c r="FU14" i="1"/>
  <c r="E13" i="3" s="1"/>
  <c r="FT141" i="1"/>
  <c r="FU96" i="1"/>
  <c r="E95" i="3" s="1"/>
  <c r="FU92" i="1"/>
  <c r="E91" i="3" s="1"/>
  <c r="FR110" i="1"/>
  <c r="GB120" i="1"/>
  <c r="GB121" i="1" s="1"/>
  <c r="GB82" i="1"/>
  <c r="F81" i="3" s="1"/>
  <c r="GB78" i="1"/>
  <c r="F77" i="3" s="1"/>
  <c r="GB74" i="1"/>
  <c r="F73" i="3" s="1"/>
  <c r="GB70" i="1"/>
  <c r="F69" i="3" s="1"/>
  <c r="GB66" i="1"/>
  <c r="F65" i="3" s="1"/>
  <c r="GB96" i="1"/>
  <c r="F95" i="3" s="1"/>
  <c r="FU140" i="1"/>
  <c r="E139" i="3" s="1"/>
  <c r="FU138" i="1"/>
  <c r="E137" i="3" s="1"/>
  <c r="FU136" i="1"/>
  <c r="E135" i="3" s="1"/>
  <c r="FU134" i="1"/>
  <c r="E133" i="3" s="1"/>
  <c r="FU132" i="1"/>
  <c r="E131" i="3" s="1"/>
  <c r="FU130" i="1"/>
  <c r="E129" i="3" s="1"/>
  <c r="FW128" i="1"/>
  <c r="FU123" i="1"/>
  <c r="E122" i="3" s="1"/>
  <c r="FV27" i="1"/>
  <c r="FP141" i="1"/>
  <c r="FU133" i="1"/>
  <c r="E132" i="3" s="1"/>
  <c r="FO128" i="1"/>
  <c r="FU108" i="1"/>
  <c r="E107" i="3" s="1"/>
  <c r="FU125" i="1"/>
  <c r="E124" i="3" s="1"/>
  <c r="FP128" i="1"/>
  <c r="FY141" i="1"/>
  <c r="GB126" i="1"/>
  <c r="F125" i="3" s="1"/>
  <c r="GB94" i="1"/>
  <c r="F93" i="3" s="1"/>
  <c r="GB91" i="1"/>
  <c r="F90" i="3" s="1"/>
  <c r="GB88" i="1"/>
  <c r="F87" i="3" s="1"/>
  <c r="FU137" i="1"/>
  <c r="E136" i="3" s="1"/>
  <c r="FU129" i="1"/>
  <c r="FU124" i="1"/>
  <c r="E123" i="3" s="1"/>
  <c r="GB142" i="1"/>
  <c r="GA141" i="1"/>
  <c r="FU139" i="1"/>
  <c r="E138" i="3" s="1"/>
  <c r="FU135" i="1"/>
  <c r="E134" i="3" s="1"/>
  <c r="FU131" i="1"/>
  <c r="E130" i="3" s="1"/>
  <c r="FU127" i="1"/>
  <c r="E126" i="3" s="1"/>
  <c r="FU126" i="1"/>
  <c r="E125" i="3" s="1"/>
  <c r="FU122" i="1"/>
  <c r="E121" i="3" s="1"/>
  <c r="FU120" i="1"/>
  <c r="FU121" i="1" s="1"/>
  <c r="GB137" i="1"/>
  <c r="F136" i="3" s="1"/>
  <c r="GB133" i="1"/>
  <c r="F132" i="3" s="1"/>
  <c r="GB129" i="1"/>
  <c r="F128" i="3" s="1"/>
  <c r="FU117" i="1"/>
  <c r="E116" i="3" s="1"/>
  <c r="FY110" i="1"/>
  <c r="GB107" i="1"/>
  <c r="F106" i="3" s="1"/>
  <c r="GB92" i="1"/>
  <c r="F91" i="3" s="1"/>
  <c r="GB86" i="1"/>
  <c r="F85" i="3" s="1"/>
  <c r="GB83" i="1"/>
  <c r="F82" i="3" s="1"/>
  <c r="GB80" i="1"/>
  <c r="F79" i="3" s="1"/>
  <c r="FY27" i="1"/>
  <c r="GB122" i="1"/>
  <c r="F121" i="3" s="1"/>
  <c r="GB84" i="1"/>
  <c r="F83" i="3" s="1"/>
  <c r="GB77" i="1"/>
  <c r="F76" i="3" s="1"/>
  <c r="GB73" i="1"/>
  <c r="F72" i="3" s="1"/>
  <c r="GB61" i="1"/>
  <c r="F60" i="3" s="1"/>
  <c r="GB26" i="1"/>
  <c r="F25" i="3" s="1"/>
  <c r="GB21" i="1"/>
  <c r="F20" i="3" s="1"/>
  <c r="GB16" i="1"/>
  <c r="F15" i="3" s="1"/>
  <c r="FT128" i="1"/>
  <c r="GB136" i="1"/>
  <c r="F135" i="3" s="1"/>
  <c r="GB132" i="1"/>
  <c r="F131" i="3" s="1"/>
  <c r="GA128" i="1"/>
  <c r="GB125" i="1"/>
  <c r="F124" i="3" s="1"/>
  <c r="FU109" i="1"/>
  <c r="E108" i="3" s="1"/>
  <c r="GB93" i="1"/>
  <c r="F92" i="3" s="1"/>
  <c r="GB85" i="1"/>
  <c r="F84" i="3" s="1"/>
  <c r="GB69" i="1"/>
  <c r="F68" i="3" s="1"/>
  <c r="GB65" i="1"/>
  <c r="F64" i="3" s="1"/>
  <c r="GB24" i="1"/>
  <c r="F23" i="3" s="1"/>
  <c r="GB20" i="1"/>
  <c r="F19" i="3" s="1"/>
  <c r="GB18" i="1"/>
  <c r="F17" i="3" s="1"/>
  <c r="FV128" i="1"/>
  <c r="GB108" i="1"/>
  <c r="F107" i="3" s="1"/>
  <c r="GB99" i="1"/>
  <c r="GB79" i="1"/>
  <c r="F78" i="3" s="1"/>
  <c r="GB76" i="1"/>
  <c r="F75" i="3" s="1"/>
  <c r="GB75" i="1"/>
  <c r="F74" i="3" s="1"/>
  <c r="GB72" i="1"/>
  <c r="F71" i="3" s="1"/>
  <c r="GB71" i="1"/>
  <c r="F70" i="3" s="1"/>
  <c r="GB68" i="1"/>
  <c r="F67" i="3" s="1"/>
  <c r="GB64" i="1"/>
  <c r="F63" i="3" s="1"/>
  <c r="GB63" i="1"/>
  <c r="F62" i="3" s="1"/>
  <c r="GB23" i="1"/>
  <c r="F22" i="3" s="1"/>
  <c r="GB14" i="1"/>
  <c r="F13" i="3" s="1"/>
  <c r="FR141" i="1"/>
  <c r="FR27" i="1"/>
  <c r="GB138" i="1"/>
  <c r="F137" i="3" s="1"/>
  <c r="GB109" i="1"/>
  <c r="F108" i="3" s="1"/>
  <c r="GB95" i="1"/>
  <c r="F94" i="3" s="1"/>
  <c r="GB89" i="1"/>
  <c r="F88" i="3" s="1"/>
  <c r="GB87" i="1"/>
  <c r="F86" i="3" s="1"/>
  <c r="GB81" i="1"/>
  <c r="F80" i="3" s="1"/>
  <c r="GB67" i="1"/>
  <c r="F66" i="3" s="1"/>
  <c r="GB22" i="1"/>
  <c r="F21" i="3" s="1"/>
  <c r="GB17" i="1"/>
  <c r="F16" i="3" s="1"/>
  <c r="FV141" i="1"/>
  <c r="FW141" i="1"/>
  <c r="GB134" i="1"/>
  <c r="F133" i="3" s="1"/>
  <c r="GB130" i="1"/>
  <c r="F129" i="3" s="1"/>
  <c r="FO141" i="1"/>
  <c r="FP27" i="1"/>
  <c r="FU142" i="1"/>
  <c r="GB139" i="1"/>
  <c r="F138" i="3" s="1"/>
  <c r="GB135" i="1"/>
  <c r="F134" i="3" s="1"/>
  <c r="GB131" i="1"/>
  <c r="F130" i="3" s="1"/>
  <c r="GB124" i="1"/>
  <c r="F123" i="3" s="1"/>
  <c r="FU99" i="1"/>
  <c r="GA110" i="1"/>
  <c r="FW110" i="1"/>
  <c r="FW100" i="1"/>
  <c r="FW143" i="1"/>
  <c r="GB140" i="1"/>
  <c r="F139" i="3" s="1"/>
  <c r="GB62" i="1"/>
  <c r="F61" i="3" s="1"/>
  <c r="FP110" i="1"/>
  <c r="FR121" i="1"/>
  <c r="FU143" i="1" l="1"/>
  <c r="E142" i="3" s="1"/>
  <c r="E141" i="3"/>
  <c r="F120" i="3"/>
  <c r="F119" i="3"/>
  <c r="GB100" i="1"/>
  <c r="F99" i="3" s="1"/>
  <c r="F98" i="3"/>
  <c r="GC129" i="1"/>
  <c r="G128" i="3" s="1"/>
  <c r="E128" i="3"/>
  <c r="FU100" i="1"/>
  <c r="E99" i="3" s="1"/>
  <c r="E98" i="3"/>
  <c r="E120" i="3"/>
  <c r="E119" i="3"/>
  <c r="GB143" i="1"/>
  <c r="F142" i="3" s="1"/>
  <c r="F141" i="3"/>
  <c r="FU27" i="1"/>
  <c r="E26" i="3" s="1"/>
  <c r="GB128" i="1"/>
  <c r="F127" i="3" s="1"/>
  <c r="FU128" i="1"/>
  <c r="E127" i="3" s="1"/>
  <c r="FU141" i="1"/>
  <c r="E140" i="3" s="1"/>
  <c r="GB27" i="1"/>
  <c r="F26" i="3" s="1"/>
  <c r="FU110" i="1"/>
  <c r="E109" i="3" s="1"/>
  <c r="GB141" i="1"/>
  <c r="F140" i="3" s="1"/>
  <c r="GB110" i="1"/>
  <c r="F109" i="3" s="1"/>
  <c r="B128" i="3" l="1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27" i="3"/>
  <c r="B126" i="3"/>
  <c r="B125" i="3"/>
  <c r="B124" i="3"/>
  <c r="B123" i="3"/>
  <c r="B122" i="3"/>
  <c r="B121" i="3"/>
  <c r="B120" i="3"/>
  <c r="B119" i="3"/>
  <c r="D25" i="2"/>
  <c r="D24" i="2"/>
  <c r="D23" i="2"/>
  <c r="D22" i="2"/>
  <c r="C25" i="2"/>
  <c r="C24" i="2"/>
  <c r="C23" i="2"/>
  <c r="C22" i="2"/>
  <c r="D21" i="2"/>
  <c r="D20" i="2"/>
  <c r="D19" i="2"/>
  <c r="D18" i="2"/>
  <c r="D15" i="2"/>
  <c r="D14" i="2"/>
  <c r="C21" i="2"/>
  <c r="C20" i="2"/>
  <c r="C19" i="2"/>
  <c r="C18" i="2"/>
  <c r="C14" i="2"/>
  <c r="C6" i="2"/>
  <c r="D6" i="2"/>
  <c r="C7" i="2"/>
  <c r="D7" i="2"/>
  <c r="C8" i="2"/>
  <c r="D8" i="2"/>
  <c r="C9" i="2"/>
  <c r="D9" i="2"/>
  <c r="C10" i="2"/>
  <c r="D10" i="2"/>
  <c r="D5" i="2"/>
  <c r="C5" i="2"/>
  <c r="GC139" i="1"/>
  <c r="G138" i="3" s="1"/>
  <c r="GD139" i="1"/>
  <c r="H138" i="3" s="1"/>
  <c r="GC140" i="1"/>
  <c r="G139" i="3" s="1"/>
  <c r="GD138" i="1"/>
  <c r="H137" i="3" s="1"/>
  <c r="GD140" i="1"/>
  <c r="H139" i="3" s="1"/>
  <c r="GC131" i="1"/>
  <c r="G130" i="3" s="1"/>
  <c r="GD131" i="1"/>
  <c r="H130" i="3" s="1"/>
  <c r="GD133" i="1"/>
  <c r="H132" i="3" s="1"/>
  <c r="GC134" i="1"/>
  <c r="G133" i="3" s="1"/>
  <c r="GD135" i="1"/>
  <c r="H134" i="3" s="1"/>
  <c r="GD136" i="1"/>
  <c r="H135" i="3" s="1"/>
  <c r="EQ141" i="1"/>
  <c r="EO141" i="1"/>
  <c r="ER141" i="1"/>
  <c r="EP141" i="1"/>
  <c r="EN141" i="1"/>
  <c r="GC124" i="1"/>
  <c r="G123" i="3" s="1"/>
  <c r="FM128" i="1"/>
  <c r="FL128" i="1"/>
  <c r="FK128" i="1"/>
  <c r="FJ128" i="1"/>
  <c r="FI128" i="1"/>
  <c r="FF128" i="1"/>
  <c r="FE128" i="1"/>
  <c r="FD128" i="1"/>
  <c r="FC128" i="1"/>
  <c r="FB128" i="1"/>
  <c r="FH128" i="1"/>
  <c r="C12" i="2" l="1"/>
  <c r="D12" i="2"/>
  <c r="GD142" i="1"/>
  <c r="GC137" i="1"/>
  <c r="G136" i="3" s="1"/>
  <c r="GD137" i="1"/>
  <c r="H136" i="3" s="1"/>
  <c r="GC138" i="1"/>
  <c r="G137" i="3" s="1"/>
  <c r="GD134" i="1"/>
  <c r="H133" i="3" s="1"/>
  <c r="GC132" i="1"/>
  <c r="G131" i="3" s="1"/>
  <c r="GC125" i="1"/>
  <c r="G124" i="3" s="1"/>
  <c r="GD127" i="1"/>
  <c r="H126" i="3" s="1"/>
  <c r="GD123" i="1"/>
  <c r="H122" i="3" s="1"/>
  <c r="GC135" i="1"/>
  <c r="G134" i="3" s="1"/>
  <c r="GD132" i="1"/>
  <c r="H131" i="3" s="1"/>
  <c r="GC130" i="1"/>
  <c r="G129" i="3" s="1"/>
  <c r="GC136" i="1"/>
  <c r="G135" i="3" s="1"/>
  <c r="GC133" i="1"/>
  <c r="G132" i="3" s="1"/>
  <c r="GD130" i="1"/>
  <c r="H129" i="3" s="1"/>
  <c r="G94" i="3"/>
  <c r="GD96" i="1"/>
  <c r="H95" i="3" s="1"/>
  <c r="G95" i="3"/>
  <c r="H94" i="3"/>
  <c r="EM141" i="1"/>
  <c r="GD126" i="1"/>
  <c r="H125" i="3" s="1"/>
  <c r="GC127" i="1"/>
  <c r="G126" i="3" s="1"/>
  <c r="GC123" i="1"/>
  <c r="G122" i="3" s="1"/>
  <c r="GD124" i="1"/>
  <c r="H123" i="3" s="1"/>
  <c r="GD125" i="1"/>
  <c r="H124" i="3" s="1"/>
  <c r="GD122" i="1"/>
  <c r="H121" i="3" s="1"/>
  <c r="GC122" i="1"/>
  <c r="G121" i="3" s="1"/>
  <c r="FA128" i="1"/>
  <c r="GC120" i="1"/>
  <c r="GC121" i="1" s="1"/>
  <c r="G119" i="3" l="1"/>
  <c r="GD143" i="1"/>
  <c r="H141" i="3"/>
  <c r="GC142" i="1"/>
  <c r="GD128" i="1"/>
  <c r="GD129" i="1"/>
  <c r="GC141" i="1"/>
  <c r="GC126" i="1"/>
  <c r="FN128" i="1"/>
  <c r="GD120" i="1"/>
  <c r="GD121" i="1" s="1"/>
  <c r="E24" i="2" l="1"/>
  <c r="G140" i="3"/>
  <c r="H119" i="3"/>
  <c r="GD141" i="1"/>
  <c r="H128" i="3"/>
  <c r="F25" i="2"/>
  <c r="H142" i="3"/>
  <c r="F23" i="2"/>
  <c r="H127" i="3"/>
  <c r="GC128" i="1"/>
  <c r="G125" i="3"/>
  <c r="GC143" i="1"/>
  <c r="G141" i="3"/>
  <c r="E22" i="2"/>
  <c r="G120" i="3"/>
  <c r="GC13" i="1"/>
  <c r="GD13" i="1"/>
  <c r="EK47" i="1"/>
  <c r="DW47" i="1"/>
  <c r="E23" i="2" l="1"/>
  <c r="G127" i="3"/>
  <c r="F22" i="2"/>
  <c r="H120" i="3"/>
  <c r="E25" i="2"/>
  <c r="G142" i="3"/>
  <c r="F24" i="2"/>
  <c r="H140" i="3"/>
  <c r="DP54" i="1"/>
  <c r="FM48" i="1"/>
  <c r="FI48" i="1"/>
  <c r="FH48" i="1"/>
  <c r="FF48" i="1"/>
  <c r="FB48" i="1"/>
  <c r="FA48" i="1"/>
  <c r="EY43" i="1"/>
  <c r="EU43" i="1"/>
  <c r="ET43" i="1"/>
  <c r="ER43" i="1"/>
  <c r="EN43" i="1"/>
  <c r="EM43" i="1"/>
  <c r="EK43" i="1"/>
  <c r="EG43" i="1"/>
  <c r="EF43" i="1"/>
  <c r="ED43" i="1"/>
  <c r="DZ43" i="1"/>
  <c r="DY43" i="1"/>
  <c r="DW43" i="1"/>
  <c r="DS43" i="1"/>
  <c r="DR43" i="1"/>
  <c r="DP43" i="1"/>
  <c r="DL43" i="1"/>
  <c r="DK43" i="1"/>
  <c r="DI43" i="1"/>
  <c r="DE43" i="1"/>
  <c r="DD43" i="1"/>
  <c r="DB43" i="1"/>
  <c r="CX43" i="1"/>
  <c r="CW43" i="1"/>
  <c r="CV43" i="1"/>
  <c r="CO43" i="1"/>
  <c r="CH43" i="1"/>
  <c r="CA43" i="1"/>
  <c r="BT43" i="1"/>
  <c r="BM43" i="1"/>
  <c r="BF43" i="1"/>
  <c r="AY43" i="1"/>
  <c r="AR43" i="1"/>
  <c r="AQ43" i="1"/>
  <c r="AP43" i="1"/>
  <c r="AO43" i="1"/>
  <c r="AN43" i="1"/>
  <c r="AM43" i="1"/>
  <c r="D16" i="2" l="1"/>
  <c r="C16" i="2"/>
  <c r="DX43" i="1"/>
  <c r="EE43" i="1"/>
  <c r="DQ43" i="1"/>
  <c r="DJ43" i="1"/>
  <c r="EL43" i="1"/>
  <c r="DC43" i="1"/>
  <c r="EZ43" i="1"/>
  <c r="ES43" i="1"/>
  <c r="CA54" i="1"/>
  <c r="CH54" i="1"/>
  <c r="FF44" i="1"/>
  <c r="FM40" i="1"/>
  <c r="FI40" i="1"/>
  <c r="FH40" i="1"/>
  <c r="FF40" i="1"/>
  <c r="FB40" i="1"/>
  <c r="FA40" i="1"/>
  <c r="FF52" i="1"/>
  <c r="FB52" i="1"/>
  <c r="FA52" i="1"/>
  <c r="CV52" i="1"/>
  <c r="CV41" i="1"/>
  <c r="C15" i="2" l="1"/>
  <c r="FH157" i="1"/>
  <c r="B108" i="3"/>
  <c r="B107" i="3"/>
  <c r="B105" i="3"/>
  <c r="B104" i="3"/>
  <c r="B103" i="3"/>
  <c r="B101" i="3"/>
  <c r="B102" i="3"/>
  <c r="B100" i="3"/>
  <c r="B98" i="3"/>
  <c r="D85" i="3"/>
  <c r="D86" i="3"/>
  <c r="D87" i="3"/>
  <c r="D88" i="3"/>
  <c r="D89" i="3"/>
  <c r="D90" i="3"/>
  <c r="D91" i="3"/>
  <c r="D92" i="3"/>
  <c r="D93" i="3"/>
  <c r="D77" i="3"/>
  <c r="D78" i="3"/>
  <c r="D79" i="3"/>
  <c r="D80" i="3"/>
  <c r="D81" i="3"/>
  <c r="D82" i="3"/>
  <c r="D83" i="3"/>
  <c r="D84" i="3"/>
  <c r="D72" i="3"/>
  <c r="D73" i="3"/>
  <c r="D74" i="3"/>
  <c r="D75" i="3"/>
  <c r="D76" i="3"/>
  <c r="D71" i="3"/>
  <c r="D69" i="3"/>
  <c r="D70" i="3"/>
  <c r="D63" i="3"/>
  <c r="D64" i="3"/>
  <c r="D65" i="3"/>
  <c r="D66" i="3"/>
  <c r="D67" i="3"/>
  <c r="D68" i="3"/>
  <c r="D61" i="3"/>
  <c r="D62" i="3"/>
  <c r="B89" i="3"/>
  <c r="B90" i="3"/>
  <c r="B91" i="3"/>
  <c r="B77" i="3"/>
  <c r="B78" i="3"/>
  <c r="B79" i="3"/>
  <c r="B80" i="3"/>
  <c r="B81" i="3"/>
  <c r="B82" i="3"/>
  <c r="B83" i="3"/>
  <c r="B84" i="3"/>
  <c r="B85" i="3"/>
  <c r="B86" i="3"/>
  <c r="B87" i="3"/>
  <c r="B88" i="3"/>
  <c r="B74" i="3"/>
  <c r="B75" i="3"/>
  <c r="B76" i="3"/>
  <c r="B69" i="3"/>
  <c r="B70" i="3"/>
  <c r="B71" i="3"/>
  <c r="B72" i="3"/>
  <c r="B73" i="3"/>
  <c r="B65" i="3"/>
  <c r="B66" i="3"/>
  <c r="B67" i="3"/>
  <c r="B68" i="3"/>
  <c r="B62" i="3"/>
  <c r="B63" i="3"/>
  <c r="B64" i="3"/>
  <c r="B61" i="3"/>
  <c r="B60" i="3"/>
  <c r="D52" i="3"/>
  <c r="D53" i="3"/>
  <c r="D54" i="3"/>
  <c r="D55" i="3"/>
  <c r="D56" i="3"/>
  <c r="D57" i="3"/>
  <c r="D58" i="3"/>
  <c r="D45" i="3"/>
  <c r="D46" i="3"/>
  <c r="D47" i="3"/>
  <c r="D48" i="3"/>
  <c r="D49" i="3"/>
  <c r="D50" i="3"/>
  <c r="D51" i="3"/>
  <c r="D39" i="3"/>
  <c r="D40" i="3"/>
  <c r="D41" i="3"/>
  <c r="D42" i="3"/>
  <c r="D43" i="3"/>
  <c r="D44" i="3"/>
  <c r="D38" i="3"/>
  <c r="B58" i="3"/>
  <c r="B52" i="3"/>
  <c r="B53" i="3"/>
  <c r="B54" i="3"/>
  <c r="B55" i="3"/>
  <c r="B56" i="3"/>
  <c r="B57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38" i="3"/>
  <c r="B27" i="3"/>
  <c r="B22" i="3"/>
  <c r="B24" i="3"/>
  <c r="B25" i="3"/>
  <c r="B21" i="3"/>
  <c r="B20" i="3"/>
  <c r="B19" i="3"/>
  <c r="B18" i="3"/>
  <c r="B23" i="3"/>
  <c r="B17" i="3"/>
  <c r="B16" i="3"/>
  <c r="B15" i="3"/>
  <c r="B14" i="3"/>
  <c r="B13" i="3"/>
  <c r="B12" i="3"/>
  <c r="B6" i="3"/>
  <c r="B111" i="3"/>
  <c r="B112" i="3"/>
  <c r="B113" i="3"/>
  <c r="B115" i="3"/>
  <c r="B110" i="3"/>
  <c r="D111" i="3"/>
  <c r="D112" i="3"/>
  <c r="D113" i="3"/>
  <c r="D115" i="3"/>
  <c r="D110" i="3"/>
  <c r="D108" i="3"/>
  <c r="D107" i="3"/>
  <c r="FM54" i="1" l="1"/>
  <c r="FI54" i="1"/>
  <c r="FH54" i="1"/>
  <c r="FF54" i="1"/>
  <c r="FB54" i="1"/>
  <c r="FA54" i="1"/>
  <c r="FM56" i="1"/>
  <c r="FI56" i="1"/>
  <c r="FH56" i="1"/>
  <c r="FF56" i="1"/>
  <c r="FB56" i="1"/>
  <c r="FA56" i="1"/>
  <c r="FM43" i="1"/>
  <c r="FI43" i="1"/>
  <c r="FH43" i="1"/>
  <c r="FF43" i="1"/>
  <c r="FB43" i="1"/>
  <c r="FA43" i="1"/>
  <c r="FM58" i="1"/>
  <c r="FI58" i="1"/>
  <c r="FH58" i="1"/>
  <c r="FF58" i="1"/>
  <c r="FB58" i="1"/>
  <c r="FA58" i="1"/>
  <c r="FM55" i="1"/>
  <c r="FI55" i="1"/>
  <c r="FH55" i="1"/>
  <c r="FF55" i="1"/>
  <c r="FB55" i="1"/>
  <c r="FA55" i="1"/>
  <c r="FM46" i="1"/>
  <c r="FI46" i="1"/>
  <c r="FH46" i="1"/>
  <c r="FF46" i="1"/>
  <c r="FB46" i="1"/>
  <c r="FA46" i="1"/>
  <c r="FM53" i="1"/>
  <c r="FI53" i="1"/>
  <c r="FH53" i="1"/>
  <c r="FF53" i="1"/>
  <c r="FB53" i="1"/>
  <c r="FA53" i="1"/>
  <c r="FM57" i="1"/>
  <c r="FI57" i="1"/>
  <c r="FH57" i="1"/>
  <c r="FF57" i="1"/>
  <c r="FB57" i="1"/>
  <c r="FA57" i="1"/>
  <c r="FM49" i="1"/>
  <c r="FI49" i="1"/>
  <c r="FH49" i="1"/>
  <c r="FF49" i="1"/>
  <c r="FB49" i="1"/>
  <c r="FA49" i="1"/>
  <c r="FM47" i="1"/>
  <c r="FI47" i="1"/>
  <c r="FH47" i="1"/>
  <c r="FF47" i="1"/>
  <c r="FB47" i="1"/>
  <c r="FA47" i="1"/>
  <c r="FM41" i="1"/>
  <c r="FI41" i="1"/>
  <c r="FH41" i="1"/>
  <c r="FF41" i="1"/>
  <c r="FB41" i="1"/>
  <c r="FA41" i="1"/>
  <c r="FM51" i="1"/>
  <c r="FI51" i="1"/>
  <c r="FH51" i="1"/>
  <c r="FF51" i="1"/>
  <c r="FB51" i="1"/>
  <c r="FA51" i="1"/>
  <c r="FM50" i="1"/>
  <c r="FI50" i="1"/>
  <c r="FH50" i="1"/>
  <c r="FF50" i="1"/>
  <c r="FB50" i="1"/>
  <c r="FA50" i="1"/>
  <c r="FM42" i="1"/>
  <c r="FJ42" i="1"/>
  <c r="FJ60" i="1" s="1"/>
  <c r="FI42" i="1"/>
  <c r="FH42" i="1"/>
  <c r="FF42" i="1"/>
  <c r="FC42" i="1"/>
  <c r="FC60" i="1" s="1"/>
  <c r="FB42" i="1"/>
  <c r="FA42" i="1"/>
  <c r="FM44" i="1"/>
  <c r="FI44" i="1"/>
  <c r="FH44" i="1"/>
  <c r="FB44" i="1"/>
  <c r="FA44" i="1"/>
  <c r="FN59" i="1"/>
  <c r="FF59" i="1"/>
  <c r="FB59" i="1"/>
  <c r="FA59" i="1"/>
  <c r="FM39" i="1"/>
  <c r="FI39" i="1"/>
  <c r="FH39" i="1"/>
  <c r="FF39" i="1"/>
  <c r="FB39" i="1"/>
  <c r="FA39" i="1"/>
  <c r="FD60" i="1"/>
  <c r="FE60" i="1"/>
  <c r="FK60" i="1"/>
  <c r="FL60" i="1"/>
  <c r="FM52" i="1"/>
  <c r="FI52" i="1"/>
  <c r="FH52" i="1"/>
  <c r="FG52" i="1"/>
  <c r="FM32" i="1"/>
  <c r="FL32" i="1"/>
  <c r="FK32" i="1"/>
  <c r="FJ32" i="1"/>
  <c r="FI32" i="1"/>
  <c r="FH32" i="1"/>
  <c r="FF32" i="1"/>
  <c r="FE32" i="1"/>
  <c r="FD32" i="1"/>
  <c r="FC32" i="1"/>
  <c r="FB32" i="1"/>
  <c r="FA32" i="1"/>
  <c r="FM31" i="1"/>
  <c r="FL31" i="1"/>
  <c r="FK31" i="1"/>
  <c r="FJ31" i="1"/>
  <c r="FI31" i="1"/>
  <c r="FH31" i="1"/>
  <c r="FF31" i="1"/>
  <c r="FE31" i="1"/>
  <c r="FC31" i="1"/>
  <c r="FD31" i="1"/>
  <c r="FB31" i="1"/>
  <c r="FA31" i="1"/>
  <c r="FM37" i="1"/>
  <c r="FL37" i="1"/>
  <c r="FK37" i="1"/>
  <c r="FJ37" i="1"/>
  <c r="FI37" i="1"/>
  <c r="FH37" i="1"/>
  <c r="FF37" i="1"/>
  <c r="FE37" i="1"/>
  <c r="FD37" i="1"/>
  <c r="FC37" i="1"/>
  <c r="FB37" i="1"/>
  <c r="FA37" i="1"/>
  <c r="FM30" i="1"/>
  <c r="FL30" i="1"/>
  <c r="FK30" i="1"/>
  <c r="FJ30" i="1"/>
  <c r="FI30" i="1"/>
  <c r="FH30" i="1"/>
  <c r="FF30" i="1"/>
  <c r="FE30" i="1"/>
  <c r="FD30" i="1"/>
  <c r="FC30" i="1"/>
  <c r="FB30" i="1"/>
  <c r="FA30" i="1"/>
  <c r="FM36" i="1"/>
  <c r="FL36" i="1"/>
  <c r="FK36" i="1"/>
  <c r="FJ36" i="1"/>
  <c r="FI36" i="1"/>
  <c r="FH36" i="1"/>
  <c r="FF36" i="1"/>
  <c r="FE36" i="1"/>
  <c r="FD36" i="1"/>
  <c r="FC36" i="1"/>
  <c r="FB36" i="1"/>
  <c r="FA36" i="1"/>
  <c r="FM33" i="1"/>
  <c r="FL33" i="1"/>
  <c r="FK33" i="1"/>
  <c r="FJ33" i="1"/>
  <c r="FI33" i="1"/>
  <c r="FH33" i="1"/>
  <c r="FF33" i="1"/>
  <c r="FE33" i="1"/>
  <c r="FD33" i="1"/>
  <c r="FC33" i="1"/>
  <c r="FB33" i="1"/>
  <c r="FA33" i="1"/>
  <c r="FM29" i="1"/>
  <c r="FL29" i="1"/>
  <c r="FK29" i="1"/>
  <c r="FJ29" i="1"/>
  <c r="FI29" i="1"/>
  <c r="FH29" i="1"/>
  <c r="FF29" i="1"/>
  <c r="FE29" i="1"/>
  <c r="FD29" i="1"/>
  <c r="FC29" i="1"/>
  <c r="FB29" i="1"/>
  <c r="FA29" i="1"/>
  <c r="FM28" i="1"/>
  <c r="FL28" i="1"/>
  <c r="FK28" i="1"/>
  <c r="FJ28" i="1"/>
  <c r="FI28" i="1"/>
  <c r="FH28" i="1"/>
  <c r="FF28" i="1"/>
  <c r="FE28" i="1"/>
  <c r="FD28" i="1"/>
  <c r="FC28" i="1"/>
  <c r="FB28" i="1"/>
  <c r="FA28" i="1"/>
  <c r="FM35" i="1"/>
  <c r="FL35" i="1"/>
  <c r="FK35" i="1"/>
  <c r="FJ35" i="1"/>
  <c r="FI35" i="1"/>
  <c r="FH35" i="1"/>
  <c r="FF35" i="1"/>
  <c r="FE35" i="1"/>
  <c r="FD35" i="1"/>
  <c r="FC35" i="1"/>
  <c r="FB35" i="1"/>
  <c r="FA35" i="1"/>
  <c r="FM34" i="1"/>
  <c r="FL34" i="1"/>
  <c r="FK34" i="1"/>
  <c r="FJ34" i="1"/>
  <c r="FI34" i="1"/>
  <c r="FH34" i="1"/>
  <c r="FA34" i="1"/>
  <c r="FB34" i="1"/>
  <c r="FD34" i="1"/>
  <c r="FE34" i="1"/>
  <c r="FF34" i="1"/>
  <c r="FC34" i="1"/>
  <c r="FG44" i="1" l="1"/>
  <c r="FG36" i="1"/>
  <c r="FG31" i="1"/>
  <c r="FN32" i="1"/>
  <c r="FG32" i="1"/>
  <c r="FN31" i="1"/>
  <c r="FN37" i="1"/>
  <c r="FM60" i="1"/>
  <c r="FA60" i="1"/>
  <c r="FI60" i="1"/>
  <c r="FG29" i="1"/>
  <c r="FN29" i="1"/>
  <c r="FN35" i="1"/>
  <c r="FH38" i="1"/>
  <c r="FN30" i="1"/>
  <c r="FH60" i="1"/>
  <c r="FF38" i="1"/>
  <c r="FB60" i="1"/>
  <c r="FN36" i="1"/>
  <c r="FN28" i="1"/>
  <c r="FD38" i="1"/>
  <c r="FG33" i="1"/>
  <c r="FG30" i="1"/>
  <c r="FF60" i="1"/>
  <c r="FG37" i="1"/>
  <c r="FN33" i="1"/>
  <c r="FM38" i="1"/>
  <c r="FJ38" i="1"/>
  <c r="FB38" i="1"/>
  <c r="FL38" i="1"/>
  <c r="FE38" i="1"/>
  <c r="FG35" i="1"/>
  <c r="FC38" i="1"/>
  <c r="FK38" i="1"/>
  <c r="FI38" i="1"/>
  <c r="FA38" i="1"/>
  <c r="FG28" i="1"/>
  <c r="FG34" i="1"/>
  <c r="FN116" i="1"/>
  <c r="GD116" i="1" s="1"/>
  <c r="FG116" i="1"/>
  <c r="GC116" i="1" s="1"/>
  <c r="FH114" i="1"/>
  <c r="FA114" i="1"/>
  <c r="FG114" i="1" s="1"/>
  <c r="GC114" i="1" s="1"/>
  <c r="FH113" i="1"/>
  <c r="FN113" i="1" s="1"/>
  <c r="GD113" i="1" s="1"/>
  <c r="FA113" i="1"/>
  <c r="FG113" i="1" s="1"/>
  <c r="GC113" i="1" s="1"/>
  <c r="FH112" i="1"/>
  <c r="FN112" i="1" s="1"/>
  <c r="GD112" i="1" s="1"/>
  <c r="FH111" i="1"/>
  <c r="FA112" i="1"/>
  <c r="FG112" i="1" s="1"/>
  <c r="GC112" i="1" s="1"/>
  <c r="FA111" i="1"/>
  <c r="FG111" i="1" s="1"/>
  <c r="GC111" i="1" s="1"/>
  <c r="FL117" i="1"/>
  <c r="FJ117" i="1"/>
  <c r="FE117" i="1"/>
  <c r="FC117" i="1"/>
  <c r="FN114" i="1"/>
  <c r="GD114" i="1" s="1"/>
  <c r="FM117" i="1"/>
  <c r="FK117" i="1"/>
  <c r="FI117" i="1"/>
  <c r="FF117" i="1"/>
  <c r="FD117" i="1"/>
  <c r="FB117" i="1"/>
  <c r="FC100" i="1"/>
  <c r="FD100" i="1"/>
  <c r="FE100" i="1"/>
  <c r="FF100" i="1"/>
  <c r="FJ100" i="1"/>
  <c r="FK100" i="1"/>
  <c r="FL100" i="1"/>
  <c r="FM100" i="1"/>
  <c r="FI99" i="1"/>
  <c r="FI100" i="1" s="1"/>
  <c r="FH99" i="1"/>
  <c r="FH100" i="1" s="1"/>
  <c r="FB99" i="1"/>
  <c r="FB100" i="1" s="1"/>
  <c r="FA99" i="1"/>
  <c r="FA100" i="1" s="1"/>
  <c r="GC117" i="1" l="1"/>
  <c r="H113" i="3"/>
  <c r="H111" i="3"/>
  <c r="FH117" i="1"/>
  <c r="G112" i="3"/>
  <c r="G115" i="3"/>
  <c r="H112" i="3"/>
  <c r="G113" i="3"/>
  <c r="FG38" i="1"/>
  <c r="H115" i="3"/>
  <c r="FG117" i="1"/>
  <c r="G111" i="3"/>
  <c r="FA117" i="1"/>
  <c r="FN111" i="1"/>
  <c r="GD111" i="1" l="1"/>
  <c r="GD117" i="1" s="1"/>
  <c r="G110" i="3"/>
  <c r="FN117" i="1"/>
  <c r="FH102" i="1"/>
  <c r="FM201" i="1"/>
  <c r="FK201" i="1"/>
  <c r="FI201" i="1"/>
  <c r="FH201" i="1"/>
  <c r="FF201" i="1"/>
  <c r="FD201" i="1"/>
  <c r="FB201" i="1"/>
  <c r="FA201" i="1"/>
  <c r="FM200" i="1"/>
  <c r="FK200" i="1"/>
  <c r="FI200" i="1"/>
  <c r="FH200" i="1"/>
  <c r="FF200" i="1"/>
  <c r="FD200" i="1"/>
  <c r="FB200" i="1"/>
  <c r="FA200" i="1"/>
  <c r="FM199" i="1"/>
  <c r="FK199" i="1"/>
  <c r="FI199" i="1"/>
  <c r="FH199" i="1"/>
  <c r="FH106" i="1" s="1"/>
  <c r="FF199" i="1"/>
  <c r="FF106" i="1" s="1"/>
  <c r="FD199" i="1"/>
  <c r="FB199" i="1"/>
  <c r="FA199" i="1"/>
  <c r="EZ201" i="1"/>
  <c r="EZ200" i="1"/>
  <c r="EZ199" i="1"/>
  <c r="EZ196" i="1"/>
  <c r="EZ195" i="1"/>
  <c r="FM196" i="1"/>
  <c r="FK196" i="1"/>
  <c r="FI196" i="1"/>
  <c r="FH196" i="1"/>
  <c r="FF196" i="1"/>
  <c r="FD196" i="1"/>
  <c r="FB196" i="1"/>
  <c r="FA196" i="1"/>
  <c r="FM195" i="1"/>
  <c r="FM104" i="1" s="1"/>
  <c r="FK195" i="1"/>
  <c r="FK104" i="1" s="1"/>
  <c r="FI195" i="1"/>
  <c r="FH195" i="1"/>
  <c r="FF195" i="1"/>
  <c r="FF104" i="1" s="1"/>
  <c r="FD195" i="1"/>
  <c r="FD104" i="1" s="1"/>
  <c r="FB195" i="1"/>
  <c r="FB104" i="1" s="1"/>
  <c r="FA195" i="1"/>
  <c r="EZ190" i="1"/>
  <c r="FD102" i="1"/>
  <c r="FM190" i="1"/>
  <c r="FM101" i="1" s="1"/>
  <c r="FK190" i="1"/>
  <c r="FK101" i="1" s="1"/>
  <c r="FI190" i="1"/>
  <c r="FI101" i="1" s="1"/>
  <c r="FH190" i="1"/>
  <c r="FF190" i="1"/>
  <c r="FF101" i="1" s="1"/>
  <c r="FD190" i="1"/>
  <c r="FD101" i="1" s="1"/>
  <c r="FB190" i="1"/>
  <c r="FB101" i="1" s="1"/>
  <c r="FA190" i="1"/>
  <c r="FC107" i="1"/>
  <c r="FE107" i="1"/>
  <c r="FJ107" i="1"/>
  <c r="FL107" i="1"/>
  <c r="FM102" i="1"/>
  <c r="FK102" i="1"/>
  <c r="FI102" i="1"/>
  <c r="FF102" i="1"/>
  <c r="FB102" i="1"/>
  <c r="FA102" i="1"/>
  <c r="FM105" i="1"/>
  <c r="FK105" i="1"/>
  <c r="FI105" i="1"/>
  <c r="FH105" i="1"/>
  <c r="FF105" i="1"/>
  <c r="FD105" i="1"/>
  <c r="FB105" i="1"/>
  <c r="FA105" i="1"/>
  <c r="FE98" i="1"/>
  <c r="FM93" i="1"/>
  <c r="FK93" i="1"/>
  <c r="FI93" i="1"/>
  <c r="FH93" i="1"/>
  <c r="FF93" i="1"/>
  <c r="FD93" i="1"/>
  <c r="FB93" i="1"/>
  <c r="FA93" i="1"/>
  <c r="FM94" i="1"/>
  <c r="FK94" i="1"/>
  <c r="FI94" i="1"/>
  <c r="FH94" i="1"/>
  <c r="FF94" i="1"/>
  <c r="FD94" i="1"/>
  <c r="FB94" i="1"/>
  <c r="FA94" i="1"/>
  <c r="FM61" i="1"/>
  <c r="FK61" i="1"/>
  <c r="FI61" i="1"/>
  <c r="FH61" i="1"/>
  <c r="FF61" i="1"/>
  <c r="FD61" i="1"/>
  <c r="FB61" i="1"/>
  <c r="FA61" i="1"/>
  <c r="FM91" i="1"/>
  <c r="FK91" i="1"/>
  <c r="FI91" i="1"/>
  <c r="FH91" i="1"/>
  <c r="FF91" i="1"/>
  <c r="FD91" i="1"/>
  <c r="FB91" i="1"/>
  <c r="FA91" i="1"/>
  <c r="FM92" i="1"/>
  <c r="FK92" i="1"/>
  <c r="FI92" i="1"/>
  <c r="FH92" i="1"/>
  <c r="FF92" i="1"/>
  <c r="FD92" i="1"/>
  <c r="FB92" i="1"/>
  <c r="FA92" i="1"/>
  <c r="FM71" i="1"/>
  <c r="FK71" i="1"/>
  <c r="FI71" i="1"/>
  <c r="FH71" i="1"/>
  <c r="FF71" i="1"/>
  <c r="FD71" i="1"/>
  <c r="FB71" i="1"/>
  <c r="FA71" i="1"/>
  <c r="FM70" i="1"/>
  <c r="FK70" i="1"/>
  <c r="FI70" i="1"/>
  <c r="FH70" i="1"/>
  <c r="FF70" i="1"/>
  <c r="FD70" i="1"/>
  <c r="FB70" i="1"/>
  <c r="FA70" i="1"/>
  <c r="FM87" i="1"/>
  <c r="FK87" i="1"/>
  <c r="FI87" i="1"/>
  <c r="FH87" i="1"/>
  <c r="FF87" i="1"/>
  <c r="FD87" i="1"/>
  <c r="FB87" i="1"/>
  <c r="FA87" i="1"/>
  <c r="FM89" i="1"/>
  <c r="FK89" i="1"/>
  <c r="FI89" i="1"/>
  <c r="FH89" i="1"/>
  <c r="FF89" i="1"/>
  <c r="FD89" i="1"/>
  <c r="FB89" i="1"/>
  <c r="FA89" i="1"/>
  <c r="FM90" i="1"/>
  <c r="FK90" i="1"/>
  <c r="FI90" i="1"/>
  <c r="FH90" i="1"/>
  <c r="FF90" i="1"/>
  <c r="FD90" i="1"/>
  <c r="FB90" i="1"/>
  <c r="FA90" i="1"/>
  <c r="FM86" i="1"/>
  <c r="FK86" i="1"/>
  <c r="FI86" i="1"/>
  <c r="FH86" i="1"/>
  <c r="FF86" i="1"/>
  <c r="FD86" i="1"/>
  <c r="FB86" i="1"/>
  <c r="FA86" i="1"/>
  <c r="FM88" i="1"/>
  <c r="FK88" i="1"/>
  <c r="FI88" i="1"/>
  <c r="FH88" i="1"/>
  <c r="FF88" i="1"/>
  <c r="FD88" i="1"/>
  <c r="FB88" i="1"/>
  <c r="FA88" i="1"/>
  <c r="FM77" i="1"/>
  <c r="FK77" i="1"/>
  <c r="FI77" i="1"/>
  <c r="FH77" i="1"/>
  <c r="FF77" i="1"/>
  <c r="FD77" i="1"/>
  <c r="FB77" i="1"/>
  <c r="FA77" i="1"/>
  <c r="FM76" i="1"/>
  <c r="FK76" i="1"/>
  <c r="FI76" i="1"/>
  <c r="FH76" i="1"/>
  <c r="FF76" i="1"/>
  <c r="FD76" i="1"/>
  <c r="FB76" i="1"/>
  <c r="FA76" i="1"/>
  <c r="FM85" i="1"/>
  <c r="FK85" i="1"/>
  <c r="FI85" i="1"/>
  <c r="FH85" i="1"/>
  <c r="FF85" i="1"/>
  <c r="FD85" i="1"/>
  <c r="FB85" i="1"/>
  <c r="FA85" i="1"/>
  <c r="FM75" i="1"/>
  <c r="FK75" i="1"/>
  <c r="FI75" i="1"/>
  <c r="FH75" i="1"/>
  <c r="FF75" i="1"/>
  <c r="FD75" i="1"/>
  <c r="FB75" i="1"/>
  <c r="FA75" i="1"/>
  <c r="FM63" i="1"/>
  <c r="FK63" i="1"/>
  <c r="FI63" i="1"/>
  <c r="FH63" i="1"/>
  <c r="FF63" i="1"/>
  <c r="FD63" i="1"/>
  <c r="FB63" i="1"/>
  <c r="FA63" i="1"/>
  <c r="FM74" i="1"/>
  <c r="FK74" i="1"/>
  <c r="FI74" i="1"/>
  <c r="FH74" i="1"/>
  <c r="FF74" i="1"/>
  <c r="FD74" i="1"/>
  <c r="FB74" i="1"/>
  <c r="FA74" i="1"/>
  <c r="FM69" i="1"/>
  <c r="FK69" i="1"/>
  <c r="FI69" i="1"/>
  <c r="FH69" i="1"/>
  <c r="FF69" i="1"/>
  <c r="FD69" i="1"/>
  <c r="FB69" i="1"/>
  <c r="FA69" i="1"/>
  <c r="FM68" i="1"/>
  <c r="FK68" i="1"/>
  <c r="FI68" i="1"/>
  <c r="FH68" i="1"/>
  <c r="FF68" i="1"/>
  <c r="FD68" i="1"/>
  <c r="FB68" i="1"/>
  <c r="FA68" i="1"/>
  <c r="FM67" i="1"/>
  <c r="FK67" i="1"/>
  <c r="FI67" i="1"/>
  <c r="FH67" i="1"/>
  <c r="FF67" i="1"/>
  <c r="FD67" i="1"/>
  <c r="FB67" i="1"/>
  <c r="FA67" i="1"/>
  <c r="FM66" i="1"/>
  <c r="FK66" i="1"/>
  <c r="FI66" i="1"/>
  <c r="FH66" i="1"/>
  <c r="FF66" i="1"/>
  <c r="FD66" i="1"/>
  <c r="FB66" i="1"/>
  <c r="FA66" i="1"/>
  <c r="FM65" i="1"/>
  <c r="FK65" i="1"/>
  <c r="FI65" i="1"/>
  <c r="FH65" i="1"/>
  <c r="FF65" i="1"/>
  <c r="FD65" i="1"/>
  <c r="FB65" i="1"/>
  <c r="FA65" i="1"/>
  <c r="FM64" i="1"/>
  <c r="FK64" i="1"/>
  <c r="FI64" i="1"/>
  <c r="FH64" i="1"/>
  <c r="FF64" i="1"/>
  <c r="FD64" i="1"/>
  <c r="FB64" i="1"/>
  <c r="FA64" i="1"/>
  <c r="FM78" i="1"/>
  <c r="FK78" i="1"/>
  <c r="FI78" i="1"/>
  <c r="FH78" i="1"/>
  <c r="FF78" i="1"/>
  <c r="FD78" i="1"/>
  <c r="FB78" i="1"/>
  <c r="FA78" i="1"/>
  <c r="FM81" i="1"/>
  <c r="FK81" i="1"/>
  <c r="FI81" i="1"/>
  <c r="FH81" i="1"/>
  <c r="FF81" i="1"/>
  <c r="FD81" i="1"/>
  <c r="FB81" i="1"/>
  <c r="FA81" i="1"/>
  <c r="FM84" i="1"/>
  <c r="FK84" i="1"/>
  <c r="FI84" i="1"/>
  <c r="FH84" i="1"/>
  <c r="FF84" i="1"/>
  <c r="FD84" i="1"/>
  <c r="FB84" i="1"/>
  <c r="FA84" i="1"/>
  <c r="FM79" i="1"/>
  <c r="FK79" i="1"/>
  <c r="FI79" i="1"/>
  <c r="FH79" i="1"/>
  <c r="FF79" i="1"/>
  <c r="FD79" i="1"/>
  <c r="FB79" i="1"/>
  <c r="FA79" i="1"/>
  <c r="FM82" i="1"/>
  <c r="FK82" i="1"/>
  <c r="FI82" i="1"/>
  <c r="FH82" i="1"/>
  <c r="FF82" i="1"/>
  <c r="FD82" i="1"/>
  <c r="FB82" i="1"/>
  <c r="FA82" i="1"/>
  <c r="FM62" i="1"/>
  <c r="FK62" i="1"/>
  <c r="FI62" i="1"/>
  <c r="FH62" i="1"/>
  <c r="FF62" i="1"/>
  <c r="FD62" i="1"/>
  <c r="FB62" i="1"/>
  <c r="FA62" i="1"/>
  <c r="FM83" i="1"/>
  <c r="FK83" i="1"/>
  <c r="FI83" i="1"/>
  <c r="FH83" i="1"/>
  <c r="FF83" i="1"/>
  <c r="FD83" i="1"/>
  <c r="FB83" i="1"/>
  <c r="FA83" i="1"/>
  <c r="FM73" i="1"/>
  <c r="FK73" i="1"/>
  <c r="FI73" i="1"/>
  <c r="FH73" i="1"/>
  <c r="FF73" i="1"/>
  <c r="FD73" i="1"/>
  <c r="FB73" i="1"/>
  <c r="FA73" i="1"/>
  <c r="FM72" i="1"/>
  <c r="FK72" i="1"/>
  <c r="FI72" i="1"/>
  <c r="FH72" i="1"/>
  <c r="FF72" i="1"/>
  <c r="FN97" i="1"/>
  <c r="FG97" i="1"/>
  <c r="GC97" i="1" s="1"/>
  <c r="FM80" i="1"/>
  <c r="FI80" i="1"/>
  <c r="FH80" i="1"/>
  <c r="FK80" i="1"/>
  <c r="FF80" i="1"/>
  <c r="FB80" i="1"/>
  <c r="FA80" i="1"/>
  <c r="FD80" i="1"/>
  <c r="FC98" i="1"/>
  <c r="FJ98" i="1"/>
  <c r="FL98" i="1"/>
  <c r="FF109" i="1"/>
  <c r="FB109" i="1"/>
  <c r="FA109" i="1"/>
  <c r="FD109" i="1"/>
  <c r="FF108" i="1"/>
  <c r="FB108" i="1"/>
  <c r="FA108" i="1"/>
  <c r="FD108" i="1"/>
  <c r="FG103" i="1"/>
  <c r="FG99" i="1"/>
  <c r="FG59" i="1"/>
  <c r="FG58" i="1"/>
  <c r="FG57" i="1"/>
  <c r="FG56" i="1"/>
  <c r="FG55" i="1"/>
  <c r="FG54" i="1"/>
  <c r="FG53" i="1"/>
  <c r="FG51" i="1"/>
  <c r="FG50" i="1"/>
  <c r="FG49" i="1"/>
  <c r="FG48" i="1"/>
  <c r="FG47" i="1"/>
  <c r="FG46" i="1"/>
  <c r="FG45" i="1"/>
  <c r="FG43" i="1"/>
  <c r="GC43" i="1" s="1"/>
  <c r="FG42" i="1"/>
  <c r="FG41" i="1"/>
  <c r="FG40" i="1"/>
  <c r="FG39" i="1"/>
  <c r="FN109" i="1"/>
  <c r="GD109" i="1" s="1"/>
  <c r="FN108" i="1"/>
  <c r="FN103" i="1"/>
  <c r="FN99" i="1"/>
  <c r="FN58" i="1"/>
  <c r="FN57" i="1"/>
  <c r="FN56" i="1"/>
  <c r="FN55" i="1"/>
  <c r="FN54" i="1"/>
  <c r="FN53" i="1"/>
  <c r="FN52" i="1"/>
  <c r="FN51" i="1"/>
  <c r="FN50" i="1"/>
  <c r="FN49" i="1"/>
  <c r="FN48" i="1"/>
  <c r="FN47" i="1"/>
  <c r="FN46" i="1"/>
  <c r="FN45" i="1"/>
  <c r="FN44" i="1"/>
  <c r="FN43" i="1"/>
  <c r="GD43" i="1" s="1"/>
  <c r="FN42" i="1"/>
  <c r="FN41" i="1"/>
  <c r="FN40" i="1"/>
  <c r="FN39" i="1"/>
  <c r="FN34" i="1"/>
  <c r="FC110" i="1"/>
  <c r="FE110" i="1"/>
  <c r="FH110" i="1"/>
  <c r="FI110" i="1"/>
  <c r="FJ110" i="1"/>
  <c r="FK110" i="1"/>
  <c r="FL110" i="1"/>
  <c r="FM110" i="1"/>
  <c r="EV110" i="1"/>
  <c r="EX110" i="1"/>
  <c r="FM20" i="1"/>
  <c r="FK20" i="1"/>
  <c r="FI20" i="1"/>
  <c r="FH20" i="1"/>
  <c r="FF20" i="1"/>
  <c r="FD20" i="1"/>
  <c r="FB20" i="1"/>
  <c r="FA20" i="1"/>
  <c r="FM16" i="1"/>
  <c r="FK16" i="1"/>
  <c r="FI16" i="1"/>
  <c r="FH16" i="1"/>
  <c r="FF16" i="1"/>
  <c r="FD16" i="1"/>
  <c r="FB16" i="1"/>
  <c r="FA16" i="1"/>
  <c r="FM17" i="1"/>
  <c r="FK17" i="1"/>
  <c r="FI17" i="1"/>
  <c r="FH17" i="1"/>
  <c r="FF17" i="1"/>
  <c r="FD17" i="1"/>
  <c r="FB17" i="1"/>
  <c r="FA17" i="1"/>
  <c r="FM25" i="1"/>
  <c r="FK25" i="1"/>
  <c r="FI25" i="1"/>
  <c r="FH25" i="1"/>
  <c r="FF25" i="1"/>
  <c r="FD25" i="1"/>
  <c r="FB25" i="1"/>
  <c r="FA25" i="1"/>
  <c r="FM26" i="1"/>
  <c r="FK26" i="1"/>
  <c r="FI26" i="1"/>
  <c r="FH26" i="1"/>
  <c r="FF26" i="1"/>
  <c r="FD26" i="1"/>
  <c r="FB26" i="1"/>
  <c r="FA26" i="1"/>
  <c r="FM23" i="1"/>
  <c r="FK23" i="1"/>
  <c r="FI23" i="1"/>
  <c r="FH23" i="1"/>
  <c r="FF23" i="1"/>
  <c r="FD23" i="1"/>
  <c r="FB23" i="1"/>
  <c r="FA23" i="1"/>
  <c r="FM24" i="1"/>
  <c r="FK24" i="1"/>
  <c r="FI24" i="1"/>
  <c r="FH24" i="1"/>
  <c r="FF24" i="1"/>
  <c r="FD24" i="1"/>
  <c r="FB24" i="1"/>
  <c r="FA24" i="1"/>
  <c r="FM21" i="1"/>
  <c r="FK21" i="1"/>
  <c r="FI21" i="1"/>
  <c r="FH21" i="1"/>
  <c r="FF21" i="1"/>
  <c r="FD21" i="1"/>
  <c r="FB21" i="1"/>
  <c r="FA21" i="1"/>
  <c r="FM22" i="1"/>
  <c r="FK22" i="1"/>
  <c r="FI22" i="1"/>
  <c r="FH22" i="1"/>
  <c r="FF22" i="1"/>
  <c r="FD22" i="1"/>
  <c r="FB22" i="1"/>
  <c r="FA22" i="1"/>
  <c r="FM14" i="1"/>
  <c r="FK14" i="1"/>
  <c r="FI14" i="1"/>
  <c r="FH14" i="1"/>
  <c r="FF14" i="1"/>
  <c r="FD14" i="1"/>
  <c r="FB14" i="1"/>
  <c r="FA14" i="1"/>
  <c r="FM15" i="1"/>
  <c r="FK15" i="1"/>
  <c r="FI15" i="1"/>
  <c r="FH15" i="1"/>
  <c r="FF15" i="1"/>
  <c r="FD15" i="1"/>
  <c r="FB15" i="1"/>
  <c r="FA15" i="1"/>
  <c r="FC27" i="1"/>
  <c r="FE27" i="1"/>
  <c r="FJ27" i="1"/>
  <c r="FL27" i="1"/>
  <c r="FM18" i="1"/>
  <c r="FI18" i="1"/>
  <c r="FH18" i="1"/>
  <c r="FK18" i="1"/>
  <c r="FF18" i="1"/>
  <c r="FA18" i="1"/>
  <c r="FB18" i="1"/>
  <c r="FD18" i="1"/>
  <c r="FA12" i="1"/>
  <c r="FB12" i="1"/>
  <c r="FC12" i="1"/>
  <c r="FD12" i="1"/>
  <c r="FE12" i="1"/>
  <c r="FF12" i="1"/>
  <c r="FG12" i="1"/>
  <c r="FH12" i="1"/>
  <c r="FI12" i="1"/>
  <c r="FJ12" i="1"/>
  <c r="FK12" i="1"/>
  <c r="FL12" i="1"/>
  <c r="FM12" i="1"/>
  <c r="FN9" i="1"/>
  <c r="FN7" i="1"/>
  <c r="FN5" i="1"/>
  <c r="EZ59" i="1"/>
  <c r="GD59" i="1" s="1"/>
  <c r="ES59" i="1"/>
  <c r="FA110" i="1" l="1"/>
  <c r="FM98" i="1"/>
  <c r="FA98" i="1"/>
  <c r="FL144" i="1"/>
  <c r="GC59" i="1"/>
  <c r="G58" i="3" s="1"/>
  <c r="FM106" i="1"/>
  <c r="FM107" i="1" s="1"/>
  <c r="FJ144" i="1"/>
  <c r="FE144" i="1"/>
  <c r="FO97" i="1"/>
  <c r="FC144" i="1"/>
  <c r="FK106" i="1"/>
  <c r="FK107" i="1" s="1"/>
  <c r="FB110" i="1"/>
  <c r="FI104" i="1"/>
  <c r="H110" i="3"/>
  <c r="H58" i="3"/>
  <c r="FG65" i="1"/>
  <c r="FG64" i="1"/>
  <c r="FN64" i="1"/>
  <c r="H116" i="3"/>
  <c r="FN110" i="1"/>
  <c r="G96" i="3"/>
  <c r="H108" i="3"/>
  <c r="FD106" i="1"/>
  <c r="FD107" i="1" s="1"/>
  <c r="E21" i="2"/>
  <c r="G116" i="3"/>
  <c r="FN100" i="1"/>
  <c r="FG100" i="1"/>
  <c r="FN38" i="1"/>
  <c r="FB106" i="1"/>
  <c r="FB107" i="1" s="1"/>
  <c r="FI106" i="1"/>
  <c r="FN60" i="1"/>
  <c r="FG60" i="1"/>
  <c r="FG108" i="1"/>
  <c r="FN86" i="1"/>
  <c r="GD86" i="1" s="1"/>
  <c r="FN199" i="1"/>
  <c r="FG199" i="1"/>
  <c r="FG200" i="1"/>
  <c r="FN200" i="1"/>
  <c r="FG201" i="1"/>
  <c r="FG196" i="1"/>
  <c r="FN196" i="1"/>
  <c r="FD98" i="1"/>
  <c r="FD110" i="1"/>
  <c r="FG80" i="1"/>
  <c r="GC80" i="1" s="1"/>
  <c r="FG76" i="1"/>
  <c r="FN76" i="1"/>
  <c r="FG77" i="1"/>
  <c r="FN77" i="1"/>
  <c r="FG88" i="1"/>
  <c r="GC88" i="1" s="1"/>
  <c r="FN88" i="1"/>
  <c r="GD88" i="1" s="1"/>
  <c r="FG86" i="1"/>
  <c r="GC86" i="1" s="1"/>
  <c r="FN12" i="1"/>
  <c r="FG74" i="1"/>
  <c r="FG90" i="1"/>
  <c r="GC90" i="1" s="1"/>
  <c r="FG105" i="1"/>
  <c r="FN105" i="1"/>
  <c r="FN102" i="1"/>
  <c r="FN201" i="1"/>
  <c r="FG195" i="1"/>
  <c r="FA104" i="1"/>
  <c r="FG104" i="1" s="1"/>
  <c r="FN195" i="1"/>
  <c r="FH104" i="1"/>
  <c r="FK98" i="1"/>
  <c r="FN18" i="1"/>
  <c r="FB27" i="1"/>
  <c r="FN80" i="1"/>
  <c r="GD80" i="1" s="1"/>
  <c r="FF110" i="1"/>
  <c r="FG82" i="1"/>
  <c r="GC82" i="1" s="1"/>
  <c r="FN82" i="1"/>
  <c r="GD82" i="1" s="1"/>
  <c r="FG79" i="1"/>
  <c r="GC79" i="1" s="1"/>
  <c r="FN79" i="1"/>
  <c r="GD79" i="1" s="1"/>
  <c r="FG84" i="1"/>
  <c r="GC84" i="1" s="1"/>
  <c r="FN84" i="1"/>
  <c r="GD84" i="1" s="1"/>
  <c r="FG81" i="1"/>
  <c r="GC81" i="1" s="1"/>
  <c r="FN81" i="1"/>
  <c r="GD81" i="1" s="1"/>
  <c r="FG78" i="1"/>
  <c r="GC78" i="1" s="1"/>
  <c r="FN78" i="1"/>
  <c r="GD78" i="1" s="1"/>
  <c r="FA106" i="1"/>
  <c r="FN65" i="1"/>
  <c r="FG66" i="1"/>
  <c r="FN66" i="1"/>
  <c r="FG67" i="1"/>
  <c r="FN67" i="1"/>
  <c r="FG68" i="1"/>
  <c r="FN68" i="1"/>
  <c r="FG69" i="1"/>
  <c r="FN69" i="1"/>
  <c r="FG18" i="1"/>
  <c r="FM27" i="1"/>
  <c r="FG73" i="1"/>
  <c r="FN73" i="1"/>
  <c r="FG83" i="1"/>
  <c r="GC83" i="1" s="1"/>
  <c r="FN83" i="1"/>
  <c r="GD83" i="1" s="1"/>
  <c r="FG62" i="1"/>
  <c r="FN62" i="1"/>
  <c r="FN74" i="1"/>
  <c r="FG63" i="1"/>
  <c r="FN63" i="1"/>
  <c r="FG75" i="1"/>
  <c r="FN75" i="1"/>
  <c r="FG85" i="1"/>
  <c r="GC85" i="1" s="1"/>
  <c r="FN85" i="1"/>
  <c r="GD85" i="1" s="1"/>
  <c r="FN90" i="1"/>
  <c r="GD90" i="1" s="1"/>
  <c r="FG89" i="1"/>
  <c r="GC89" i="1" s="1"/>
  <c r="FN89" i="1"/>
  <c r="GD89" i="1" s="1"/>
  <c r="FG87" i="1"/>
  <c r="GC87" i="1" s="1"/>
  <c r="FN87" i="1"/>
  <c r="GD87" i="1" s="1"/>
  <c r="FG70" i="1"/>
  <c r="FN70" i="1"/>
  <c r="FG71" i="1"/>
  <c r="FN71" i="1"/>
  <c r="FG92" i="1"/>
  <c r="GC92" i="1" s="1"/>
  <c r="FN92" i="1"/>
  <c r="GD92" i="1" s="1"/>
  <c r="FG91" i="1"/>
  <c r="GC91" i="1" s="1"/>
  <c r="FN91" i="1"/>
  <c r="GD91" i="1" s="1"/>
  <c r="FG61" i="1"/>
  <c r="FN61" i="1"/>
  <c r="FG94" i="1"/>
  <c r="GC94" i="1" s="1"/>
  <c r="FN94" i="1"/>
  <c r="GD94" i="1" s="1"/>
  <c r="FG93" i="1"/>
  <c r="GC93" i="1" s="1"/>
  <c r="FN93" i="1"/>
  <c r="GD93" i="1" s="1"/>
  <c r="FG190" i="1"/>
  <c r="FN190" i="1"/>
  <c r="FA101" i="1"/>
  <c r="FH101" i="1"/>
  <c r="FN101" i="1" s="1"/>
  <c r="FF107" i="1"/>
  <c r="FG102" i="1"/>
  <c r="FG72" i="1"/>
  <c r="FF98" i="1"/>
  <c r="FH98" i="1"/>
  <c r="FI98" i="1"/>
  <c r="FB98" i="1"/>
  <c r="FN72" i="1"/>
  <c r="FG109" i="1"/>
  <c r="GC109" i="1" s="1"/>
  <c r="FD27" i="1"/>
  <c r="FN20" i="1"/>
  <c r="FG15" i="1"/>
  <c r="FG14" i="1"/>
  <c r="FN14" i="1"/>
  <c r="FG22" i="1"/>
  <c r="FN22" i="1"/>
  <c r="FG21" i="1"/>
  <c r="FN21" i="1"/>
  <c r="FG24" i="1"/>
  <c r="FN24" i="1"/>
  <c r="FG23" i="1"/>
  <c r="FN23" i="1"/>
  <c r="FG26" i="1"/>
  <c r="FN26" i="1"/>
  <c r="FG25" i="1"/>
  <c r="FN25" i="1"/>
  <c r="FG17" i="1"/>
  <c r="FN17" i="1"/>
  <c r="FG16" i="1"/>
  <c r="FN16" i="1"/>
  <c r="FG20" i="1"/>
  <c r="FF27" i="1"/>
  <c r="FK27" i="1"/>
  <c r="FH27" i="1"/>
  <c r="FI27" i="1"/>
  <c r="FA27" i="1"/>
  <c r="FN15" i="1"/>
  <c r="E98" i="1"/>
  <c r="F98" i="1"/>
  <c r="G98" i="1"/>
  <c r="H98" i="1"/>
  <c r="I98" i="1"/>
  <c r="J98" i="1"/>
  <c r="K98" i="1"/>
  <c r="L98" i="1"/>
  <c r="M98" i="1"/>
  <c r="N98" i="1"/>
  <c r="O98" i="1"/>
  <c r="P98" i="1"/>
  <c r="Q98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S98" i="1"/>
  <c r="AT98" i="1"/>
  <c r="AU98" i="1"/>
  <c r="AV98" i="1"/>
  <c r="AW98" i="1"/>
  <c r="AX98" i="1"/>
  <c r="AZ98" i="1"/>
  <c r="BA98" i="1"/>
  <c r="BB98" i="1"/>
  <c r="BC98" i="1"/>
  <c r="BD98" i="1"/>
  <c r="BE98" i="1"/>
  <c r="BG98" i="1"/>
  <c r="BH98" i="1"/>
  <c r="BI98" i="1"/>
  <c r="BJ98" i="1"/>
  <c r="BK98" i="1"/>
  <c r="BL98" i="1"/>
  <c r="BN98" i="1"/>
  <c r="BO98" i="1"/>
  <c r="BP98" i="1"/>
  <c r="BQ98" i="1"/>
  <c r="BR98" i="1"/>
  <c r="BS98" i="1"/>
  <c r="BU98" i="1"/>
  <c r="BV98" i="1"/>
  <c r="BW98" i="1"/>
  <c r="BX98" i="1"/>
  <c r="BY98" i="1"/>
  <c r="BZ98" i="1"/>
  <c r="CB98" i="1"/>
  <c r="CC98" i="1"/>
  <c r="CD98" i="1"/>
  <c r="CE98" i="1"/>
  <c r="CF98" i="1"/>
  <c r="CG98" i="1"/>
  <c r="CP157" i="1"/>
  <c r="DD157" i="1"/>
  <c r="DR157" i="1"/>
  <c r="EF157" i="1"/>
  <c r="ET157" i="1"/>
  <c r="EL52" i="1"/>
  <c r="EY108" i="1"/>
  <c r="EY110" i="1" s="1"/>
  <c r="EU108" i="1"/>
  <c r="EU110" i="1" s="1"/>
  <c r="EY99" i="1"/>
  <c r="EU99" i="1"/>
  <c r="ET103" i="1"/>
  <c r="EZ103" i="1" s="1"/>
  <c r="DI57" i="1" a="1"/>
  <c r="DI57" i="1" s="1"/>
  <c r="DE57" i="1" a="1"/>
  <c r="DE57" i="1" s="1"/>
  <c r="DD57" i="1" a="1"/>
  <c r="DD57" i="1" s="1"/>
  <c r="DB57" i="1" a="1"/>
  <c r="DB57" i="1" s="1"/>
  <c r="CX57" i="1" a="1"/>
  <c r="CX57" i="1" s="1"/>
  <c r="CW57" i="1" a="1"/>
  <c r="CW57" i="1" s="1"/>
  <c r="CU57" i="1" a="1"/>
  <c r="CU57" i="1" s="1"/>
  <c r="CQ57" i="1" a="1"/>
  <c r="CQ57" i="1" s="1"/>
  <c r="CP57" i="1" a="1"/>
  <c r="CP57" i="1" s="1"/>
  <c r="CN57" i="1" a="1"/>
  <c r="CN57" i="1" s="1"/>
  <c r="CJ57" i="1" a="1"/>
  <c r="CJ57" i="1" s="1"/>
  <c r="CI57" i="1" a="1"/>
  <c r="CI57" i="1" s="1"/>
  <c r="DI56" i="1"/>
  <c r="DE56" i="1"/>
  <c r="DD56" i="1"/>
  <c r="DB56" i="1"/>
  <c r="CX56" i="1"/>
  <c r="CW56" i="1"/>
  <c r="CU56" i="1"/>
  <c r="CQ56" i="1"/>
  <c r="CP56" i="1"/>
  <c r="CN56" i="1"/>
  <c r="CJ56" i="1"/>
  <c r="CI56" i="1"/>
  <c r="CG56" i="1"/>
  <c r="CC56" i="1"/>
  <c r="CB56" i="1"/>
  <c r="BZ56" i="1"/>
  <c r="BV56" i="1"/>
  <c r="BU56" i="1"/>
  <c r="DI55" i="1"/>
  <c r="DE55" i="1"/>
  <c r="DD55" i="1"/>
  <c r="DB55" i="1"/>
  <c r="CX55" i="1"/>
  <c r="CW55" i="1"/>
  <c r="CU55" i="1"/>
  <c r="CQ55" i="1"/>
  <c r="CP55" i="1"/>
  <c r="CN55" i="1"/>
  <c r="CJ55" i="1"/>
  <c r="CI55" i="1"/>
  <c r="CG55" i="1"/>
  <c r="CC55" i="1"/>
  <c r="CB55" i="1"/>
  <c r="BZ55" i="1"/>
  <c r="BV55" i="1"/>
  <c r="BU55" i="1"/>
  <c r="DI54" i="1"/>
  <c r="DE54" i="1"/>
  <c r="DD54" i="1"/>
  <c r="DB54" i="1"/>
  <c r="CX54" i="1"/>
  <c r="CW54" i="1"/>
  <c r="CU54" i="1"/>
  <c r="CQ54" i="1"/>
  <c r="CP54" i="1"/>
  <c r="CN54" i="1"/>
  <c r="CJ54" i="1"/>
  <c r="CI54" i="1"/>
  <c r="DI51" i="1"/>
  <c r="DE51" i="1"/>
  <c r="DD51" i="1"/>
  <c r="DB51" i="1"/>
  <c r="CX51" i="1"/>
  <c r="CW51" i="1"/>
  <c r="CU51" i="1"/>
  <c r="CQ51" i="1"/>
  <c r="CP51" i="1"/>
  <c r="CN51" i="1"/>
  <c r="CJ51" i="1"/>
  <c r="CI51" i="1"/>
  <c r="CG51" i="1"/>
  <c r="CC51" i="1"/>
  <c r="CB51" i="1"/>
  <c r="BZ51" i="1"/>
  <c r="BV51" i="1"/>
  <c r="BU51" i="1"/>
  <c r="DI53" i="1"/>
  <c r="DE53" i="1"/>
  <c r="DD53" i="1"/>
  <c r="DB53" i="1"/>
  <c r="CX53" i="1"/>
  <c r="CW53" i="1"/>
  <c r="CU53" i="1"/>
  <c r="CQ53" i="1"/>
  <c r="CP53" i="1"/>
  <c r="CN53" i="1"/>
  <c r="CJ53" i="1"/>
  <c r="CI53" i="1"/>
  <c r="CG53" i="1"/>
  <c r="CC53" i="1"/>
  <c r="CB53" i="1"/>
  <c r="BZ53" i="1"/>
  <c r="BV53" i="1"/>
  <c r="BU53" i="1"/>
  <c r="DX52" i="1"/>
  <c r="GD157" i="1" l="1"/>
  <c r="FD144" i="1"/>
  <c r="FF144" i="1"/>
  <c r="FO98" i="1"/>
  <c r="FO144" i="1" s="1"/>
  <c r="FP97" i="1"/>
  <c r="FG27" i="1"/>
  <c r="FM144" i="1"/>
  <c r="FK144" i="1"/>
  <c r="FB144" i="1"/>
  <c r="FN106" i="1"/>
  <c r="FN104" i="1"/>
  <c r="F21" i="2"/>
  <c r="FI107" i="1"/>
  <c r="FI144" i="1" s="1"/>
  <c r="G88" i="3"/>
  <c r="G84" i="3"/>
  <c r="H82" i="3"/>
  <c r="H77" i="3"/>
  <c r="H81" i="3"/>
  <c r="H79" i="3"/>
  <c r="H89" i="3"/>
  <c r="G77" i="3"/>
  <c r="G83" i="3"/>
  <c r="G81" i="3"/>
  <c r="G89" i="3"/>
  <c r="H87" i="3"/>
  <c r="G87" i="3"/>
  <c r="G108" i="3"/>
  <c r="G92" i="3"/>
  <c r="G91" i="3"/>
  <c r="H83" i="3"/>
  <c r="G85" i="3"/>
  <c r="H93" i="3"/>
  <c r="H90" i="3"/>
  <c r="H86" i="3"/>
  <c r="G82" i="3"/>
  <c r="G93" i="3"/>
  <c r="G90" i="3"/>
  <c r="G86" i="3"/>
  <c r="H80" i="3"/>
  <c r="H78" i="3"/>
  <c r="H92" i="3"/>
  <c r="H91" i="3"/>
  <c r="H88" i="3"/>
  <c r="H84" i="3"/>
  <c r="FG106" i="1"/>
  <c r="G80" i="3"/>
  <c r="G78" i="3"/>
  <c r="G79" i="3"/>
  <c r="H85" i="3"/>
  <c r="FG110" i="1"/>
  <c r="FG98" i="1"/>
  <c r="FA107" i="1"/>
  <c r="FA144" i="1" s="1"/>
  <c r="FG101" i="1"/>
  <c r="FN98" i="1"/>
  <c r="FH107" i="1"/>
  <c r="FH144" i="1" s="1"/>
  <c r="FN27" i="1"/>
  <c r="DJ55" i="1"/>
  <c r="DC55" i="1"/>
  <c r="CV51" i="1"/>
  <c r="DC54" i="1"/>
  <c r="CH55" i="1"/>
  <c r="CV56" i="1"/>
  <c r="CV57" i="1"/>
  <c r="CH56" i="1"/>
  <c r="DC53" i="1"/>
  <c r="CV54" i="1"/>
  <c r="DJ54" i="1"/>
  <c r="CH53" i="1"/>
  <c r="CV53" i="1"/>
  <c r="CH51" i="1"/>
  <c r="DJ51" i="1"/>
  <c r="DC56" i="1"/>
  <c r="DC57" i="1"/>
  <c r="DJ53" i="1"/>
  <c r="DC51" i="1"/>
  <c r="CV55" i="1"/>
  <c r="DJ56" i="1"/>
  <c r="DJ57" i="1"/>
  <c r="ER52" i="1"/>
  <c r="EN52" i="1"/>
  <c r="EM52" i="1"/>
  <c r="CN52" i="1"/>
  <c r="CJ52" i="1"/>
  <c r="CI52" i="1"/>
  <c r="BZ52" i="1"/>
  <c r="BV52" i="1"/>
  <c r="BU52" i="1"/>
  <c r="ED52" i="1"/>
  <c r="DZ52" i="1"/>
  <c r="DY52" i="1"/>
  <c r="DP52" i="1"/>
  <c r="DL52" i="1"/>
  <c r="DK52" i="1"/>
  <c r="DB52" i="1"/>
  <c r="CX52" i="1"/>
  <c r="CW52" i="1"/>
  <c r="BS51" i="1"/>
  <c r="BO51" i="1"/>
  <c r="BN51" i="1"/>
  <c r="BL51" i="1"/>
  <c r="BH51" i="1"/>
  <c r="BG51" i="1"/>
  <c r="DI50" i="1"/>
  <c r="DE50" i="1"/>
  <c r="DD50" i="1"/>
  <c r="DB50" i="1"/>
  <c r="CX50" i="1"/>
  <c r="CW50" i="1"/>
  <c r="CU50" i="1"/>
  <c r="CQ50" i="1"/>
  <c r="CP50" i="1"/>
  <c r="CN50" i="1"/>
  <c r="CJ50" i="1"/>
  <c r="CI50" i="1"/>
  <c r="CG50" i="1"/>
  <c r="CC50" i="1"/>
  <c r="CB50" i="1"/>
  <c r="BZ50" i="1"/>
  <c r="BV50" i="1"/>
  <c r="BU50" i="1"/>
  <c r="BS50" i="1"/>
  <c r="BO50" i="1"/>
  <c r="BN50" i="1"/>
  <c r="BL50" i="1"/>
  <c r="BH50" i="1"/>
  <c r="BG50" i="1"/>
  <c r="DI49" i="1"/>
  <c r="DE49" i="1"/>
  <c r="DD49" i="1"/>
  <c r="DB49" i="1"/>
  <c r="CX49" i="1"/>
  <c r="CW49" i="1"/>
  <c r="CU49" i="1"/>
  <c r="CQ49" i="1"/>
  <c r="CP49" i="1"/>
  <c r="CN49" i="1"/>
  <c r="CJ49" i="1"/>
  <c r="CI49" i="1"/>
  <c r="CG49" i="1"/>
  <c r="CC49" i="1"/>
  <c r="CB49" i="1"/>
  <c r="BZ49" i="1"/>
  <c r="BV49" i="1"/>
  <c r="BU49" i="1"/>
  <c r="BS49" i="1"/>
  <c r="BO49" i="1"/>
  <c r="BN49" i="1"/>
  <c r="BL49" i="1"/>
  <c r="BH49" i="1"/>
  <c r="BG49" i="1"/>
  <c r="DI48" i="1"/>
  <c r="DE48" i="1"/>
  <c r="DD48" i="1"/>
  <c r="DB48" i="1"/>
  <c r="CX48" i="1"/>
  <c r="CW48" i="1"/>
  <c r="CU48" i="1"/>
  <c r="CQ48" i="1"/>
  <c r="CP48" i="1"/>
  <c r="CN48" i="1"/>
  <c r="CJ48" i="1"/>
  <c r="CI48" i="1"/>
  <c r="CG48" i="1"/>
  <c r="CC48" i="1"/>
  <c r="CB48" i="1"/>
  <c r="BZ48" i="1"/>
  <c r="BV48" i="1"/>
  <c r="BU48" i="1"/>
  <c r="BS48" i="1"/>
  <c r="BO48" i="1"/>
  <c r="BN48" i="1"/>
  <c r="BL48" i="1"/>
  <c r="BH48" i="1"/>
  <c r="BG48" i="1"/>
  <c r="DI45" i="1"/>
  <c r="DE45" i="1"/>
  <c r="DD45" i="1"/>
  <c r="DB45" i="1"/>
  <c r="CX45" i="1"/>
  <c r="CW45" i="1"/>
  <c r="CU45" i="1"/>
  <c r="CQ45" i="1"/>
  <c r="CP45" i="1"/>
  <c r="CN45" i="1"/>
  <c r="CJ45" i="1"/>
  <c r="CI45" i="1"/>
  <c r="CG45" i="1"/>
  <c r="CC45" i="1"/>
  <c r="CB45" i="1"/>
  <c r="BZ45" i="1"/>
  <c r="BV45" i="1"/>
  <c r="BU45" i="1"/>
  <c r="BS45" i="1"/>
  <c r="BO45" i="1"/>
  <c r="BN45" i="1"/>
  <c r="BL45" i="1"/>
  <c r="BH45" i="1"/>
  <c r="BG45" i="1"/>
  <c r="BE45" i="1"/>
  <c r="BA45" i="1"/>
  <c r="AZ45" i="1"/>
  <c r="AX45" i="1"/>
  <c r="AT45" i="1"/>
  <c r="AS45" i="1"/>
  <c r="DI46" i="1"/>
  <c r="DE46" i="1"/>
  <c r="DD46" i="1"/>
  <c r="DB46" i="1"/>
  <c r="CX46" i="1"/>
  <c r="CW46" i="1"/>
  <c r="CU46" i="1"/>
  <c r="CQ46" i="1"/>
  <c r="CP46" i="1"/>
  <c r="CN46" i="1"/>
  <c r="CJ46" i="1"/>
  <c r="CI46" i="1"/>
  <c r="CG46" i="1"/>
  <c r="CC46" i="1"/>
  <c r="CB46" i="1"/>
  <c r="BZ46" i="1"/>
  <c r="BV46" i="1"/>
  <c r="BU46" i="1"/>
  <c r="BS46" i="1"/>
  <c r="BO46" i="1"/>
  <c r="BN46" i="1"/>
  <c r="BL46" i="1"/>
  <c r="BH46" i="1"/>
  <c r="BG46" i="1"/>
  <c r="BE46" i="1"/>
  <c r="BA46" i="1"/>
  <c r="AZ46" i="1"/>
  <c r="AX46" i="1"/>
  <c r="AT46" i="1"/>
  <c r="AS46" i="1"/>
  <c r="DI44" i="1"/>
  <c r="DE44" i="1"/>
  <c r="DD44" i="1"/>
  <c r="DB44" i="1"/>
  <c r="CX44" i="1"/>
  <c r="CW44" i="1"/>
  <c r="CU44" i="1"/>
  <c r="CQ44" i="1"/>
  <c r="CP44" i="1"/>
  <c r="CN44" i="1"/>
  <c r="CJ44" i="1"/>
  <c r="CI44" i="1"/>
  <c r="CG44" i="1"/>
  <c r="CC44" i="1"/>
  <c r="CB44" i="1"/>
  <c r="BZ44" i="1"/>
  <c r="BV44" i="1"/>
  <c r="BU44" i="1"/>
  <c r="BS44" i="1"/>
  <c r="BO44" i="1"/>
  <c r="BN44" i="1"/>
  <c r="BL44" i="1"/>
  <c r="BH44" i="1"/>
  <c r="BG44" i="1"/>
  <c r="BE44" i="1"/>
  <c r="BA44" i="1"/>
  <c r="AZ44" i="1"/>
  <c r="AX44" i="1"/>
  <c r="AT44" i="1"/>
  <c r="AS44" i="1"/>
  <c r="AR44" i="1"/>
  <c r="AQ44" i="1"/>
  <c r="AP44" i="1"/>
  <c r="AO44" i="1"/>
  <c r="DI42" i="1"/>
  <c r="DF42" i="1"/>
  <c r="DE42" i="1"/>
  <c r="DD42" i="1"/>
  <c r="DB42" i="1"/>
  <c r="CY42" i="1"/>
  <c r="CX42" i="1"/>
  <c r="CW42" i="1"/>
  <c r="DI41" i="1"/>
  <c r="DE41" i="1"/>
  <c r="DD41" i="1"/>
  <c r="DB41" i="1"/>
  <c r="CX41" i="1"/>
  <c r="CW41" i="1"/>
  <c r="DD40" i="1"/>
  <c r="DI40" i="1"/>
  <c r="DE40" i="1"/>
  <c r="DB40" i="1"/>
  <c r="CX40" i="1"/>
  <c r="CW40" i="1"/>
  <c r="CU40" i="1"/>
  <c r="CQ40" i="1"/>
  <c r="CP40" i="1"/>
  <c r="CN40" i="1"/>
  <c r="CJ40" i="1"/>
  <c r="CI40" i="1"/>
  <c r="CG40" i="1"/>
  <c r="CC40" i="1"/>
  <c r="CB40" i="1"/>
  <c r="BZ40" i="1"/>
  <c r="BV40" i="1"/>
  <c r="BU40" i="1"/>
  <c r="BS40" i="1"/>
  <c r="BO40" i="1"/>
  <c r="BN40" i="1"/>
  <c r="BL40" i="1"/>
  <c r="BH40" i="1"/>
  <c r="BG40" i="1"/>
  <c r="BE40" i="1"/>
  <c r="BA40" i="1"/>
  <c r="AZ40" i="1"/>
  <c r="AS40" i="1"/>
  <c r="AX40" i="1"/>
  <c r="AT40" i="1"/>
  <c r="AR40" i="1"/>
  <c r="AQ40" i="1"/>
  <c r="AP40" i="1"/>
  <c r="AO40" i="1"/>
  <c r="AN40" i="1"/>
  <c r="AM40" i="1"/>
  <c r="AL40" i="1"/>
  <c r="AK40" i="1"/>
  <c r="AJ40" i="1"/>
  <c r="AI40" i="1"/>
  <c r="AH40" i="1"/>
  <c r="AG40" i="1"/>
  <c r="AF40" i="1"/>
  <c r="AE40" i="1"/>
  <c r="AD40" i="1"/>
  <c r="AC40" i="1"/>
  <c r="AB40" i="1"/>
  <c r="AA40" i="1"/>
  <c r="DI39" i="1"/>
  <c r="DE39" i="1"/>
  <c r="DD39" i="1"/>
  <c r="DB39" i="1"/>
  <c r="CX39" i="1"/>
  <c r="CW39" i="1"/>
  <c r="CU39" i="1"/>
  <c r="CQ39" i="1"/>
  <c r="CP39" i="1"/>
  <c r="CN39" i="1"/>
  <c r="CJ39" i="1"/>
  <c r="CI39" i="1"/>
  <c r="CG39" i="1"/>
  <c r="CC39" i="1"/>
  <c r="CB39" i="1"/>
  <c r="BZ39" i="1"/>
  <c r="BV39" i="1"/>
  <c r="BU39" i="1"/>
  <c r="BS39" i="1"/>
  <c r="BO39" i="1"/>
  <c r="BN39" i="1"/>
  <c r="BL39" i="1"/>
  <c r="BH39" i="1"/>
  <c r="BG39" i="1"/>
  <c r="BE39" i="1"/>
  <c r="BA39" i="1"/>
  <c r="AZ39" i="1"/>
  <c r="AX39" i="1"/>
  <c r="AT39" i="1"/>
  <c r="AS39" i="1"/>
  <c r="AR39" i="1"/>
  <c r="AQ39" i="1"/>
  <c r="AP39" i="1"/>
  <c r="AO39" i="1"/>
  <c r="AN39" i="1"/>
  <c r="AM39" i="1"/>
  <c r="AL39" i="1"/>
  <c r="AK39" i="1"/>
  <c r="AJ39" i="1"/>
  <c r="AI39" i="1"/>
  <c r="AH39" i="1"/>
  <c r="AG39" i="1"/>
  <c r="AF39" i="1"/>
  <c r="AE39" i="1"/>
  <c r="AD39" i="1"/>
  <c r="AC39" i="1"/>
  <c r="AB39" i="1"/>
  <c r="AA39" i="1"/>
  <c r="DP58" i="1"/>
  <c r="DL58" i="1"/>
  <c r="DK58" i="1"/>
  <c r="DP57" i="1"/>
  <c r="DL57" i="1"/>
  <c r="DK57" i="1"/>
  <c r="DP56" i="1"/>
  <c r="DO56" i="1"/>
  <c r="DN56" i="1"/>
  <c r="DM56" i="1"/>
  <c r="DL56" i="1"/>
  <c r="DK56" i="1"/>
  <c r="DP55" i="1"/>
  <c r="DL55" i="1"/>
  <c r="DK55" i="1"/>
  <c r="DL54" i="1"/>
  <c r="DK54" i="1"/>
  <c r="DP53" i="1"/>
  <c r="DL53" i="1"/>
  <c r="DK53" i="1"/>
  <c r="DP51" i="1"/>
  <c r="DL51" i="1"/>
  <c r="DK51" i="1"/>
  <c r="DP50" i="1"/>
  <c r="DL50" i="1"/>
  <c r="DK50" i="1"/>
  <c r="DP49" i="1"/>
  <c r="DL49" i="1"/>
  <c r="DK49" i="1"/>
  <c r="DP48" i="1"/>
  <c r="DL48" i="1"/>
  <c r="DK48" i="1"/>
  <c r="DP47" i="1"/>
  <c r="DL47" i="1"/>
  <c r="DK47" i="1"/>
  <c r="DP46" i="1"/>
  <c r="DL46" i="1"/>
  <c r="DK46" i="1"/>
  <c r="DP45" i="1"/>
  <c r="DL45" i="1"/>
  <c r="DK45" i="1"/>
  <c r="DP44" i="1"/>
  <c r="DL44" i="1"/>
  <c r="DK44" i="1"/>
  <c r="DP42" i="1"/>
  <c r="DO42" i="1"/>
  <c r="DN42" i="1"/>
  <c r="DM42" i="1"/>
  <c r="DL42" i="1"/>
  <c r="DK42" i="1"/>
  <c r="DP41" i="1"/>
  <c r="DL41" i="1"/>
  <c r="DK41" i="1"/>
  <c r="DP40" i="1"/>
  <c r="DL40" i="1"/>
  <c r="DK40" i="1"/>
  <c r="DP39" i="1"/>
  <c r="DL39" i="1"/>
  <c r="DK39" i="1"/>
  <c r="DW58" i="1"/>
  <c r="DS58" i="1"/>
  <c r="DR58" i="1"/>
  <c r="DW57" i="1"/>
  <c r="DS57" i="1"/>
  <c r="DR57" i="1"/>
  <c r="DW56" i="1"/>
  <c r="DV56" i="1"/>
  <c r="DU56" i="1"/>
  <c r="DT56" i="1"/>
  <c r="DS56" i="1"/>
  <c r="DR56" i="1"/>
  <c r="DW55" i="1"/>
  <c r="DS55" i="1"/>
  <c r="DR55" i="1"/>
  <c r="DW54" i="1"/>
  <c r="DS54" i="1"/>
  <c r="DR54" i="1"/>
  <c r="DW53" i="1"/>
  <c r="DS53" i="1"/>
  <c r="DR53" i="1"/>
  <c r="DW51" i="1"/>
  <c r="DS51" i="1"/>
  <c r="DR51" i="1"/>
  <c r="DW50" i="1"/>
  <c r="DS50" i="1"/>
  <c r="DR50" i="1"/>
  <c r="DW49" i="1"/>
  <c r="DS49" i="1"/>
  <c r="DR49" i="1"/>
  <c r="DW48" i="1"/>
  <c r="DS48" i="1"/>
  <c r="DR48" i="1"/>
  <c r="DS47" i="1"/>
  <c r="DR47" i="1"/>
  <c r="DW46" i="1"/>
  <c r="DS46" i="1"/>
  <c r="DR46" i="1"/>
  <c r="DW45" i="1"/>
  <c r="DS45" i="1"/>
  <c r="DR45" i="1"/>
  <c r="DW44" i="1"/>
  <c r="DS44" i="1"/>
  <c r="DR44" i="1"/>
  <c r="DW42" i="1"/>
  <c r="DV42" i="1"/>
  <c r="DU42" i="1"/>
  <c r="DT42" i="1"/>
  <c r="DS42" i="1"/>
  <c r="DR42" i="1"/>
  <c r="DW41" i="1"/>
  <c r="DS41" i="1"/>
  <c r="DR41" i="1"/>
  <c r="DW40" i="1"/>
  <c r="DS40" i="1"/>
  <c r="DR40" i="1"/>
  <c r="DW39" i="1"/>
  <c r="DS39" i="1"/>
  <c r="DR39" i="1"/>
  <c r="ED47" i="1"/>
  <c r="ED41" i="1"/>
  <c r="ED58" i="1"/>
  <c r="DZ58" i="1"/>
  <c r="DY58" i="1"/>
  <c r="ED57" i="1"/>
  <c r="DZ57" i="1"/>
  <c r="DY57" i="1"/>
  <c r="ED56" i="1"/>
  <c r="EC56" i="1"/>
  <c r="EB56" i="1"/>
  <c r="EA56" i="1"/>
  <c r="DZ56" i="1"/>
  <c r="DY56" i="1"/>
  <c r="ED55" i="1"/>
  <c r="DZ55" i="1"/>
  <c r="DY55" i="1"/>
  <c r="ED54" i="1"/>
  <c r="DZ54" i="1"/>
  <c r="DY54" i="1"/>
  <c r="ED53" i="1"/>
  <c r="DZ53" i="1"/>
  <c r="DY53" i="1"/>
  <c r="ED51" i="1"/>
  <c r="DZ51" i="1"/>
  <c r="DY51" i="1"/>
  <c r="ED50" i="1"/>
  <c r="DZ50" i="1"/>
  <c r="DY50" i="1"/>
  <c r="ED49" i="1"/>
  <c r="DZ49" i="1"/>
  <c r="DY49" i="1"/>
  <c r="ED48" i="1"/>
  <c r="DZ48" i="1"/>
  <c r="DY48" i="1"/>
  <c r="DZ47" i="1"/>
  <c r="DY47" i="1"/>
  <c r="ED46" i="1"/>
  <c r="DZ46" i="1"/>
  <c r="DY46" i="1"/>
  <c r="ED45" i="1"/>
  <c r="DZ45" i="1"/>
  <c r="DY45" i="1"/>
  <c r="ED44" i="1"/>
  <c r="DZ44" i="1"/>
  <c r="DY44" i="1"/>
  <c r="ED42" i="1"/>
  <c r="EC42" i="1"/>
  <c r="EB42" i="1"/>
  <c r="EA42" i="1"/>
  <c r="DZ42" i="1"/>
  <c r="DY42" i="1"/>
  <c r="DZ41" i="1"/>
  <c r="DY41" i="1"/>
  <c r="ED40" i="1"/>
  <c r="DZ40" i="1"/>
  <c r="DY40" i="1"/>
  <c r="ED39" i="1"/>
  <c r="DZ39" i="1"/>
  <c r="DY39" i="1"/>
  <c r="EK58" i="1"/>
  <c r="EG58" i="1"/>
  <c r="EF58" i="1"/>
  <c r="EK57" i="1"/>
  <c r="EG57" i="1"/>
  <c r="EF57" i="1"/>
  <c r="EK56" i="1"/>
  <c r="EJ56" i="1"/>
  <c r="EI56" i="1"/>
  <c r="EH56" i="1"/>
  <c r="EG56" i="1"/>
  <c r="EF56" i="1"/>
  <c r="EK55" i="1"/>
  <c r="EG55" i="1"/>
  <c r="EF55" i="1"/>
  <c r="EK54" i="1"/>
  <c r="EG54" i="1"/>
  <c r="EF54" i="1"/>
  <c r="EK53" i="1"/>
  <c r="EG53" i="1"/>
  <c r="EF53" i="1"/>
  <c r="EK51" i="1"/>
  <c r="EG51" i="1"/>
  <c r="EF51" i="1"/>
  <c r="EK50" i="1"/>
  <c r="EG50" i="1"/>
  <c r="EF50" i="1"/>
  <c r="EK49" i="1"/>
  <c r="EG49" i="1"/>
  <c r="EF49" i="1"/>
  <c r="EK48" i="1"/>
  <c r="EG48" i="1"/>
  <c r="EF48" i="1"/>
  <c r="EG47" i="1"/>
  <c r="EF47" i="1"/>
  <c r="EK46" i="1"/>
  <c r="EG46" i="1"/>
  <c r="EF46" i="1"/>
  <c r="EK45" i="1"/>
  <c r="EG45" i="1"/>
  <c r="EF45" i="1"/>
  <c r="EK44" i="1"/>
  <c r="EG44" i="1"/>
  <c r="EF44" i="1"/>
  <c r="EK42" i="1"/>
  <c r="EJ42" i="1"/>
  <c r="EI42" i="1"/>
  <c r="EH42" i="1"/>
  <c r="EG42" i="1"/>
  <c r="EF42" i="1"/>
  <c r="EK41" i="1"/>
  <c r="EG41" i="1"/>
  <c r="EF41" i="1"/>
  <c r="EK40" i="1"/>
  <c r="EG40" i="1"/>
  <c r="EF40" i="1"/>
  <c r="EK39" i="1"/>
  <c r="EG39" i="1"/>
  <c r="EF39" i="1"/>
  <c r="EY44" i="1"/>
  <c r="EU44" i="1"/>
  <c r="ET44" i="1"/>
  <c r="ER44" i="1"/>
  <c r="EN44" i="1"/>
  <c r="EM44" i="1"/>
  <c r="EY39" i="1"/>
  <c r="EL97" i="1"/>
  <c r="CU26" i="1"/>
  <c r="CS26" i="1"/>
  <c r="CQ26" i="1"/>
  <c r="CP26" i="1"/>
  <c r="CN26" i="1"/>
  <c r="CL26" i="1"/>
  <c r="CJ26" i="1"/>
  <c r="CI26" i="1"/>
  <c r="CU25" i="1"/>
  <c r="CS25" i="1"/>
  <c r="CQ25" i="1"/>
  <c r="CP25" i="1"/>
  <c r="CN25" i="1"/>
  <c r="CL25" i="1"/>
  <c r="CJ25" i="1"/>
  <c r="CI25" i="1"/>
  <c r="CU23" i="1"/>
  <c r="CS23" i="1"/>
  <c r="CQ23" i="1"/>
  <c r="CP23" i="1"/>
  <c r="CN23" i="1"/>
  <c r="CL23" i="1"/>
  <c r="CJ23" i="1"/>
  <c r="CI23" i="1"/>
  <c r="CU22" i="1"/>
  <c r="CS22" i="1"/>
  <c r="CQ22" i="1"/>
  <c r="CP22" i="1"/>
  <c r="CN22" i="1"/>
  <c r="CL22" i="1"/>
  <c r="CJ22" i="1"/>
  <c r="CI22" i="1"/>
  <c r="CU19" i="1"/>
  <c r="CS19" i="1"/>
  <c r="CQ19" i="1"/>
  <c r="CP19" i="1"/>
  <c r="CN19" i="1"/>
  <c r="CL19" i="1"/>
  <c r="CJ19" i="1"/>
  <c r="CI19" i="1"/>
  <c r="CU24" i="1"/>
  <c r="CS24" i="1"/>
  <c r="CQ24" i="1"/>
  <c r="CP24" i="1"/>
  <c r="CN24" i="1"/>
  <c r="CL24" i="1"/>
  <c r="CJ24" i="1"/>
  <c r="CI24" i="1"/>
  <c r="CU18" i="1"/>
  <c r="CS18" i="1"/>
  <c r="CQ18" i="1"/>
  <c r="CP18" i="1"/>
  <c r="CN18" i="1"/>
  <c r="CL18" i="1"/>
  <c r="CJ18" i="1"/>
  <c r="CI18" i="1"/>
  <c r="CU17" i="1"/>
  <c r="CS17" i="1"/>
  <c r="CQ17" i="1"/>
  <c r="CP17" i="1"/>
  <c r="CN17" i="1"/>
  <c r="CL17" i="1"/>
  <c r="CJ17" i="1"/>
  <c r="CI17" i="1"/>
  <c r="CU16" i="1"/>
  <c r="CS16" i="1"/>
  <c r="CQ16" i="1"/>
  <c r="CP16" i="1"/>
  <c r="CN16" i="1"/>
  <c r="CL16" i="1"/>
  <c r="CJ16" i="1"/>
  <c r="CI16" i="1"/>
  <c r="CU15" i="1"/>
  <c r="CS15" i="1"/>
  <c r="CQ15" i="1"/>
  <c r="CP15" i="1"/>
  <c r="CN15" i="1"/>
  <c r="CL15" i="1"/>
  <c r="CJ15" i="1"/>
  <c r="CI15" i="1"/>
  <c r="CU14" i="1"/>
  <c r="CS14" i="1"/>
  <c r="CQ14" i="1"/>
  <c r="CP14" i="1"/>
  <c r="CN14" i="1"/>
  <c r="CL14" i="1"/>
  <c r="CJ14" i="1"/>
  <c r="CI14" i="1"/>
  <c r="DI26" i="1"/>
  <c r="DG26" i="1"/>
  <c r="DE26" i="1"/>
  <c r="DD26" i="1"/>
  <c r="DB26" i="1"/>
  <c r="CZ26" i="1"/>
  <c r="CX26" i="1"/>
  <c r="CW26" i="1"/>
  <c r="DI25" i="1"/>
  <c r="DG25" i="1"/>
  <c r="DE25" i="1"/>
  <c r="DD25" i="1"/>
  <c r="DB25" i="1"/>
  <c r="CZ25" i="1"/>
  <c r="CX25" i="1"/>
  <c r="CW25" i="1"/>
  <c r="DI23" i="1"/>
  <c r="DG23" i="1"/>
  <c r="DE23" i="1"/>
  <c r="DD23" i="1"/>
  <c r="DB23" i="1"/>
  <c r="CZ23" i="1"/>
  <c r="CX23" i="1"/>
  <c r="CW23" i="1"/>
  <c r="DI22" i="1"/>
  <c r="DG22" i="1"/>
  <c r="DE22" i="1"/>
  <c r="DD22" i="1"/>
  <c r="DB22" i="1"/>
  <c r="CZ22" i="1"/>
  <c r="CX22" i="1"/>
  <c r="CW22" i="1"/>
  <c r="DI19" i="1"/>
  <c r="DG19" i="1"/>
  <c r="DE19" i="1"/>
  <c r="DD19" i="1"/>
  <c r="DB19" i="1"/>
  <c r="CZ19" i="1"/>
  <c r="CX19" i="1"/>
  <c r="CW19" i="1"/>
  <c r="DI24" i="1"/>
  <c r="DG24" i="1"/>
  <c r="DE24" i="1"/>
  <c r="DD24" i="1"/>
  <c r="DB24" i="1"/>
  <c r="CZ24" i="1"/>
  <c r="CX24" i="1"/>
  <c r="CW24" i="1"/>
  <c r="DI18" i="1"/>
  <c r="DG18" i="1"/>
  <c r="DE18" i="1"/>
  <c r="DD18" i="1"/>
  <c r="DB18" i="1"/>
  <c r="CZ18" i="1"/>
  <c r="CX18" i="1"/>
  <c r="CW18" i="1"/>
  <c r="DI17" i="1"/>
  <c r="DG17" i="1"/>
  <c r="DE17" i="1"/>
  <c r="DD17" i="1"/>
  <c r="DB17" i="1"/>
  <c r="CZ17" i="1"/>
  <c r="CX17" i="1"/>
  <c r="CW17" i="1"/>
  <c r="DI16" i="1"/>
  <c r="DG16" i="1"/>
  <c r="DE16" i="1"/>
  <c r="DD16" i="1"/>
  <c r="DB16" i="1"/>
  <c r="CZ16" i="1"/>
  <c r="CX16" i="1"/>
  <c r="CW16" i="1"/>
  <c r="DI15" i="1"/>
  <c r="DG15" i="1"/>
  <c r="DE15" i="1"/>
  <c r="DD15" i="1"/>
  <c r="DB15" i="1"/>
  <c r="CZ15" i="1"/>
  <c r="CX15" i="1"/>
  <c r="CW15" i="1"/>
  <c r="DI14" i="1"/>
  <c r="DG14" i="1"/>
  <c r="DE14" i="1"/>
  <c r="DD14" i="1"/>
  <c r="DB14" i="1"/>
  <c r="CZ14" i="1"/>
  <c r="CX14" i="1"/>
  <c r="CW14" i="1"/>
  <c r="DW19" i="1"/>
  <c r="DU19" i="1"/>
  <c r="DS19" i="1"/>
  <c r="DR19" i="1"/>
  <c r="DP19" i="1"/>
  <c r="DN19" i="1"/>
  <c r="DL19" i="1"/>
  <c r="DK19" i="1"/>
  <c r="DW26" i="1"/>
  <c r="DU26" i="1"/>
  <c r="DS26" i="1"/>
  <c r="DR26" i="1"/>
  <c r="DP26" i="1"/>
  <c r="DN26" i="1"/>
  <c r="DL26" i="1"/>
  <c r="DK26" i="1"/>
  <c r="DW25" i="1"/>
  <c r="DU25" i="1"/>
  <c r="DS25" i="1"/>
  <c r="DR25" i="1"/>
  <c r="DP25" i="1"/>
  <c r="DN25" i="1"/>
  <c r="DL25" i="1"/>
  <c r="DK25" i="1"/>
  <c r="DW23" i="1"/>
  <c r="DU23" i="1"/>
  <c r="DS23" i="1"/>
  <c r="DR23" i="1"/>
  <c r="DP23" i="1"/>
  <c r="DN23" i="1"/>
  <c r="DL23" i="1"/>
  <c r="DK23" i="1"/>
  <c r="DW22" i="1"/>
  <c r="DU22" i="1"/>
  <c r="DS22" i="1"/>
  <c r="DR22" i="1"/>
  <c r="DP22" i="1"/>
  <c r="DN22" i="1"/>
  <c r="DL22" i="1"/>
  <c r="DK22" i="1"/>
  <c r="DW24" i="1"/>
  <c r="DU24" i="1"/>
  <c r="DS24" i="1"/>
  <c r="DR24" i="1"/>
  <c r="DP24" i="1"/>
  <c r="DN24" i="1"/>
  <c r="DL24" i="1"/>
  <c r="DK24" i="1"/>
  <c r="DW18" i="1"/>
  <c r="DU18" i="1"/>
  <c r="DS18" i="1"/>
  <c r="DR18" i="1"/>
  <c r="DP18" i="1"/>
  <c r="DN18" i="1"/>
  <c r="DL18" i="1"/>
  <c r="DK18" i="1"/>
  <c r="DW17" i="1"/>
  <c r="DU17" i="1"/>
  <c r="DS17" i="1"/>
  <c r="DR17" i="1"/>
  <c r="DP17" i="1"/>
  <c r="DN17" i="1"/>
  <c r="DL17" i="1"/>
  <c r="DK17" i="1"/>
  <c r="DW16" i="1"/>
  <c r="DU16" i="1"/>
  <c r="DS16" i="1"/>
  <c r="DR16" i="1"/>
  <c r="DP16" i="1"/>
  <c r="DN16" i="1"/>
  <c r="DL16" i="1"/>
  <c r="DK16" i="1"/>
  <c r="DW15" i="1"/>
  <c r="DU15" i="1"/>
  <c r="DS15" i="1"/>
  <c r="DR15" i="1"/>
  <c r="DP15" i="1"/>
  <c r="DN15" i="1"/>
  <c r="DL15" i="1"/>
  <c r="DK15" i="1"/>
  <c r="DW14" i="1"/>
  <c r="DU14" i="1"/>
  <c r="DS14" i="1"/>
  <c r="DR14" i="1"/>
  <c r="DP14" i="1"/>
  <c r="DN14" i="1"/>
  <c r="DL14" i="1"/>
  <c r="DK14" i="1"/>
  <c r="ED26" i="1"/>
  <c r="EB26" i="1"/>
  <c r="DZ26" i="1"/>
  <c r="DY26" i="1"/>
  <c r="ED25" i="1"/>
  <c r="EB25" i="1"/>
  <c r="DZ25" i="1"/>
  <c r="DY25" i="1"/>
  <c r="ED23" i="1"/>
  <c r="EB23" i="1"/>
  <c r="DZ23" i="1"/>
  <c r="DY23" i="1"/>
  <c r="ED22" i="1"/>
  <c r="EB22" i="1"/>
  <c r="DZ22" i="1"/>
  <c r="DY22" i="1"/>
  <c r="ED21" i="1"/>
  <c r="EB21" i="1"/>
  <c r="DZ21" i="1"/>
  <c r="DY21" i="1"/>
  <c r="ED20" i="1"/>
  <c r="EB20" i="1"/>
  <c r="DZ20" i="1"/>
  <c r="DY20" i="1"/>
  <c r="ED24" i="1"/>
  <c r="EB24" i="1"/>
  <c r="DZ24" i="1"/>
  <c r="DY24" i="1"/>
  <c r="ED18" i="1"/>
  <c r="EB18" i="1"/>
  <c r="DZ18" i="1"/>
  <c r="DY18" i="1"/>
  <c r="ED17" i="1"/>
  <c r="EB17" i="1"/>
  <c r="DZ17" i="1"/>
  <c r="DY17" i="1"/>
  <c r="ED16" i="1"/>
  <c r="EB16" i="1"/>
  <c r="DZ16" i="1"/>
  <c r="DY16" i="1"/>
  <c r="ED15" i="1"/>
  <c r="EB15" i="1"/>
  <c r="DZ15" i="1"/>
  <c r="DY15" i="1"/>
  <c r="ED14" i="1"/>
  <c r="EB14" i="1"/>
  <c r="DZ14" i="1"/>
  <c r="DY14" i="1"/>
  <c r="EK26" i="1"/>
  <c r="EI26" i="1"/>
  <c r="EG26" i="1"/>
  <c r="EF26" i="1"/>
  <c r="EK25" i="1"/>
  <c r="EI25" i="1"/>
  <c r="EG25" i="1"/>
  <c r="EF25" i="1"/>
  <c r="EK23" i="1"/>
  <c r="EI23" i="1"/>
  <c r="EG23" i="1"/>
  <c r="EF23" i="1"/>
  <c r="EK22" i="1"/>
  <c r="EI22" i="1"/>
  <c r="EG22" i="1"/>
  <c r="EF22" i="1"/>
  <c r="EK21" i="1"/>
  <c r="EI21" i="1"/>
  <c r="EG21" i="1"/>
  <c r="EF21" i="1"/>
  <c r="EK20" i="1"/>
  <c r="EI20" i="1"/>
  <c r="EG20" i="1"/>
  <c r="EF20" i="1"/>
  <c r="EK24" i="1"/>
  <c r="EI24" i="1"/>
  <c r="EG24" i="1"/>
  <c r="EF24" i="1"/>
  <c r="EK18" i="1"/>
  <c r="EI18" i="1"/>
  <c r="EG18" i="1"/>
  <c r="EF18" i="1"/>
  <c r="EK17" i="1"/>
  <c r="EI17" i="1"/>
  <c r="EG17" i="1"/>
  <c r="EF17" i="1"/>
  <c r="EK16" i="1"/>
  <c r="EI16" i="1"/>
  <c r="EG16" i="1"/>
  <c r="EF16" i="1"/>
  <c r="EK15" i="1"/>
  <c r="EI15" i="1"/>
  <c r="EG15" i="1"/>
  <c r="EF15" i="1"/>
  <c r="EK14" i="1"/>
  <c r="EI14" i="1"/>
  <c r="EG14" i="1"/>
  <c r="EF14" i="1"/>
  <c r="EF27" i="1" s="1"/>
  <c r="EH27" i="1"/>
  <c r="EJ27" i="1"/>
  <c r="EY57" i="1"/>
  <c r="EU57" i="1"/>
  <c r="ET57" i="1"/>
  <c r="ER57" i="1"/>
  <c r="EN57" i="1"/>
  <c r="EM57" i="1"/>
  <c r="EY54" i="1"/>
  <c r="EU54" i="1"/>
  <c r="ET54" i="1"/>
  <c r="ER54" i="1"/>
  <c r="EN54" i="1"/>
  <c r="EM54" i="1"/>
  <c r="EY56" i="1"/>
  <c r="EX56" i="1"/>
  <c r="EW56" i="1"/>
  <c r="EV56" i="1"/>
  <c r="EU56" i="1"/>
  <c r="ET56" i="1"/>
  <c r="EM56" i="1"/>
  <c r="ER56" i="1"/>
  <c r="EQ56" i="1"/>
  <c r="EP56" i="1"/>
  <c r="EO56" i="1"/>
  <c r="EN56" i="1"/>
  <c r="EY58" i="1"/>
  <c r="EU58" i="1"/>
  <c r="ET58" i="1"/>
  <c r="ER58" i="1"/>
  <c r="EN58" i="1"/>
  <c r="EM58" i="1"/>
  <c r="EY55" i="1"/>
  <c r="EU55" i="1"/>
  <c r="ET55" i="1"/>
  <c r="ER55" i="1"/>
  <c r="EN55" i="1"/>
  <c r="EM55" i="1"/>
  <c r="EY46" i="1"/>
  <c r="EU46" i="1"/>
  <c r="ET46" i="1"/>
  <c r="ER46" i="1"/>
  <c r="EN46" i="1"/>
  <c r="EM46" i="1"/>
  <c r="EY53" i="1"/>
  <c r="EU53" i="1"/>
  <c r="ET53" i="1"/>
  <c r="ER53" i="1"/>
  <c r="EN53" i="1"/>
  <c r="EM53" i="1"/>
  <c r="EY45" i="1"/>
  <c r="EU45" i="1"/>
  <c r="ET45" i="1"/>
  <c r="ER45" i="1"/>
  <c r="EN45" i="1"/>
  <c r="EM45" i="1"/>
  <c r="EY49" i="1"/>
  <c r="EU49" i="1"/>
  <c r="ET49" i="1"/>
  <c r="ER49" i="1"/>
  <c r="EN49" i="1"/>
  <c r="EM49" i="1"/>
  <c r="EY47" i="1"/>
  <c r="EU47" i="1"/>
  <c r="ET47" i="1"/>
  <c r="ER47" i="1"/>
  <c r="EN47" i="1"/>
  <c r="EM47" i="1"/>
  <c r="EY41" i="1"/>
  <c r="EU41" i="1"/>
  <c r="ET41" i="1"/>
  <c r="ER41" i="1"/>
  <c r="EN41" i="1"/>
  <c r="EM41" i="1"/>
  <c r="EY51" i="1"/>
  <c r="EU51" i="1"/>
  <c r="ET51" i="1"/>
  <c r="ER51" i="1"/>
  <c r="EN51" i="1"/>
  <c r="EM51" i="1"/>
  <c r="EY50" i="1"/>
  <c r="EU50" i="1"/>
  <c r="ET50" i="1"/>
  <c r="ER50" i="1"/>
  <c r="EN50" i="1"/>
  <c r="EM50" i="1"/>
  <c r="EY42" i="1"/>
  <c r="EX42" i="1"/>
  <c r="EX60" i="1" s="1"/>
  <c r="EW42" i="1"/>
  <c r="EW60" i="1" s="1"/>
  <c r="EV42" i="1"/>
  <c r="EV60" i="1" s="1"/>
  <c r="EU42" i="1"/>
  <c r="ET42" i="1"/>
  <c r="ER42" i="1"/>
  <c r="EQ42" i="1"/>
  <c r="EP42" i="1"/>
  <c r="EO42" i="1"/>
  <c r="EN42" i="1"/>
  <c r="EM42" i="1"/>
  <c r="EY40" i="1"/>
  <c r="EU40" i="1"/>
  <c r="ET40" i="1"/>
  <c r="ER40" i="1"/>
  <c r="EN40" i="1"/>
  <c r="EM40" i="1"/>
  <c r="EY48" i="1"/>
  <c r="EU48" i="1"/>
  <c r="ET48" i="1"/>
  <c r="ER48" i="1"/>
  <c r="EN48" i="1"/>
  <c r="EM48" i="1"/>
  <c r="EY52" i="1"/>
  <c r="EU52" i="1"/>
  <c r="ET52" i="1"/>
  <c r="EU39" i="1"/>
  <c r="ET39" i="1"/>
  <c r="ER39" i="1"/>
  <c r="EN39" i="1"/>
  <c r="EM39" i="1"/>
  <c r="EY77" i="1"/>
  <c r="EX77" i="1"/>
  <c r="EW77" i="1"/>
  <c r="EV77" i="1"/>
  <c r="EU77" i="1"/>
  <c r="ET77" i="1"/>
  <c r="ER77" i="1"/>
  <c r="EQ77" i="1"/>
  <c r="EP77" i="1"/>
  <c r="EO77" i="1"/>
  <c r="EN77" i="1"/>
  <c r="EM77" i="1"/>
  <c r="EY76" i="1"/>
  <c r="EX76" i="1"/>
  <c r="EW76" i="1"/>
  <c r="EV76" i="1"/>
  <c r="EU76" i="1"/>
  <c r="ET76" i="1"/>
  <c r="ER76" i="1"/>
  <c r="EQ76" i="1"/>
  <c r="EP76" i="1"/>
  <c r="EO76" i="1"/>
  <c r="EN76" i="1"/>
  <c r="EM76" i="1"/>
  <c r="EY75" i="1"/>
  <c r="EX75" i="1"/>
  <c r="EW75" i="1"/>
  <c r="EV75" i="1"/>
  <c r="EU75" i="1"/>
  <c r="ET75" i="1"/>
  <c r="ER75" i="1"/>
  <c r="EQ75" i="1"/>
  <c r="EP75" i="1"/>
  <c r="EO75" i="1"/>
  <c r="EN75" i="1"/>
  <c r="EM75" i="1"/>
  <c r="EY74" i="1"/>
  <c r="EX74" i="1"/>
  <c r="EW74" i="1"/>
  <c r="EV74" i="1"/>
  <c r="EU74" i="1"/>
  <c r="ET74" i="1"/>
  <c r="ER74" i="1"/>
  <c r="EQ74" i="1"/>
  <c r="EP74" i="1"/>
  <c r="EO74" i="1"/>
  <c r="EN74" i="1"/>
  <c r="EM74" i="1"/>
  <c r="EY73" i="1"/>
  <c r="EX73" i="1"/>
  <c r="EW73" i="1"/>
  <c r="EV73" i="1"/>
  <c r="EU73" i="1"/>
  <c r="ET73" i="1"/>
  <c r="ER73" i="1"/>
  <c r="EQ73" i="1"/>
  <c r="EP73" i="1"/>
  <c r="EO73" i="1"/>
  <c r="EN73" i="1"/>
  <c r="EM73" i="1"/>
  <c r="EY72" i="1"/>
  <c r="EX72" i="1"/>
  <c r="EW72" i="1"/>
  <c r="EV72" i="1"/>
  <c r="EU72" i="1"/>
  <c r="ET72" i="1"/>
  <c r="ER72" i="1"/>
  <c r="EQ72" i="1"/>
  <c r="EP72" i="1"/>
  <c r="EO72" i="1"/>
  <c r="EN72" i="1"/>
  <c r="EM72" i="1"/>
  <c r="EY71" i="1"/>
  <c r="EX71" i="1"/>
  <c r="EW71" i="1"/>
  <c r="EV71" i="1"/>
  <c r="EU71" i="1"/>
  <c r="ET71" i="1"/>
  <c r="ER71" i="1"/>
  <c r="EQ71" i="1"/>
  <c r="EP71" i="1"/>
  <c r="EO71" i="1"/>
  <c r="EN71" i="1"/>
  <c r="EM71" i="1"/>
  <c r="EY70" i="1"/>
  <c r="EX70" i="1"/>
  <c r="EW70" i="1"/>
  <c r="EV70" i="1"/>
  <c r="EU70" i="1"/>
  <c r="ET70" i="1"/>
  <c r="ER70" i="1"/>
  <c r="EQ70" i="1"/>
  <c r="EP70" i="1"/>
  <c r="EO70" i="1"/>
  <c r="EN70" i="1"/>
  <c r="EM70" i="1"/>
  <c r="EY69" i="1"/>
  <c r="EX69" i="1"/>
  <c r="EW69" i="1"/>
  <c r="EV69" i="1"/>
  <c r="EU69" i="1"/>
  <c r="ET69" i="1"/>
  <c r="ER69" i="1"/>
  <c r="EQ69" i="1"/>
  <c r="EP69" i="1"/>
  <c r="EO69" i="1"/>
  <c r="EN69" i="1"/>
  <c r="EM69" i="1"/>
  <c r="EY68" i="1"/>
  <c r="EX68" i="1"/>
  <c r="EW68" i="1"/>
  <c r="EV68" i="1"/>
  <c r="EU68" i="1"/>
  <c r="ET68" i="1"/>
  <c r="ER68" i="1"/>
  <c r="EQ68" i="1"/>
  <c r="EP68" i="1"/>
  <c r="EO68" i="1"/>
  <c r="EN68" i="1"/>
  <c r="EM68" i="1"/>
  <c r="EY67" i="1"/>
  <c r="EX67" i="1"/>
  <c r="EW67" i="1"/>
  <c r="EV67" i="1"/>
  <c r="EU67" i="1"/>
  <c r="ET67" i="1"/>
  <c r="ER67" i="1"/>
  <c r="EQ67" i="1"/>
  <c r="EP67" i="1"/>
  <c r="EO67" i="1"/>
  <c r="EN67" i="1"/>
  <c r="EM67" i="1"/>
  <c r="EY66" i="1"/>
  <c r="EX66" i="1"/>
  <c r="EW66" i="1"/>
  <c r="EV66" i="1"/>
  <c r="EU66" i="1"/>
  <c r="ET66" i="1"/>
  <c r="ER66" i="1"/>
  <c r="EQ66" i="1"/>
  <c r="EP66" i="1"/>
  <c r="EO66" i="1"/>
  <c r="EN66" i="1"/>
  <c r="EM66" i="1"/>
  <c r="EY65" i="1"/>
  <c r="EX65" i="1"/>
  <c r="EW65" i="1"/>
  <c r="EV65" i="1"/>
  <c r="EU65" i="1"/>
  <c r="ET65" i="1"/>
  <c r="ER65" i="1"/>
  <c r="EQ65" i="1"/>
  <c r="EP65" i="1"/>
  <c r="EO65" i="1"/>
  <c r="EN65" i="1"/>
  <c r="EM65" i="1"/>
  <c r="EY64" i="1"/>
  <c r="EX64" i="1"/>
  <c r="EW64" i="1"/>
  <c r="EV64" i="1"/>
  <c r="EU64" i="1"/>
  <c r="ET64" i="1"/>
  <c r="ER64" i="1"/>
  <c r="EQ64" i="1"/>
  <c r="EP64" i="1"/>
  <c r="EO64" i="1"/>
  <c r="EN64" i="1"/>
  <c r="EM64" i="1"/>
  <c r="EY63" i="1"/>
  <c r="EX63" i="1"/>
  <c r="EW63" i="1"/>
  <c r="EV63" i="1"/>
  <c r="EU63" i="1"/>
  <c r="ET63" i="1"/>
  <c r="ER63" i="1"/>
  <c r="EQ63" i="1"/>
  <c r="EP63" i="1"/>
  <c r="EO63" i="1"/>
  <c r="EN63" i="1"/>
  <c r="EM63" i="1"/>
  <c r="EY62" i="1"/>
  <c r="EX62" i="1"/>
  <c r="EW62" i="1"/>
  <c r="EV62" i="1"/>
  <c r="EU62" i="1"/>
  <c r="ET62" i="1"/>
  <c r="ER62" i="1"/>
  <c r="EQ62" i="1"/>
  <c r="EP62" i="1"/>
  <c r="EO62" i="1"/>
  <c r="EN62" i="1"/>
  <c r="EM62" i="1"/>
  <c r="EY61" i="1"/>
  <c r="EX61" i="1"/>
  <c r="EW61" i="1"/>
  <c r="EV61" i="1"/>
  <c r="EU61" i="1"/>
  <c r="ET61" i="1"/>
  <c r="ER61" i="1"/>
  <c r="EQ61" i="1"/>
  <c r="EP61" i="1"/>
  <c r="EO61" i="1"/>
  <c r="EN61" i="1"/>
  <c r="EN98" i="1" s="1"/>
  <c r="EM61" i="1"/>
  <c r="EM103" i="1"/>
  <c r="EY106" i="1"/>
  <c r="EW106" i="1"/>
  <c r="EU106" i="1"/>
  <c r="ET106" i="1"/>
  <c r="ER106" i="1"/>
  <c r="EP106" i="1"/>
  <c r="EN106" i="1"/>
  <c r="EM106" i="1"/>
  <c r="EY105" i="1"/>
  <c r="EW105" i="1"/>
  <c r="EU105" i="1"/>
  <c r="ET105" i="1"/>
  <c r="ER105" i="1"/>
  <c r="EP105" i="1"/>
  <c r="EN105" i="1"/>
  <c r="EM105" i="1"/>
  <c r="EY104" i="1"/>
  <c r="EW104" i="1"/>
  <c r="EU104" i="1"/>
  <c r="ET104" i="1"/>
  <c r="ER104" i="1"/>
  <c r="EP104" i="1"/>
  <c r="EN104" i="1"/>
  <c r="EM104" i="1"/>
  <c r="EY102" i="1"/>
  <c r="EW102" i="1"/>
  <c r="EU102" i="1"/>
  <c r="ET102" i="1"/>
  <c r="ER102" i="1"/>
  <c r="EP102" i="1"/>
  <c r="EN102" i="1"/>
  <c r="EM102" i="1"/>
  <c r="EY101" i="1"/>
  <c r="EW101" i="1"/>
  <c r="EW107" i="1" s="1"/>
  <c r="EU101" i="1"/>
  <c r="ET101" i="1"/>
  <c r="ER101" i="1"/>
  <c r="ER107" i="1" s="1"/>
  <c r="EN101" i="1"/>
  <c r="EP101" i="1"/>
  <c r="EM101" i="1"/>
  <c r="EY100" i="1"/>
  <c r="EW99" i="1"/>
  <c r="EW100" i="1" s="1"/>
  <c r="EU100" i="1"/>
  <c r="ET99" i="1"/>
  <c r="ET100" i="1" s="1"/>
  <c r="ER99" i="1"/>
  <c r="ER100" i="1" s="1"/>
  <c r="EP99" i="1"/>
  <c r="EP100" i="1" s="1"/>
  <c r="EN99" i="1"/>
  <c r="EN100" i="1" s="1"/>
  <c r="EM99" i="1"/>
  <c r="EM100" i="1" s="1"/>
  <c r="ET108" i="1"/>
  <c r="ET110" i="1" s="1"/>
  <c r="EW108" i="1"/>
  <c r="EW110" i="1" s="1"/>
  <c r="ER108" i="1"/>
  <c r="ER110" i="1" s="1"/>
  <c r="EN108" i="1"/>
  <c r="EN110" i="1" s="1"/>
  <c r="EM108" i="1"/>
  <c r="EM110" i="1" s="1"/>
  <c r="EP108" i="1"/>
  <c r="EP110" i="1" s="1"/>
  <c r="EO110" i="1"/>
  <c r="EQ110" i="1"/>
  <c r="EQ32" i="1"/>
  <c r="EY32" i="1"/>
  <c r="EX32" i="1"/>
  <c r="EW32" i="1"/>
  <c r="EV32" i="1"/>
  <c r="EU32" i="1"/>
  <c r="ET32" i="1"/>
  <c r="ER32" i="1"/>
  <c r="EP32" i="1"/>
  <c r="EO32" i="1"/>
  <c r="EN32" i="1"/>
  <c r="EM32" i="1"/>
  <c r="EY31" i="1"/>
  <c r="EX31" i="1"/>
  <c r="EW31" i="1"/>
  <c r="EV31" i="1"/>
  <c r="EU31" i="1"/>
  <c r="ET31" i="1"/>
  <c r="ER31" i="1"/>
  <c r="EQ31" i="1"/>
  <c r="EP31" i="1"/>
  <c r="EO31" i="1"/>
  <c r="EN31" i="1"/>
  <c r="EM31" i="1"/>
  <c r="EY37" i="1"/>
  <c r="EX37" i="1"/>
  <c r="EW37" i="1"/>
  <c r="EV37" i="1"/>
  <c r="EU37" i="1"/>
  <c r="ET37" i="1"/>
  <c r="ER37" i="1"/>
  <c r="EQ37" i="1"/>
  <c r="EP37" i="1"/>
  <c r="EO37" i="1"/>
  <c r="EN37" i="1"/>
  <c r="EM37" i="1"/>
  <c r="EY30" i="1"/>
  <c r="EX30" i="1"/>
  <c r="EW30" i="1"/>
  <c r="EV30" i="1"/>
  <c r="EU30" i="1"/>
  <c r="ET30" i="1"/>
  <c r="ER30" i="1"/>
  <c r="EQ30" i="1"/>
  <c r="EP30" i="1"/>
  <c r="EO30" i="1"/>
  <c r="EN30" i="1"/>
  <c r="EM30" i="1"/>
  <c r="EN36" i="1"/>
  <c r="EY36" i="1"/>
  <c r="EX36" i="1"/>
  <c r="EW36" i="1"/>
  <c r="EV36" i="1"/>
  <c r="EU36" i="1"/>
  <c r="ET36" i="1"/>
  <c r="ER36" i="1"/>
  <c r="EQ36" i="1"/>
  <c r="EP36" i="1"/>
  <c r="EO36" i="1"/>
  <c r="EM36" i="1"/>
  <c r="EY33" i="1"/>
  <c r="EX33" i="1"/>
  <c r="EW33" i="1"/>
  <c r="EV33" i="1"/>
  <c r="EU33" i="1"/>
  <c r="ET33" i="1"/>
  <c r="ER33" i="1"/>
  <c r="EQ33" i="1"/>
  <c r="EP33" i="1"/>
  <c r="EO33" i="1"/>
  <c r="EN33" i="1"/>
  <c r="EM33" i="1"/>
  <c r="EY29" i="1"/>
  <c r="EX29" i="1"/>
  <c r="EW29" i="1"/>
  <c r="EV29" i="1"/>
  <c r="EU29" i="1"/>
  <c r="ET29" i="1"/>
  <c r="ER29" i="1"/>
  <c r="EQ29" i="1"/>
  <c r="EP29" i="1"/>
  <c r="EO29" i="1"/>
  <c r="EN29" i="1"/>
  <c r="EM29" i="1"/>
  <c r="EY28" i="1"/>
  <c r="EX28" i="1"/>
  <c r="EW28" i="1"/>
  <c r="EV28" i="1"/>
  <c r="EU28" i="1"/>
  <c r="ET28" i="1"/>
  <c r="ER28" i="1"/>
  <c r="EQ28" i="1"/>
  <c r="EP28" i="1"/>
  <c r="EO28" i="1"/>
  <c r="EN28" i="1"/>
  <c r="EM28" i="1"/>
  <c r="EY35" i="1"/>
  <c r="EX35" i="1"/>
  <c r="EW35" i="1"/>
  <c r="EV35" i="1"/>
  <c r="EU35" i="1"/>
  <c r="ET35" i="1"/>
  <c r="ER35" i="1"/>
  <c r="EQ35" i="1"/>
  <c r="EP35" i="1"/>
  <c r="EO35" i="1"/>
  <c r="EN35" i="1"/>
  <c r="EM35" i="1"/>
  <c r="EY34" i="1"/>
  <c r="EX34" i="1"/>
  <c r="EW34" i="1"/>
  <c r="EV34" i="1"/>
  <c r="EU34" i="1"/>
  <c r="ET34" i="1"/>
  <c r="ER34" i="1"/>
  <c r="EQ34" i="1"/>
  <c r="EP34" i="1"/>
  <c r="EO34" i="1"/>
  <c r="EN34" i="1"/>
  <c r="EM34" i="1"/>
  <c r="EY26" i="1"/>
  <c r="EW26" i="1"/>
  <c r="EU26" i="1"/>
  <c r="EY25" i="1"/>
  <c r="EW25" i="1"/>
  <c r="EU25" i="1"/>
  <c r="EY23" i="1"/>
  <c r="EW23" i="1"/>
  <c r="EU23" i="1"/>
  <c r="EY22" i="1"/>
  <c r="EW22" i="1"/>
  <c r="EU22" i="1"/>
  <c r="EY21" i="1"/>
  <c r="EW21" i="1"/>
  <c r="EU21" i="1"/>
  <c r="EY20" i="1"/>
  <c r="EW20" i="1"/>
  <c r="EU20" i="1"/>
  <c r="ET26" i="1"/>
  <c r="ET25" i="1"/>
  <c r="ET23" i="1"/>
  <c r="ET22" i="1"/>
  <c r="ET21" i="1"/>
  <c r="ET20" i="1"/>
  <c r="EY24" i="1"/>
  <c r="EW24" i="1"/>
  <c r="EU24" i="1"/>
  <c r="ET24" i="1"/>
  <c r="EY17" i="1"/>
  <c r="EY18" i="1"/>
  <c r="EW18" i="1"/>
  <c r="EU18" i="1"/>
  <c r="ET18" i="1"/>
  <c r="EW17" i="1"/>
  <c r="EU17" i="1"/>
  <c r="ET17" i="1"/>
  <c r="EY16" i="1"/>
  <c r="EW16" i="1"/>
  <c r="EU16" i="1"/>
  <c r="ET16" i="1"/>
  <c r="EY15" i="1"/>
  <c r="EW15" i="1"/>
  <c r="EU15" i="1"/>
  <c r="ET15" i="1"/>
  <c r="EY14" i="1"/>
  <c r="EW14" i="1"/>
  <c r="EU14" i="1"/>
  <c r="ET14" i="1"/>
  <c r="ER25" i="1"/>
  <c r="EP25" i="1"/>
  <c r="EN25" i="1"/>
  <c r="EM25" i="1"/>
  <c r="ER26" i="1"/>
  <c r="EP26" i="1"/>
  <c r="EN26" i="1"/>
  <c r="EM26" i="1"/>
  <c r="ER23" i="1"/>
  <c r="EP23" i="1"/>
  <c r="EN23" i="1"/>
  <c r="EM23" i="1"/>
  <c r="ER16" i="1"/>
  <c r="EP16" i="1"/>
  <c r="EN16" i="1"/>
  <c r="EM16" i="1"/>
  <c r="ER17" i="1"/>
  <c r="EP17" i="1"/>
  <c r="EN17" i="1"/>
  <c r="EM17" i="1"/>
  <c r="ER22" i="1"/>
  <c r="EP22" i="1"/>
  <c r="EN22" i="1"/>
  <c r="EM22" i="1"/>
  <c r="ER24" i="1"/>
  <c r="EP24" i="1"/>
  <c r="EN24" i="1"/>
  <c r="EM24" i="1"/>
  <c r="ER21" i="1"/>
  <c r="EP21" i="1"/>
  <c r="EN21" i="1"/>
  <c r="EM21" i="1"/>
  <c r="ER20" i="1"/>
  <c r="EP20" i="1"/>
  <c r="EN20" i="1"/>
  <c r="EM20" i="1"/>
  <c r="ER18" i="1"/>
  <c r="EP18" i="1"/>
  <c r="EN18" i="1"/>
  <c r="EM18" i="1"/>
  <c r="EP15" i="1"/>
  <c r="ER15" i="1"/>
  <c r="EN15" i="1"/>
  <c r="EM15" i="1"/>
  <c r="EP14" i="1"/>
  <c r="ER14" i="1"/>
  <c r="EN14" i="1"/>
  <c r="EM14" i="1"/>
  <c r="EZ8" i="1"/>
  <c r="EZ7" i="1"/>
  <c r="EZ5" i="1"/>
  <c r="EQ107" i="1"/>
  <c r="EO107" i="1"/>
  <c r="EX100" i="1"/>
  <c r="EV100" i="1"/>
  <c r="EQ100" i="1"/>
  <c r="EO100" i="1"/>
  <c r="EX27" i="1"/>
  <c r="EV27" i="1"/>
  <c r="EQ27" i="1"/>
  <c r="EO27" i="1"/>
  <c r="EY12" i="1"/>
  <c r="EX12" i="1"/>
  <c r="EW12" i="1"/>
  <c r="EV12" i="1"/>
  <c r="EU12" i="1"/>
  <c r="ET12" i="1"/>
  <c r="ER12" i="1"/>
  <c r="EQ12" i="1"/>
  <c r="EP12" i="1"/>
  <c r="EO12" i="1"/>
  <c r="EN12" i="1"/>
  <c r="EM12" i="1"/>
  <c r="EE9" i="1"/>
  <c r="EW98" i="1" l="1"/>
  <c r="ER98" i="1"/>
  <c r="EU98" i="1"/>
  <c r="EO98" i="1"/>
  <c r="EV98" i="1"/>
  <c r="FP98" i="1"/>
  <c r="FP144" i="1" s="1"/>
  <c r="FQ97" i="1"/>
  <c r="FN107" i="1"/>
  <c r="FN144" i="1" s="1"/>
  <c r="EP98" i="1"/>
  <c r="ET98" i="1"/>
  <c r="EX98" i="1"/>
  <c r="EY98" i="1"/>
  <c r="EM98" i="1"/>
  <c r="FG107" i="1"/>
  <c r="FG144" i="1" s="1"/>
  <c r="EQ98" i="1"/>
  <c r="EK27" i="1"/>
  <c r="EG27" i="1"/>
  <c r="EI27" i="1"/>
  <c r="DC45" i="1"/>
  <c r="BF40" i="1"/>
  <c r="BF46" i="1"/>
  <c r="BT46" i="1"/>
  <c r="BF45" i="1"/>
  <c r="CH45" i="1"/>
  <c r="ES52" i="1"/>
  <c r="EL41" i="1"/>
  <c r="EL45" i="1"/>
  <c r="EL48" i="1"/>
  <c r="EE41" i="1"/>
  <c r="DX41" i="1"/>
  <c r="DX45" i="1"/>
  <c r="DX48" i="1"/>
  <c r="DC40" i="1"/>
  <c r="DC50" i="1"/>
  <c r="DQ52" i="1"/>
  <c r="EE47" i="1"/>
  <c r="CV50" i="1"/>
  <c r="ES103" i="1"/>
  <c r="BT48" i="1"/>
  <c r="DC42" i="1"/>
  <c r="DJ42" i="1"/>
  <c r="DJ46" i="1"/>
  <c r="DC52" i="1"/>
  <c r="CV40" i="1"/>
  <c r="DJ41" i="1"/>
  <c r="CH50" i="1"/>
  <c r="BT51" i="1"/>
  <c r="DQ39" i="1"/>
  <c r="CV39" i="1"/>
  <c r="BT40" i="1"/>
  <c r="CV48" i="1"/>
  <c r="BT49" i="1"/>
  <c r="BT50" i="1"/>
  <c r="EE52" i="1"/>
  <c r="DX39" i="1"/>
  <c r="BF44" i="1"/>
  <c r="BT44" i="1"/>
  <c r="DJ44" i="1"/>
  <c r="DC46" i="1"/>
  <c r="CV45" i="1"/>
  <c r="DC49" i="1"/>
  <c r="EE40" i="1"/>
  <c r="EE58" i="1"/>
  <c r="DX40" i="1"/>
  <c r="DX44" i="1"/>
  <c r="DX51" i="1"/>
  <c r="DX56" i="1"/>
  <c r="DJ39" i="1"/>
  <c r="DC41" i="1"/>
  <c r="AY44" i="1"/>
  <c r="DC44" i="1"/>
  <c r="CH46" i="1"/>
  <c r="CV46" i="1"/>
  <c r="CH48" i="1"/>
  <c r="DJ48" i="1"/>
  <c r="CV49" i="1"/>
  <c r="DX55" i="1"/>
  <c r="DX47" i="1"/>
  <c r="DQ40" i="1"/>
  <c r="DQ44" i="1"/>
  <c r="DQ48" i="1"/>
  <c r="DQ53" i="1"/>
  <c r="DQ56" i="1"/>
  <c r="DC39" i="1"/>
  <c r="CH40" i="1"/>
  <c r="CH44" i="1"/>
  <c r="CV44" i="1"/>
  <c r="BT45" i="1"/>
  <c r="DJ45" i="1"/>
  <c r="DC48" i="1"/>
  <c r="CH49" i="1"/>
  <c r="DJ49" i="1"/>
  <c r="DJ50" i="1"/>
  <c r="EL56" i="1"/>
  <c r="EU60" i="1"/>
  <c r="EQ60" i="1"/>
  <c r="EO60" i="1"/>
  <c r="EL46" i="1"/>
  <c r="EM60" i="1"/>
  <c r="EL40" i="1"/>
  <c r="EE39" i="1"/>
  <c r="EE46" i="1"/>
  <c r="EE49" i="1"/>
  <c r="EE54" i="1"/>
  <c r="EE57" i="1"/>
  <c r="AY40" i="1"/>
  <c r="DJ40" i="1"/>
  <c r="EN60" i="1"/>
  <c r="EY60" i="1"/>
  <c r="EE42" i="1"/>
  <c r="ER60" i="1"/>
  <c r="EL39" i="1"/>
  <c r="EL44" i="1"/>
  <c r="EL50" i="1"/>
  <c r="EL51" i="1"/>
  <c r="EL54" i="1"/>
  <c r="EL55" i="1"/>
  <c r="EL57" i="1"/>
  <c r="EL58" i="1"/>
  <c r="DX57" i="1"/>
  <c r="DQ42" i="1"/>
  <c r="DQ46" i="1"/>
  <c r="DQ50" i="1"/>
  <c r="DQ57" i="1"/>
  <c r="DQ58" i="1"/>
  <c r="BT39" i="1"/>
  <c r="EE50" i="1"/>
  <c r="EE55" i="1"/>
  <c r="CH39" i="1"/>
  <c r="EL47" i="1"/>
  <c r="ET60" i="1"/>
  <c r="EP60" i="1"/>
  <c r="ES56" i="1"/>
  <c r="EL42" i="1"/>
  <c r="EL49" i="1"/>
  <c r="EL53" i="1"/>
  <c r="EE44" i="1"/>
  <c r="EE45" i="1"/>
  <c r="EE48" i="1"/>
  <c r="EE51" i="1"/>
  <c r="EE53" i="1"/>
  <c r="EE56" i="1"/>
  <c r="DX42" i="1"/>
  <c r="DX46" i="1"/>
  <c r="DX49" i="1"/>
  <c r="DX50" i="1"/>
  <c r="DX53" i="1"/>
  <c r="DX54" i="1"/>
  <c r="DX58" i="1"/>
  <c r="DQ41" i="1"/>
  <c r="DQ45" i="1"/>
  <c r="DQ47" i="1"/>
  <c r="DQ49" i="1"/>
  <c r="DQ51" i="1"/>
  <c r="DQ54" i="1"/>
  <c r="DQ55" i="1"/>
  <c r="BF39" i="1"/>
  <c r="ES46" i="1"/>
  <c r="DQ16" i="1"/>
  <c r="ES45" i="1"/>
  <c r="CO17" i="1"/>
  <c r="EZ49" i="1"/>
  <c r="ES58" i="1"/>
  <c r="ES40" i="1"/>
  <c r="EZ47" i="1"/>
  <c r="ES53" i="1"/>
  <c r="EZ46" i="1"/>
  <c r="EZ58" i="1"/>
  <c r="EZ56" i="1"/>
  <c r="ES54" i="1"/>
  <c r="EZ55" i="1"/>
  <c r="EZ54" i="1"/>
  <c r="CO22" i="1"/>
  <c r="DQ22" i="1"/>
  <c r="DC14" i="1"/>
  <c r="DC15" i="1"/>
  <c r="DC16" i="1"/>
  <c r="DC17" i="1"/>
  <c r="DC18" i="1"/>
  <c r="DC24" i="1"/>
  <c r="DC19" i="1"/>
  <c r="DC22" i="1"/>
  <c r="DC23" i="1"/>
  <c r="DC25" i="1"/>
  <c r="DC26" i="1"/>
  <c r="ES50" i="1"/>
  <c r="ES41" i="1"/>
  <c r="EZ45" i="1"/>
  <c r="ES55" i="1"/>
  <c r="DQ14" i="1"/>
  <c r="DQ15" i="1"/>
  <c r="DQ17" i="1"/>
  <c r="DQ18" i="1"/>
  <c r="DQ24" i="1"/>
  <c r="DQ23" i="1"/>
  <c r="DQ25" i="1"/>
  <c r="DQ26" i="1"/>
  <c r="CO14" i="1"/>
  <c r="CO15" i="1"/>
  <c r="CO16" i="1"/>
  <c r="CO18" i="1"/>
  <c r="CO24" i="1"/>
  <c r="CO19" i="1"/>
  <c r="CO23" i="1"/>
  <c r="CO25" i="1"/>
  <c r="CO26" i="1"/>
  <c r="EZ74" i="1"/>
  <c r="GD74" i="1" s="1"/>
  <c r="EZ77" i="1"/>
  <c r="GD77" i="1" s="1"/>
  <c r="ES51" i="1"/>
  <c r="ES47" i="1"/>
  <c r="ES49" i="1"/>
  <c r="DQ19" i="1"/>
  <c r="EZ44" i="1"/>
  <c r="EZ52" i="1"/>
  <c r="EZ51" i="1"/>
  <c r="EZ53" i="1"/>
  <c r="EZ57" i="1"/>
  <c r="ES57" i="1"/>
  <c r="ES75" i="1"/>
  <c r="GC75" i="1" s="1"/>
  <c r="EZ76" i="1"/>
  <c r="GD76" i="1" s="1"/>
  <c r="ES48" i="1"/>
  <c r="ES77" i="1"/>
  <c r="GC77" i="1" s="1"/>
  <c r="EZ41" i="1"/>
  <c r="EP107" i="1"/>
  <c r="EZ70" i="1"/>
  <c r="ES71" i="1"/>
  <c r="EZ71" i="1"/>
  <c r="EZ72" i="1"/>
  <c r="EZ39" i="1"/>
  <c r="EZ50" i="1"/>
  <c r="ES42" i="1"/>
  <c r="ES44" i="1"/>
  <c r="EZ42" i="1"/>
  <c r="EZ40" i="1"/>
  <c r="EZ48" i="1"/>
  <c r="ES39" i="1"/>
  <c r="ES76" i="1"/>
  <c r="GC76" i="1" s="1"/>
  <c r="EZ75" i="1"/>
  <c r="GD75" i="1" s="1"/>
  <c r="EZ73" i="1"/>
  <c r="GD73" i="1" s="1"/>
  <c r="ES73" i="1"/>
  <c r="GC73" i="1" s="1"/>
  <c r="ES74" i="1"/>
  <c r="GC74" i="1" s="1"/>
  <c r="ES72" i="1"/>
  <c r="ES66" i="1"/>
  <c r="ES26" i="1"/>
  <c r="EZ22" i="1"/>
  <c r="EZ23" i="1"/>
  <c r="EX38" i="1"/>
  <c r="EZ12" i="1"/>
  <c r="EZ62" i="1"/>
  <c r="ES68" i="1"/>
  <c r="ES62" i="1"/>
  <c r="ES63" i="1"/>
  <c r="ES65" i="1"/>
  <c r="ES67" i="1"/>
  <c r="EZ14" i="1"/>
  <c r="ES69" i="1"/>
  <c r="EZ32" i="1"/>
  <c r="EN107" i="1"/>
  <c r="ES102" i="1"/>
  <c r="EZ102" i="1"/>
  <c r="ES104" i="1"/>
  <c r="ES105" i="1"/>
  <c r="ES106" i="1"/>
  <c r="EZ106" i="1"/>
  <c r="ET27" i="1"/>
  <c r="EZ24" i="1"/>
  <c r="ES70" i="1"/>
  <c r="EZ69" i="1"/>
  <c r="EZ64" i="1"/>
  <c r="ES64" i="1"/>
  <c r="EN27" i="1"/>
  <c r="ES22" i="1"/>
  <c r="EP38" i="1"/>
  <c r="ES32" i="1"/>
  <c r="EU38" i="1"/>
  <c r="ES20" i="1"/>
  <c r="ES17" i="1"/>
  <c r="ES23" i="1"/>
  <c r="EW27" i="1"/>
  <c r="EZ16" i="1"/>
  <c r="EZ17" i="1"/>
  <c r="EZ20" i="1"/>
  <c r="EZ34" i="1"/>
  <c r="EM38" i="1"/>
  <c r="EQ38" i="1"/>
  <c r="ES36" i="1"/>
  <c r="EZ36" i="1"/>
  <c r="EZ37" i="1"/>
  <c r="EZ99" i="1"/>
  <c r="ES108" i="1"/>
  <c r="GC108" i="1" s="1"/>
  <c r="EZ108" i="1"/>
  <c r="GD108" i="1" s="1"/>
  <c r="ES33" i="1"/>
  <c r="EW38" i="1"/>
  <c r="EZ25" i="1"/>
  <c r="ES16" i="1"/>
  <c r="EZ30" i="1"/>
  <c r="EM107" i="1"/>
  <c r="ES99" i="1"/>
  <c r="ES18" i="1"/>
  <c r="EY38" i="1"/>
  <c r="ES31" i="1"/>
  <c r="ES25" i="1"/>
  <c r="EZ31" i="1"/>
  <c r="ER38" i="1"/>
  <c r="ES37" i="1"/>
  <c r="ES30" i="1"/>
  <c r="EZ33" i="1"/>
  <c r="ET38" i="1"/>
  <c r="EZ29" i="1"/>
  <c r="ES29" i="1"/>
  <c r="EO38" i="1"/>
  <c r="EN38" i="1"/>
  <c r="EZ28" i="1"/>
  <c r="ES28" i="1"/>
  <c r="EV38" i="1"/>
  <c r="EZ35" i="1"/>
  <c r="ES35" i="1"/>
  <c r="ES34" i="1"/>
  <c r="EZ26" i="1"/>
  <c r="EY27" i="1"/>
  <c r="EU27" i="1"/>
  <c r="EZ21" i="1"/>
  <c r="EZ18" i="1"/>
  <c r="EZ15" i="1"/>
  <c r="ES24" i="1"/>
  <c r="EM27" i="1"/>
  <c r="ES21" i="1"/>
  <c r="ER27" i="1"/>
  <c r="ES15" i="1"/>
  <c r="ES14" i="1"/>
  <c r="EP27" i="1"/>
  <c r="ET107" i="1"/>
  <c r="EU107" i="1"/>
  <c r="EY107" i="1"/>
  <c r="EZ104" i="1"/>
  <c r="EX107" i="1"/>
  <c r="EZ105" i="1"/>
  <c r="EV107" i="1"/>
  <c r="ES12" i="1"/>
  <c r="EZ61" i="1"/>
  <c r="EZ63" i="1"/>
  <c r="EZ65" i="1"/>
  <c r="EZ66" i="1"/>
  <c r="EZ67" i="1"/>
  <c r="EZ68" i="1"/>
  <c r="ES61" i="1"/>
  <c r="EZ101" i="1"/>
  <c r="ES101" i="1"/>
  <c r="EE6" i="1"/>
  <c r="ER144" i="1" l="1"/>
  <c r="EM144" i="1"/>
  <c r="EQ144" i="1"/>
  <c r="GD55" i="1"/>
  <c r="GD39" i="1"/>
  <c r="GC58" i="1"/>
  <c r="GD54" i="1"/>
  <c r="GD57" i="1"/>
  <c r="GD44" i="1"/>
  <c r="GD40" i="1"/>
  <c r="GD53" i="1"/>
  <c r="GD56" i="1"/>
  <c r="GD49" i="1"/>
  <c r="GD51" i="1"/>
  <c r="GD48" i="1"/>
  <c r="GD45" i="1"/>
  <c r="GD58" i="1"/>
  <c r="GD50" i="1"/>
  <c r="GD46" i="1"/>
  <c r="EV144" i="1"/>
  <c r="EX144" i="1"/>
  <c r="FQ98" i="1"/>
  <c r="FQ144" i="1" s="1"/>
  <c r="FR97" i="1"/>
  <c r="EY144" i="1"/>
  <c r="EU144" i="1"/>
  <c r="ET144" i="1"/>
  <c r="EP144" i="1"/>
  <c r="EO144" i="1"/>
  <c r="EW144" i="1"/>
  <c r="EN144" i="1"/>
  <c r="GD110" i="1"/>
  <c r="GC110" i="1"/>
  <c r="EZ110" i="1"/>
  <c r="ES110" i="1"/>
  <c r="EZ98" i="1"/>
  <c r="ES98" i="1"/>
  <c r="G72" i="3"/>
  <c r="H72" i="3"/>
  <c r="G75" i="3"/>
  <c r="H75" i="3"/>
  <c r="H73" i="3"/>
  <c r="H74" i="3"/>
  <c r="G74" i="3"/>
  <c r="G73" i="3"/>
  <c r="H76" i="3"/>
  <c r="G76" i="3"/>
  <c r="ES60" i="1"/>
  <c r="EZ60" i="1"/>
  <c r="ES107" i="1"/>
  <c r="ES100" i="1"/>
  <c r="EZ100" i="1"/>
  <c r="EZ27" i="1"/>
  <c r="EZ38" i="1"/>
  <c r="ES38" i="1"/>
  <c r="ES27" i="1"/>
  <c r="EZ107" i="1"/>
  <c r="EE7" i="1"/>
  <c r="EZ144" i="1" l="1"/>
  <c r="FR98" i="1"/>
  <c r="FR144" i="1" s="1"/>
  <c r="FS97" i="1"/>
  <c r="FT97" i="1" s="1"/>
  <c r="ES144" i="1"/>
  <c r="G107" i="3"/>
  <c r="H107" i="3"/>
  <c r="EF100" i="1"/>
  <c r="EG100" i="1"/>
  <c r="EH100" i="1"/>
  <c r="EI100" i="1"/>
  <c r="EJ100" i="1"/>
  <c r="EK100" i="1"/>
  <c r="DY100" i="1"/>
  <c r="DZ100" i="1"/>
  <c r="EA100" i="1"/>
  <c r="EB100" i="1"/>
  <c r="EC100" i="1"/>
  <c r="ED100" i="1"/>
  <c r="EE5" i="1"/>
  <c r="EE8" i="1"/>
  <c r="EE10" i="1"/>
  <c r="EF12" i="1"/>
  <c r="EG12" i="1"/>
  <c r="EH12" i="1"/>
  <c r="EI12" i="1"/>
  <c r="EJ12" i="1"/>
  <c r="EK12" i="1"/>
  <c r="EL12" i="1"/>
  <c r="EE14" i="1"/>
  <c r="EL14" i="1"/>
  <c r="EE15" i="1"/>
  <c r="EL15" i="1"/>
  <c r="EE16" i="1"/>
  <c r="EL16" i="1"/>
  <c r="EE17" i="1"/>
  <c r="EL17" i="1"/>
  <c r="EE18" i="1"/>
  <c r="EL18" i="1"/>
  <c r="EE24" i="1"/>
  <c r="EL24" i="1"/>
  <c r="EE20" i="1"/>
  <c r="GC20" i="1" s="1"/>
  <c r="EL20" i="1"/>
  <c r="GD20" i="1" s="1"/>
  <c r="EE21" i="1"/>
  <c r="GC21" i="1" s="1"/>
  <c r="EL21" i="1"/>
  <c r="GD21" i="1" s="1"/>
  <c r="EE22" i="1"/>
  <c r="EL22" i="1"/>
  <c r="EE23" i="1"/>
  <c r="EL23" i="1"/>
  <c r="EE25" i="1"/>
  <c r="EL25" i="1"/>
  <c r="EE26" i="1"/>
  <c r="EL26" i="1"/>
  <c r="EE28" i="1"/>
  <c r="EL28" i="1"/>
  <c r="EE29" i="1"/>
  <c r="EL29" i="1"/>
  <c r="EE30" i="1"/>
  <c r="EL30" i="1"/>
  <c r="EE31" i="1"/>
  <c r="EL31" i="1"/>
  <c r="EE33" i="1"/>
  <c r="EL33" i="1"/>
  <c r="EE34" i="1"/>
  <c r="EL34" i="1"/>
  <c r="EE35" i="1"/>
  <c r="EL35" i="1"/>
  <c r="EE32" i="1"/>
  <c r="EL32" i="1"/>
  <c r="EE36" i="1"/>
  <c r="EL36" i="1"/>
  <c r="EE37" i="1"/>
  <c r="EL37" i="1"/>
  <c r="EF38" i="1"/>
  <c r="EG38" i="1"/>
  <c r="EH38" i="1"/>
  <c r="EI38" i="1"/>
  <c r="EJ38" i="1"/>
  <c r="EK38" i="1"/>
  <c r="EF60" i="1"/>
  <c r="EG60" i="1"/>
  <c r="EH60" i="1"/>
  <c r="EI60" i="1"/>
  <c r="EJ60" i="1"/>
  <c r="EK60" i="1"/>
  <c r="EF61" i="1"/>
  <c r="EG61" i="1"/>
  <c r="EH61" i="1"/>
  <c r="EI61" i="1"/>
  <c r="EJ61" i="1"/>
  <c r="EK61" i="1"/>
  <c r="EF62" i="1"/>
  <c r="EG62" i="1"/>
  <c r="EH62" i="1"/>
  <c r="EI62" i="1"/>
  <c r="EJ62" i="1"/>
  <c r="EK62" i="1"/>
  <c r="EF63" i="1"/>
  <c r="EG63" i="1"/>
  <c r="EH63" i="1"/>
  <c r="EI63" i="1"/>
  <c r="EJ63" i="1"/>
  <c r="EK63" i="1"/>
  <c r="EF64" i="1"/>
  <c r="EG64" i="1"/>
  <c r="EH64" i="1"/>
  <c r="EI64" i="1"/>
  <c r="EJ64" i="1"/>
  <c r="EK64" i="1"/>
  <c r="EF65" i="1"/>
  <c r="EG65" i="1"/>
  <c r="EH65" i="1"/>
  <c r="EI65" i="1"/>
  <c r="EJ65" i="1"/>
  <c r="EK65" i="1"/>
  <c r="EF66" i="1"/>
  <c r="EG66" i="1"/>
  <c r="EH66" i="1"/>
  <c r="EI66" i="1"/>
  <c r="EJ66" i="1"/>
  <c r="EK66" i="1"/>
  <c r="EF67" i="1"/>
  <c r="EG67" i="1"/>
  <c r="EH67" i="1"/>
  <c r="EI67" i="1"/>
  <c r="EJ67" i="1"/>
  <c r="EK67" i="1"/>
  <c r="EF68" i="1"/>
  <c r="EG68" i="1"/>
  <c r="EH68" i="1"/>
  <c r="EI68" i="1"/>
  <c r="EJ68" i="1"/>
  <c r="EK68" i="1"/>
  <c r="EF69" i="1"/>
  <c r="EG69" i="1"/>
  <c r="EH69" i="1"/>
  <c r="EI69" i="1"/>
  <c r="EJ69" i="1"/>
  <c r="EK69" i="1"/>
  <c r="EF70" i="1"/>
  <c r="EG70" i="1"/>
  <c r="EH70" i="1"/>
  <c r="EI70" i="1"/>
  <c r="EJ70" i="1"/>
  <c r="EK70" i="1"/>
  <c r="EF71" i="1"/>
  <c r="EG71" i="1"/>
  <c r="EH71" i="1"/>
  <c r="EI71" i="1"/>
  <c r="EJ71" i="1"/>
  <c r="EK71" i="1"/>
  <c r="EF72" i="1"/>
  <c r="EG72" i="1"/>
  <c r="EH72" i="1"/>
  <c r="EI72" i="1"/>
  <c r="EJ72" i="1"/>
  <c r="EK72" i="1"/>
  <c r="EE99" i="1"/>
  <c r="EE100" i="1" s="1"/>
  <c r="EL99" i="1"/>
  <c r="EL100" i="1" s="1"/>
  <c r="EF101" i="1"/>
  <c r="EG101" i="1"/>
  <c r="EH101" i="1"/>
  <c r="EI101" i="1"/>
  <c r="EJ101" i="1"/>
  <c r="EK101" i="1"/>
  <c r="EF102" i="1"/>
  <c r="EG102" i="1"/>
  <c r="EH102" i="1"/>
  <c r="EI102" i="1"/>
  <c r="EJ102" i="1"/>
  <c r="EK102" i="1"/>
  <c r="EF103" i="1"/>
  <c r="EG103" i="1"/>
  <c r="EH103" i="1"/>
  <c r="EI103" i="1"/>
  <c r="EJ103" i="1"/>
  <c r="EK103" i="1"/>
  <c r="EF104" i="1"/>
  <c r="EG104" i="1"/>
  <c r="EH104" i="1"/>
  <c r="EI104" i="1"/>
  <c r="EJ104" i="1"/>
  <c r="EK104" i="1"/>
  <c r="EF105" i="1"/>
  <c r="EG105" i="1"/>
  <c r="EH105" i="1"/>
  <c r="EI105" i="1"/>
  <c r="EJ105" i="1"/>
  <c r="EK105" i="1"/>
  <c r="EF106" i="1"/>
  <c r="EG106" i="1"/>
  <c r="EH106" i="1"/>
  <c r="EI106" i="1"/>
  <c r="EJ106" i="1"/>
  <c r="EK106" i="1"/>
  <c r="FS98" i="1" l="1"/>
  <c r="FS144" i="1" s="1"/>
  <c r="FT98" i="1"/>
  <c r="FT144" i="1" s="1"/>
  <c r="FU97" i="1"/>
  <c r="E96" i="3" s="1"/>
  <c r="EK98" i="1"/>
  <c r="EG98" i="1"/>
  <c r="EH98" i="1"/>
  <c r="EJ98" i="1"/>
  <c r="EF98" i="1"/>
  <c r="EI98" i="1"/>
  <c r="H109" i="3"/>
  <c r="F20" i="2"/>
  <c r="G109" i="3"/>
  <c r="E20" i="2"/>
  <c r="EL27" i="1"/>
  <c r="EL60" i="1"/>
  <c r="EL38" i="1"/>
  <c r="EE38" i="1"/>
  <c r="EE27" i="1"/>
  <c r="EG107" i="1"/>
  <c r="EI107" i="1"/>
  <c r="EL61" i="1"/>
  <c r="EL71" i="1"/>
  <c r="EL63" i="1"/>
  <c r="EJ107" i="1"/>
  <c r="EL69" i="1"/>
  <c r="EL106" i="1"/>
  <c r="EK107" i="1"/>
  <c r="EL65" i="1"/>
  <c r="EL101" i="1"/>
  <c r="EL66" i="1"/>
  <c r="EH107" i="1"/>
  <c r="EL102" i="1"/>
  <c r="EL67" i="1"/>
  <c r="EL103" i="1"/>
  <c r="GD103" i="1" s="1"/>
  <c r="EL68" i="1"/>
  <c r="EL104" i="1"/>
  <c r="EL105" i="1"/>
  <c r="EL70" i="1"/>
  <c r="EL62" i="1"/>
  <c r="EF107" i="1"/>
  <c r="EL72" i="1"/>
  <c r="EL64" i="1"/>
  <c r="EE12" i="1"/>
  <c r="DQ9" i="1"/>
  <c r="DC9" i="1"/>
  <c r="CO9" i="1"/>
  <c r="DQ10" i="1"/>
  <c r="DC10" i="1"/>
  <c r="CO10" i="1"/>
  <c r="EF144" i="1" l="1"/>
  <c r="EI144" i="1"/>
  <c r="EH144" i="1"/>
  <c r="EG144" i="1"/>
  <c r="EK144" i="1"/>
  <c r="FV97" i="1"/>
  <c r="FW97" i="1" s="1"/>
  <c r="FW98" i="1" s="1"/>
  <c r="FW144" i="1" s="1"/>
  <c r="FU98" i="1"/>
  <c r="E97" i="3" s="1"/>
  <c r="EJ144" i="1"/>
  <c r="EL98" i="1"/>
  <c r="EL107" i="1"/>
  <c r="DQ7" i="1"/>
  <c r="DC7" i="1"/>
  <c r="CO7" i="1"/>
  <c r="EL144" i="1" l="1"/>
  <c r="FU144" i="1"/>
  <c r="E143" i="3" s="1"/>
  <c r="C17" i="2"/>
  <c r="C26" i="2" s="1"/>
  <c r="FV98" i="1"/>
  <c r="FV144" i="1" s="1"/>
  <c r="FX97" i="1"/>
  <c r="DQ6" i="1"/>
  <c r="DC6" i="1"/>
  <c r="CO6" i="1"/>
  <c r="DQ8" i="1"/>
  <c r="DC8" i="1"/>
  <c r="CO8" i="1"/>
  <c r="CO5" i="1"/>
  <c r="DC5" i="1"/>
  <c r="DQ5" i="1"/>
  <c r="FX98" i="1" l="1"/>
  <c r="FX144" i="1" s="1"/>
  <c r="FY97" i="1"/>
  <c r="FY98" i="1" s="1"/>
  <c r="FY144" i="1" s="1"/>
  <c r="DY60" i="1"/>
  <c r="DZ60" i="1"/>
  <c r="EA60" i="1"/>
  <c r="EB60" i="1"/>
  <c r="EC60" i="1"/>
  <c r="ED60" i="1"/>
  <c r="ED72" i="1"/>
  <c r="EC72" i="1"/>
  <c r="EB72" i="1"/>
  <c r="EA72" i="1"/>
  <c r="DZ72" i="1"/>
  <c r="DY72" i="1"/>
  <c r="ED71" i="1"/>
  <c r="EC71" i="1"/>
  <c r="EB71" i="1"/>
  <c r="EA71" i="1"/>
  <c r="DZ71" i="1"/>
  <c r="DY71" i="1"/>
  <c r="ED70" i="1"/>
  <c r="EC70" i="1"/>
  <c r="EB70" i="1"/>
  <c r="EA70" i="1"/>
  <c r="DZ70" i="1"/>
  <c r="DY70" i="1"/>
  <c r="ED69" i="1"/>
  <c r="EC69" i="1"/>
  <c r="EB69" i="1"/>
  <c r="EA69" i="1"/>
  <c r="DZ69" i="1"/>
  <c r="DY69" i="1"/>
  <c r="ED68" i="1"/>
  <c r="EC68" i="1"/>
  <c r="EB68" i="1"/>
  <c r="EA68" i="1"/>
  <c r="DZ68" i="1"/>
  <c r="DY68" i="1"/>
  <c r="ED67" i="1"/>
  <c r="EC67" i="1"/>
  <c r="EB67" i="1"/>
  <c r="EA67" i="1"/>
  <c r="DZ67" i="1"/>
  <c r="DY67" i="1"/>
  <c r="ED66" i="1"/>
  <c r="EC66" i="1"/>
  <c r="EB66" i="1"/>
  <c r="EA66" i="1"/>
  <c r="DZ66" i="1"/>
  <c r="DY66" i="1"/>
  <c r="ED65" i="1"/>
  <c r="EC65" i="1"/>
  <c r="EB65" i="1"/>
  <c r="EA65" i="1"/>
  <c r="DZ65" i="1"/>
  <c r="DY65" i="1"/>
  <c r="ED64" i="1"/>
  <c r="EC64" i="1"/>
  <c r="EB64" i="1"/>
  <c r="EA64" i="1"/>
  <c r="DZ64" i="1"/>
  <c r="DY64" i="1"/>
  <c r="ED63" i="1"/>
  <c r="EC63" i="1"/>
  <c r="EB63" i="1"/>
  <c r="EA63" i="1"/>
  <c r="DZ63" i="1"/>
  <c r="DY63" i="1"/>
  <c r="ED62" i="1"/>
  <c r="EC62" i="1"/>
  <c r="EB62" i="1"/>
  <c r="EA62" i="1"/>
  <c r="DZ62" i="1"/>
  <c r="DY62" i="1"/>
  <c r="ED61" i="1"/>
  <c r="EC61" i="1"/>
  <c r="EB61" i="1"/>
  <c r="EA61" i="1"/>
  <c r="DZ61" i="1"/>
  <c r="DY61" i="1"/>
  <c r="FZ97" i="1" l="1"/>
  <c r="FZ98" i="1" s="1"/>
  <c r="FZ144" i="1" s="1"/>
  <c r="DZ98" i="1"/>
  <c r="ED98" i="1"/>
  <c r="EC98" i="1"/>
  <c r="DY98" i="1"/>
  <c r="EA98" i="1"/>
  <c r="EB98" i="1"/>
  <c r="EE61" i="1"/>
  <c r="EE69" i="1"/>
  <c r="EE65" i="1"/>
  <c r="EE72" i="1"/>
  <c r="EE68" i="1"/>
  <c r="EE64" i="1"/>
  <c r="EE63" i="1"/>
  <c r="EE71" i="1"/>
  <c r="EE62" i="1"/>
  <c r="EE70" i="1"/>
  <c r="EE67" i="1"/>
  <c r="EE66" i="1"/>
  <c r="GA97" i="1" l="1"/>
  <c r="GA98" i="1" s="1"/>
  <c r="GA144" i="1" s="1"/>
  <c r="GB97" i="1"/>
  <c r="GD97" i="1"/>
  <c r="H96" i="3" s="1"/>
  <c r="EE98" i="1"/>
  <c r="DY38" i="1"/>
  <c r="DZ38" i="1"/>
  <c r="EA38" i="1"/>
  <c r="EB38" i="1"/>
  <c r="EC38" i="1"/>
  <c r="ED38" i="1"/>
  <c r="DJ15" i="1"/>
  <c r="DY27" i="1"/>
  <c r="DZ27" i="1"/>
  <c r="EA27" i="1"/>
  <c r="EB27" i="1"/>
  <c r="EC27" i="1"/>
  <c r="ED27" i="1"/>
  <c r="GB98" i="1" l="1"/>
  <c r="D17" i="2" s="1"/>
  <c r="D26" i="2" s="1"/>
  <c r="F96" i="3"/>
  <c r="H19" i="3"/>
  <c r="H20" i="3"/>
  <c r="G19" i="3"/>
  <c r="G20" i="3"/>
  <c r="ED103" i="1"/>
  <c r="EC103" i="1"/>
  <c r="EB103" i="1"/>
  <c r="EA103" i="1"/>
  <c r="DZ103" i="1"/>
  <c r="DY103" i="1"/>
  <c r="ED106" i="1"/>
  <c r="EC106" i="1"/>
  <c r="EB106" i="1"/>
  <c r="EA106" i="1"/>
  <c r="DZ106" i="1"/>
  <c r="DY106" i="1"/>
  <c r="ED104" i="1"/>
  <c r="EC104" i="1"/>
  <c r="EB104" i="1"/>
  <c r="EA104" i="1"/>
  <c r="DZ104" i="1"/>
  <c r="DY104" i="1"/>
  <c r="ED105" i="1"/>
  <c r="EC105" i="1"/>
  <c r="EB105" i="1"/>
  <c r="EA105" i="1"/>
  <c r="DZ105" i="1"/>
  <c r="DY105" i="1"/>
  <c r="ED102" i="1"/>
  <c r="EC102" i="1"/>
  <c r="EB102" i="1"/>
  <c r="EA102" i="1"/>
  <c r="DZ102" i="1"/>
  <c r="DY102" i="1"/>
  <c r="EA101" i="1"/>
  <c r="ED101" i="1"/>
  <c r="EC101" i="1"/>
  <c r="EB101" i="1"/>
  <c r="DZ101" i="1"/>
  <c r="DY101" i="1"/>
  <c r="GB144" i="1" l="1"/>
  <c r="F97" i="3"/>
  <c r="EE105" i="1"/>
  <c r="EE103" i="1"/>
  <c r="GC103" i="1" s="1"/>
  <c r="EE102" i="1"/>
  <c r="EE106" i="1"/>
  <c r="EE104" i="1"/>
  <c r="EE101" i="1"/>
  <c r="H102" i="3"/>
  <c r="DZ107" i="1"/>
  <c r="EC107" i="1"/>
  <c r="ED107" i="1"/>
  <c r="EB107" i="1"/>
  <c r="EA107" i="1"/>
  <c r="DY107" i="1"/>
  <c r="DY12" i="1"/>
  <c r="DZ12" i="1"/>
  <c r="EA12" i="1"/>
  <c r="EB12" i="1"/>
  <c r="EC12" i="1"/>
  <c r="ED12" i="1"/>
  <c r="F143" i="3" l="1"/>
  <c r="EA144" i="1"/>
  <c r="DZ144" i="1"/>
  <c r="EB144" i="1"/>
  <c r="ED144" i="1"/>
  <c r="DY144" i="1"/>
  <c r="EC144" i="1"/>
  <c r="G102" i="3"/>
  <c r="EE107" i="1"/>
  <c r="DO100" i="1"/>
  <c r="DP100" i="1"/>
  <c r="DR100" i="1"/>
  <c r="DS100" i="1"/>
  <c r="DT100" i="1"/>
  <c r="DU100" i="1"/>
  <c r="DV100" i="1"/>
  <c r="DW100" i="1"/>
  <c r="DK100" i="1"/>
  <c r="DL100" i="1"/>
  <c r="DM100" i="1"/>
  <c r="DN100" i="1"/>
  <c r="DX99" i="1"/>
  <c r="DX100" i="1" s="1"/>
  <c r="DQ99" i="1"/>
  <c r="DQ100" i="1" s="1"/>
  <c r="CC99" i="1"/>
  <c r="DR27" i="1" l="1"/>
  <c r="DS27" i="1"/>
  <c r="DT27" i="1"/>
  <c r="DU27" i="1"/>
  <c r="DV27" i="1"/>
  <c r="DW27" i="1"/>
  <c r="DX15" i="1"/>
  <c r="DX16" i="1"/>
  <c r="DX17" i="1"/>
  <c r="DX18" i="1"/>
  <c r="DX24" i="1"/>
  <c r="DX19" i="1"/>
  <c r="DX22" i="1"/>
  <c r="DX23" i="1"/>
  <c r="DX25" i="1"/>
  <c r="DX26" i="1"/>
  <c r="DX14" i="1"/>
  <c r="DL27" i="1"/>
  <c r="DM27" i="1"/>
  <c r="DN27" i="1"/>
  <c r="DO27" i="1"/>
  <c r="DP27" i="1"/>
  <c r="DK27" i="1"/>
  <c r="DQ27" i="1" l="1"/>
  <c r="DX27" i="1"/>
  <c r="E60" i="1" l="1"/>
  <c r="F60" i="1"/>
  <c r="G60" i="1"/>
  <c r="H60" i="1"/>
  <c r="I60" i="1"/>
  <c r="J60" i="1"/>
  <c r="K60" i="1"/>
  <c r="L60" i="1"/>
  <c r="M60" i="1"/>
  <c r="N60" i="1"/>
  <c r="O60" i="1"/>
  <c r="P60" i="1"/>
  <c r="Q60" i="1"/>
  <c r="S60" i="1"/>
  <c r="T60" i="1"/>
  <c r="U60" i="1"/>
  <c r="V60" i="1"/>
  <c r="W60" i="1"/>
  <c r="X60" i="1"/>
  <c r="Y60" i="1"/>
  <c r="Z60" i="1"/>
  <c r="AS60" i="1"/>
  <c r="AT60" i="1"/>
  <c r="AU60" i="1"/>
  <c r="AV60" i="1"/>
  <c r="AW60" i="1"/>
  <c r="AX60" i="1"/>
  <c r="AZ60" i="1"/>
  <c r="BA60" i="1"/>
  <c r="BB60" i="1"/>
  <c r="BC60" i="1"/>
  <c r="BD60" i="1"/>
  <c r="BE60" i="1"/>
  <c r="BG60" i="1"/>
  <c r="BH60" i="1"/>
  <c r="BI60" i="1"/>
  <c r="BJ60" i="1"/>
  <c r="BK60" i="1"/>
  <c r="BL60" i="1"/>
  <c r="BN60" i="1"/>
  <c r="BO60" i="1"/>
  <c r="BP60" i="1"/>
  <c r="BQ60" i="1"/>
  <c r="BR60" i="1"/>
  <c r="BS60" i="1"/>
  <c r="BU60" i="1"/>
  <c r="BV60" i="1"/>
  <c r="BW60" i="1"/>
  <c r="BX60" i="1"/>
  <c r="BY60" i="1"/>
  <c r="BZ60" i="1"/>
  <c r="CB60" i="1"/>
  <c r="CC60" i="1"/>
  <c r="CD60" i="1"/>
  <c r="CE60" i="1"/>
  <c r="CF60" i="1"/>
  <c r="CG60" i="1"/>
  <c r="CI60" i="1"/>
  <c r="CJ60" i="1"/>
  <c r="CK60" i="1"/>
  <c r="CL60" i="1"/>
  <c r="CM60" i="1"/>
  <c r="CN60" i="1"/>
  <c r="CP60" i="1"/>
  <c r="CQ60" i="1"/>
  <c r="CR60" i="1"/>
  <c r="CS60" i="1"/>
  <c r="CT60" i="1"/>
  <c r="CU60" i="1"/>
  <c r="CW60" i="1"/>
  <c r="CX60" i="1"/>
  <c r="CY60" i="1"/>
  <c r="CZ60" i="1"/>
  <c r="DA60" i="1"/>
  <c r="DB60" i="1"/>
  <c r="DD60" i="1"/>
  <c r="DE60" i="1"/>
  <c r="DF60" i="1"/>
  <c r="DG60" i="1"/>
  <c r="DH60" i="1"/>
  <c r="DI60" i="1"/>
  <c r="DK60" i="1"/>
  <c r="DL60" i="1"/>
  <c r="DM60" i="1"/>
  <c r="DN60" i="1"/>
  <c r="DO60" i="1"/>
  <c r="DP60" i="1"/>
  <c r="DR60" i="1"/>
  <c r="DS60" i="1"/>
  <c r="DT60" i="1"/>
  <c r="DU60" i="1"/>
  <c r="DV60" i="1"/>
  <c r="DW60" i="1"/>
  <c r="H57" i="3" l="1"/>
  <c r="DQ60" i="1"/>
  <c r="DX60" i="1"/>
  <c r="N150" i="3"/>
  <c r="DS28" i="1"/>
  <c r="DT28" i="1"/>
  <c r="DU28" i="1"/>
  <c r="DV28" i="1"/>
  <c r="DS29" i="1"/>
  <c r="DT29" i="1"/>
  <c r="DU29" i="1"/>
  <c r="DV29" i="1"/>
  <c r="DS30" i="1"/>
  <c r="DT30" i="1"/>
  <c r="DU30" i="1"/>
  <c r="DV30" i="1"/>
  <c r="DS31" i="1"/>
  <c r="DT31" i="1"/>
  <c r="DU31" i="1"/>
  <c r="DV31" i="1"/>
  <c r="DS33" i="1"/>
  <c r="DT33" i="1"/>
  <c r="DU33" i="1"/>
  <c r="DV33" i="1"/>
  <c r="DS34" i="1"/>
  <c r="DT34" i="1"/>
  <c r="DU34" i="1"/>
  <c r="DV34" i="1"/>
  <c r="DS35" i="1"/>
  <c r="DT35" i="1"/>
  <c r="DU35" i="1"/>
  <c r="DV35" i="1"/>
  <c r="DS32" i="1"/>
  <c r="DT32" i="1"/>
  <c r="DU32" i="1"/>
  <c r="DV32" i="1"/>
  <c r="DS36" i="1"/>
  <c r="DT36" i="1"/>
  <c r="DU36" i="1"/>
  <c r="DV36" i="1"/>
  <c r="DS37" i="1"/>
  <c r="DT37" i="1"/>
  <c r="DU37" i="1"/>
  <c r="DV37" i="1"/>
  <c r="DR29" i="1"/>
  <c r="DR30" i="1"/>
  <c r="DR31" i="1"/>
  <c r="DR33" i="1"/>
  <c r="DR34" i="1"/>
  <c r="DR35" i="1"/>
  <c r="DR32" i="1"/>
  <c r="DR36" i="1"/>
  <c r="DR37" i="1"/>
  <c r="DR28" i="1"/>
  <c r="DL28" i="1"/>
  <c r="DM28" i="1"/>
  <c r="DN28" i="1"/>
  <c r="DO28" i="1"/>
  <c r="DP28" i="1"/>
  <c r="DL29" i="1"/>
  <c r="DM29" i="1"/>
  <c r="DN29" i="1"/>
  <c r="DO29" i="1"/>
  <c r="DP29" i="1"/>
  <c r="DL30" i="1"/>
  <c r="DM30" i="1"/>
  <c r="DN30" i="1"/>
  <c r="DO30" i="1"/>
  <c r="DP30" i="1"/>
  <c r="DL31" i="1"/>
  <c r="DM31" i="1"/>
  <c r="DN31" i="1"/>
  <c r="DO31" i="1"/>
  <c r="DP31" i="1"/>
  <c r="DL33" i="1"/>
  <c r="DM33" i="1"/>
  <c r="DN33" i="1"/>
  <c r="DO33" i="1"/>
  <c r="DP33" i="1"/>
  <c r="DL34" i="1"/>
  <c r="DM34" i="1"/>
  <c r="DN34" i="1"/>
  <c r="DO34" i="1"/>
  <c r="DP34" i="1"/>
  <c r="DL35" i="1"/>
  <c r="DM35" i="1"/>
  <c r="DN35" i="1"/>
  <c r="DO35" i="1"/>
  <c r="DP35" i="1"/>
  <c r="DL32" i="1"/>
  <c r="DM32" i="1"/>
  <c r="DN32" i="1"/>
  <c r="DO32" i="1"/>
  <c r="DP32" i="1"/>
  <c r="DL36" i="1"/>
  <c r="DM36" i="1"/>
  <c r="DN36" i="1"/>
  <c r="DO36" i="1"/>
  <c r="DP36" i="1"/>
  <c r="DL37" i="1"/>
  <c r="DM37" i="1"/>
  <c r="DN37" i="1"/>
  <c r="DO37" i="1"/>
  <c r="DP37" i="1"/>
  <c r="DK29" i="1"/>
  <c r="DK30" i="1"/>
  <c r="DK31" i="1"/>
  <c r="DK33" i="1"/>
  <c r="DK34" i="1"/>
  <c r="DK35" i="1"/>
  <c r="DK32" i="1"/>
  <c r="DK36" i="1"/>
  <c r="DK37" i="1"/>
  <c r="DK28" i="1"/>
  <c r="DV59" i="1" l="1"/>
  <c r="DX36" i="1"/>
  <c r="DQ36" i="1"/>
  <c r="DX28" i="1"/>
  <c r="DQ33" i="1"/>
  <c r="DQ28" i="1"/>
  <c r="DX34" i="1"/>
  <c r="DX37" i="1"/>
  <c r="DX30" i="1"/>
  <c r="DX29" i="1"/>
  <c r="DQ35" i="1"/>
  <c r="DN38" i="1"/>
  <c r="DX31" i="1"/>
  <c r="DP38" i="1"/>
  <c r="DX33" i="1"/>
  <c r="DQ30" i="1"/>
  <c r="DO38" i="1"/>
  <c r="DQ37" i="1"/>
  <c r="DQ29" i="1"/>
  <c r="DQ34" i="1"/>
  <c r="DM38" i="1"/>
  <c r="DX32" i="1"/>
  <c r="DQ32" i="1"/>
  <c r="DQ31" i="1"/>
  <c r="DL38" i="1"/>
  <c r="DX35" i="1"/>
  <c r="DU38" i="1"/>
  <c r="DK38" i="1"/>
  <c r="DR38" i="1"/>
  <c r="DW38" i="1"/>
  <c r="DT38" i="1"/>
  <c r="C27" i="2"/>
  <c r="DV38" i="1"/>
  <c r="DS38" i="1"/>
  <c r="DE61" i="1"/>
  <c r="DF61" i="1"/>
  <c r="DG61" i="1"/>
  <c r="DH61" i="1"/>
  <c r="DI61" i="1"/>
  <c r="DE62" i="1"/>
  <c r="DF62" i="1"/>
  <c r="DG62" i="1"/>
  <c r="DH62" i="1"/>
  <c r="DI62" i="1"/>
  <c r="DE63" i="1"/>
  <c r="DF63" i="1"/>
  <c r="DG63" i="1"/>
  <c r="DH63" i="1"/>
  <c r="DI63" i="1"/>
  <c r="DE64" i="1"/>
  <c r="DF64" i="1"/>
  <c r="DG64" i="1"/>
  <c r="DH64" i="1"/>
  <c r="DI64" i="1"/>
  <c r="DE65" i="1"/>
  <c r="DF65" i="1"/>
  <c r="DG65" i="1"/>
  <c r="DH65" i="1"/>
  <c r="DI65" i="1"/>
  <c r="DE66" i="1"/>
  <c r="DF66" i="1"/>
  <c r="DG66" i="1"/>
  <c r="DH66" i="1"/>
  <c r="DI66" i="1"/>
  <c r="DE67" i="1"/>
  <c r="DF67" i="1"/>
  <c r="DG67" i="1"/>
  <c r="DH67" i="1"/>
  <c r="DI67" i="1"/>
  <c r="DE68" i="1"/>
  <c r="DF68" i="1"/>
  <c r="DG68" i="1"/>
  <c r="DH68" i="1"/>
  <c r="DI68" i="1"/>
  <c r="DE69" i="1"/>
  <c r="DF69" i="1"/>
  <c r="DG69" i="1"/>
  <c r="DH69" i="1"/>
  <c r="DI69" i="1"/>
  <c r="DE70" i="1"/>
  <c r="DF70" i="1"/>
  <c r="DG70" i="1"/>
  <c r="DH70" i="1"/>
  <c r="DI70" i="1"/>
  <c r="DE71" i="1"/>
  <c r="DF71" i="1"/>
  <c r="DG71" i="1"/>
  <c r="DH71" i="1"/>
  <c r="DI71" i="1"/>
  <c r="DE72" i="1"/>
  <c r="DF72" i="1"/>
  <c r="DG72" i="1"/>
  <c r="DH72" i="1"/>
  <c r="DI72" i="1"/>
  <c r="DD62" i="1"/>
  <c r="DD63" i="1"/>
  <c r="DD64" i="1"/>
  <c r="DD65" i="1"/>
  <c r="DD66" i="1"/>
  <c r="DD67" i="1"/>
  <c r="DD68" i="1"/>
  <c r="DD69" i="1"/>
  <c r="DD70" i="1"/>
  <c r="DD71" i="1"/>
  <c r="DD72" i="1"/>
  <c r="DD61" i="1"/>
  <c r="CX61" i="1"/>
  <c r="CY61" i="1"/>
  <c r="CZ61" i="1"/>
  <c r="DA61" i="1"/>
  <c r="DB61" i="1"/>
  <c r="DC61" i="1"/>
  <c r="CX62" i="1"/>
  <c r="CY62" i="1"/>
  <c r="CZ62" i="1"/>
  <c r="DA62" i="1"/>
  <c r="DB62" i="1"/>
  <c r="DC62" i="1"/>
  <c r="CX63" i="1"/>
  <c r="CY63" i="1"/>
  <c r="CZ63" i="1"/>
  <c r="DA63" i="1"/>
  <c r="DB63" i="1"/>
  <c r="DC63" i="1"/>
  <c r="CX64" i="1"/>
  <c r="CY64" i="1"/>
  <c r="CZ64" i="1"/>
  <c r="DA64" i="1"/>
  <c r="DB64" i="1"/>
  <c r="DC64" i="1"/>
  <c r="CX65" i="1"/>
  <c r="CY65" i="1"/>
  <c r="CZ65" i="1"/>
  <c r="DA65" i="1"/>
  <c r="DB65" i="1"/>
  <c r="DC65" i="1"/>
  <c r="CX66" i="1"/>
  <c r="CY66" i="1"/>
  <c r="CZ66" i="1"/>
  <c r="DA66" i="1"/>
  <c r="DB66" i="1"/>
  <c r="DC66" i="1"/>
  <c r="CX67" i="1"/>
  <c r="CY67" i="1"/>
  <c r="CZ67" i="1"/>
  <c r="DA67" i="1"/>
  <c r="DB67" i="1"/>
  <c r="DC67" i="1"/>
  <c r="CX68" i="1"/>
  <c r="CY68" i="1"/>
  <c r="CZ68" i="1"/>
  <c r="DA68" i="1"/>
  <c r="DB68" i="1"/>
  <c r="DC68" i="1"/>
  <c r="CX69" i="1"/>
  <c r="CY69" i="1"/>
  <c r="CZ69" i="1"/>
  <c r="DA69" i="1"/>
  <c r="DB69" i="1"/>
  <c r="DC69" i="1"/>
  <c r="CX70" i="1"/>
  <c r="CY70" i="1"/>
  <c r="CZ70" i="1"/>
  <c r="DA70" i="1"/>
  <c r="DB70" i="1"/>
  <c r="DC70" i="1"/>
  <c r="CX71" i="1"/>
  <c r="CY71" i="1"/>
  <c r="CZ71" i="1"/>
  <c r="DA71" i="1"/>
  <c r="DB71" i="1"/>
  <c r="DC71" i="1"/>
  <c r="CX72" i="1"/>
  <c r="CY72" i="1"/>
  <c r="CZ72" i="1"/>
  <c r="DA72" i="1"/>
  <c r="DB72" i="1"/>
  <c r="DC72" i="1"/>
  <c r="CW62" i="1"/>
  <c r="CW63" i="1"/>
  <c r="CW64" i="1"/>
  <c r="CW65" i="1"/>
  <c r="CW66" i="1"/>
  <c r="CW67" i="1"/>
  <c r="CW68" i="1"/>
  <c r="CW69" i="1"/>
  <c r="CW70" i="1"/>
  <c r="CW71" i="1"/>
  <c r="CW72" i="1"/>
  <c r="CW61" i="1"/>
  <c r="CQ61" i="1"/>
  <c r="CR61" i="1"/>
  <c r="CS61" i="1"/>
  <c r="CT61" i="1"/>
  <c r="CU61" i="1"/>
  <c r="CQ62" i="1"/>
  <c r="CR62" i="1"/>
  <c r="CS62" i="1"/>
  <c r="CT62" i="1"/>
  <c r="CU62" i="1"/>
  <c r="CQ63" i="1"/>
  <c r="CR63" i="1"/>
  <c r="CS63" i="1"/>
  <c r="CT63" i="1"/>
  <c r="CU63" i="1"/>
  <c r="CQ64" i="1"/>
  <c r="CR64" i="1"/>
  <c r="CS64" i="1"/>
  <c r="CT64" i="1"/>
  <c r="CU64" i="1"/>
  <c r="CQ65" i="1"/>
  <c r="CR65" i="1"/>
  <c r="CS65" i="1"/>
  <c r="CT65" i="1"/>
  <c r="CU65" i="1"/>
  <c r="CQ66" i="1"/>
  <c r="CR66" i="1"/>
  <c r="CS66" i="1"/>
  <c r="CT66" i="1"/>
  <c r="CU66" i="1"/>
  <c r="CQ67" i="1"/>
  <c r="CR67" i="1"/>
  <c r="CS67" i="1"/>
  <c r="CT67" i="1"/>
  <c r="CU67" i="1"/>
  <c r="CQ68" i="1"/>
  <c r="CR68" i="1"/>
  <c r="CS68" i="1"/>
  <c r="CT68" i="1"/>
  <c r="CU68" i="1"/>
  <c r="CQ69" i="1"/>
  <c r="CR69" i="1"/>
  <c r="CS69" i="1"/>
  <c r="CT69" i="1"/>
  <c r="CU69" i="1"/>
  <c r="CQ70" i="1"/>
  <c r="CR70" i="1"/>
  <c r="CS70" i="1"/>
  <c r="CT70" i="1"/>
  <c r="CU70" i="1"/>
  <c r="CQ71" i="1"/>
  <c r="CR71" i="1"/>
  <c r="CS71" i="1"/>
  <c r="CT71" i="1"/>
  <c r="CU71" i="1"/>
  <c r="CQ72" i="1"/>
  <c r="CR72" i="1"/>
  <c r="CS72" i="1"/>
  <c r="CT72" i="1"/>
  <c r="CU72" i="1"/>
  <c r="CP62" i="1"/>
  <c r="CP63" i="1"/>
  <c r="CP64" i="1"/>
  <c r="CP65" i="1"/>
  <c r="CP66" i="1"/>
  <c r="CP67" i="1"/>
  <c r="CP68" i="1"/>
  <c r="CP69" i="1"/>
  <c r="CP70" i="1"/>
  <c r="CP71" i="1"/>
  <c r="CP72" i="1"/>
  <c r="CP61" i="1"/>
  <c r="CJ61" i="1"/>
  <c r="CK61" i="1"/>
  <c r="CL61" i="1"/>
  <c r="CM61" i="1"/>
  <c r="CN61" i="1"/>
  <c r="CJ62" i="1"/>
  <c r="CK62" i="1"/>
  <c r="CL62" i="1"/>
  <c r="CM62" i="1"/>
  <c r="CN62" i="1"/>
  <c r="CJ63" i="1"/>
  <c r="CK63" i="1"/>
  <c r="CL63" i="1"/>
  <c r="CM63" i="1"/>
  <c r="CN63" i="1"/>
  <c r="CJ64" i="1"/>
  <c r="CK64" i="1"/>
  <c r="CL64" i="1"/>
  <c r="CM64" i="1"/>
  <c r="CN64" i="1"/>
  <c r="CJ65" i="1"/>
  <c r="CK65" i="1"/>
  <c r="CL65" i="1"/>
  <c r="CM65" i="1"/>
  <c r="CN65" i="1"/>
  <c r="CJ66" i="1"/>
  <c r="CK66" i="1"/>
  <c r="CL66" i="1"/>
  <c r="CM66" i="1"/>
  <c r="CN66" i="1"/>
  <c r="CJ67" i="1"/>
  <c r="CK67" i="1"/>
  <c r="CL67" i="1"/>
  <c r="CM67" i="1"/>
  <c r="CN67" i="1"/>
  <c r="CJ68" i="1"/>
  <c r="CK68" i="1"/>
  <c r="CL68" i="1"/>
  <c r="CM68" i="1"/>
  <c r="CN68" i="1"/>
  <c r="CJ69" i="1"/>
  <c r="CK69" i="1"/>
  <c r="CL69" i="1"/>
  <c r="CM69" i="1"/>
  <c r="CN69" i="1"/>
  <c r="CJ70" i="1"/>
  <c r="CK70" i="1"/>
  <c r="CL70" i="1"/>
  <c r="CM70" i="1"/>
  <c r="CN70" i="1"/>
  <c r="CJ71" i="1"/>
  <c r="CK71" i="1"/>
  <c r="CL71" i="1"/>
  <c r="CM71" i="1"/>
  <c r="CN71" i="1"/>
  <c r="CJ72" i="1"/>
  <c r="CK72" i="1"/>
  <c r="CL72" i="1"/>
  <c r="CM72" i="1"/>
  <c r="CN72" i="1"/>
  <c r="CI62" i="1"/>
  <c r="CI63" i="1"/>
  <c r="CI64" i="1"/>
  <c r="CI65" i="1"/>
  <c r="CI66" i="1"/>
  <c r="CI67" i="1"/>
  <c r="CI68" i="1"/>
  <c r="CI69" i="1"/>
  <c r="CI70" i="1"/>
  <c r="CI71" i="1"/>
  <c r="CI72" i="1"/>
  <c r="CI61" i="1"/>
  <c r="DR62" i="1"/>
  <c r="DS62" i="1"/>
  <c r="DT62" i="1"/>
  <c r="DU62" i="1"/>
  <c r="DV62" i="1"/>
  <c r="DW62" i="1"/>
  <c r="DR63" i="1"/>
  <c r="DS63" i="1"/>
  <c r="DT63" i="1"/>
  <c r="DU63" i="1"/>
  <c r="DV63" i="1"/>
  <c r="DW63" i="1"/>
  <c r="DR64" i="1"/>
  <c r="DS64" i="1"/>
  <c r="DT64" i="1"/>
  <c r="DU64" i="1"/>
  <c r="DV64" i="1"/>
  <c r="DW64" i="1"/>
  <c r="DR65" i="1"/>
  <c r="DS65" i="1"/>
  <c r="DT65" i="1"/>
  <c r="DU65" i="1"/>
  <c r="DV65" i="1"/>
  <c r="DW65" i="1"/>
  <c r="DR66" i="1"/>
  <c r="DS66" i="1"/>
  <c r="DT66" i="1"/>
  <c r="DU66" i="1"/>
  <c r="DV66" i="1"/>
  <c r="DW66" i="1"/>
  <c r="DR67" i="1"/>
  <c r="DS67" i="1"/>
  <c r="DT67" i="1"/>
  <c r="DU67" i="1"/>
  <c r="DV67" i="1"/>
  <c r="DW67" i="1"/>
  <c r="DR68" i="1"/>
  <c r="DS68" i="1"/>
  <c r="DT68" i="1"/>
  <c r="DU68" i="1"/>
  <c r="DV68" i="1"/>
  <c r="DW68" i="1"/>
  <c r="DR69" i="1"/>
  <c r="DS69" i="1"/>
  <c r="DT69" i="1"/>
  <c r="DU69" i="1"/>
  <c r="DV69" i="1"/>
  <c r="DW69" i="1"/>
  <c r="DR70" i="1"/>
  <c r="DS70" i="1"/>
  <c r="DT70" i="1"/>
  <c r="DU70" i="1"/>
  <c r="DV70" i="1"/>
  <c r="DW70" i="1"/>
  <c r="DR71" i="1"/>
  <c r="DS71" i="1"/>
  <c r="DT71" i="1"/>
  <c r="DU71" i="1"/>
  <c r="DV71" i="1"/>
  <c r="DW71" i="1"/>
  <c r="DR72" i="1"/>
  <c r="DS72" i="1"/>
  <c r="DT72" i="1"/>
  <c r="DU72" i="1"/>
  <c r="DV72" i="1"/>
  <c r="DW72" i="1"/>
  <c r="DS61" i="1"/>
  <c r="DT61" i="1"/>
  <c r="DU61" i="1"/>
  <c r="DV61" i="1"/>
  <c r="DW61" i="1"/>
  <c r="DR61" i="1"/>
  <c r="DL61" i="1"/>
  <c r="DM61" i="1"/>
  <c r="DN61" i="1"/>
  <c r="DO61" i="1"/>
  <c r="DP61" i="1"/>
  <c r="DL62" i="1"/>
  <c r="DM62" i="1"/>
  <c r="DN62" i="1"/>
  <c r="DO62" i="1"/>
  <c r="DP62" i="1"/>
  <c r="DL63" i="1"/>
  <c r="DM63" i="1"/>
  <c r="DN63" i="1"/>
  <c r="DO63" i="1"/>
  <c r="DP63" i="1"/>
  <c r="DL64" i="1"/>
  <c r="DM64" i="1"/>
  <c r="DN64" i="1"/>
  <c r="DO64" i="1"/>
  <c r="DP64" i="1"/>
  <c r="DL65" i="1"/>
  <c r="DM65" i="1"/>
  <c r="DN65" i="1"/>
  <c r="DO65" i="1"/>
  <c r="DP65" i="1"/>
  <c r="DL66" i="1"/>
  <c r="DM66" i="1"/>
  <c r="DN66" i="1"/>
  <c r="DO66" i="1"/>
  <c r="DP66" i="1"/>
  <c r="DL67" i="1"/>
  <c r="DM67" i="1"/>
  <c r="DN67" i="1"/>
  <c r="DO67" i="1"/>
  <c r="DP67" i="1"/>
  <c r="DL68" i="1"/>
  <c r="DM68" i="1"/>
  <c r="DN68" i="1"/>
  <c r="DO68" i="1"/>
  <c r="DP68" i="1"/>
  <c r="DL69" i="1"/>
  <c r="DM69" i="1"/>
  <c r="DN69" i="1"/>
  <c r="DO69" i="1"/>
  <c r="DP69" i="1"/>
  <c r="DL70" i="1"/>
  <c r="DM70" i="1"/>
  <c r="DN70" i="1"/>
  <c r="DO70" i="1"/>
  <c r="DP70" i="1"/>
  <c r="DL71" i="1"/>
  <c r="DM71" i="1"/>
  <c r="DN71" i="1"/>
  <c r="DO71" i="1"/>
  <c r="DP71" i="1"/>
  <c r="DL72" i="1"/>
  <c r="DM72" i="1"/>
  <c r="DN72" i="1"/>
  <c r="DO72" i="1"/>
  <c r="DP72" i="1"/>
  <c r="DK62" i="1"/>
  <c r="DK63" i="1"/>
  <c r="DK64" i="1"/>
  <c r="DK65" i="1"/>
  <c r="DK66" i="1"/>
  <c r="DK67" i="1"/>
  <c r="DK68" i="1"/>
  <c r="DK69" i="1"/>
  <c r="DK70" i="1"/>
  <c r="DK71" i="1"/>
  <c r="DK72" i="1"/>
  <c r="DK61" i="1"/>
  <c r="DW98" i="1" l="1"/>
  <c r="DS98" i="1"/>
  <c r="DU98" i="1"/>
  <c r="CL98" i="1"/>
  <c r="CS98" i="1"/>
  <c r="DG98" i="1"/>
  <c r="DM98" i="1"/>
  <c r="DV98" i="1"/>
  <c r="CK98" i="1"/>
  <c r="CR98" i="1"/>
  <c r="DC98" i="1"/>
  <c r="CY98" i="1"/>
  <c r="DF98" i="1"/>
  <c r="CZ98" i="1"/>
  <c r="DP98" i="1"/>
  <c r="DL98" i="1"/>
  <c r="CN98" i="1"/>
  <c r="CJ98" i="1"/>
  <c r="CU98" i="1"/>
  <c r="CQ98" i="1"/>
  <c r="DB98" i="1"/>
  <c r="CX98" i="1"/>
  <c r="DI98" i="1"/>
  <c r="DE98" i="1"/>
  <c r="DN98" i="1"/>
  <c r="DK98" i="1"/>
  <c r="DO98" i="1"/>
  <c r="DR98" i="1"/>
  <c r="DT98" i="1"/>
  <c r="CI98" i="1"/>
  <c r="CM98" i="1"/>
  <c r="CP98" i="1"/>
  <c r="CT98" i="1"/>
  <c r="CW98" i="1"/>
  <c r="DA98" i="1"/>
  <c r="DD98" i="1"/>
  <c r="DH98" i="1"/>
  <c r="G57" i="3"/>
  <c r="DQ68" i="1"/>
  <c r="DX38" i="1"/>
  <c r="DQ38" i="1"/>
  <c r="DX70" i="1"/>
  <c r="DQ66" i="1"/>
  <c r="DX62" i="1"/>
  <c r="DX66" i="1"/>
  <c r="DX65" i="1"/>
  <c r="DX69" i="1"/>
  <c r="DQ67" i="1"/>
  <c r="DX71" i="1"/>
  <c r="DQ65" i="1"/>
  <c r="DX63" i="1"/>
  <c r="DQ64" i="1"/>
  <c r="DX67" i="1"/>
  <c r="DX64" i="1"/>
  <c r="DQ63" i="1"/>
  <c r="DQ61" i="1"/>
  <c r="DQ71" i="1"/>
  <c r="DQ70" i="1"/>
  <c r="DX68" i="1"/>
  <c r="DX72" i="1"/>
  <c r="DQ72" i="1"/>
  <c r="DQ69" i="1"/>
  <c r="DX61" i="1"/>
  <c r="DQ62" i="1"/>
  <c r="DX98" i="1" l="1"/>
  <c r="DQ98" i="1"/>
  <c r="DQ12" i="1"/>
  <c r="DR12" i="1"/>
  <c r="DS12" i="1"/>
  <c r="DT12" i="1"/>
  <c r="DU12" i="1"/>
  <c r="DV12" i="1"/>
  <c r="DW12" i="1"/>
  <c r="DX5" i="1"/>
  <c r="DX7" i="1"/>
  <c r="DP106" i="1"/>
  <c r="DW106" i="1"/>
  <c r="DV106" i="1"/>
  <c r="DU106" i="1"/>
  <c r="DT106" i="1"/>
  <c r="DS106" i="1"/>
  <c r="DR106" i="1"/>
  <c r="DO106" i="1"/>
  <c r="DN106" i="1"/>
  <c r="DM106" i="1"/>
  <c r="DL106" i="1"/>
  <c r="DK106" i="1"/>
  <c r="DW104" i="1"/>
  <c r="DV104" i="1"/>
  <c r="DU104" i="1"/>
  <c r="DT104" i="1"/>
  <c r="DS104" i="1"/>
  <c r="DR104" i="1"/>
  <c r="DP104" i="1"/>
  <c r="DO104" i="1"/>
  <c r="DN104" i="1"/>
  <c r="DM104" i="1"/>
  <c r="DL104" i="1"/>
  <c r="DK104" i="1"/>
  <c r="DW101" i="1"/>
  <c r="DV101" i="1"/>
  <c r="DU101" i="1"/>
  <c r="DT101" i="1"/>
  <c r="DS101" i="1"/>
  <c r="DR101" i="1"/>
  <c r="DP101" i="1"/>
  <c r="DO101" i="1"/>
  <c r="DN101" i="1"/>
  <c r="DM101" i="1"/>
  <c r="DL101" i="1"/>
  <c r="DK101" i="1"/>
  <c r="DW102" i="1"/>
  <c r="DV102" i="1"/>
  <c r="DU102" i="1"/>
  <c r="DT102" i="1"/>
  <c r="DS102" i="1"/>
  <c r="DR102" i="1"/>
  <c r="DP102" i="1"/>
  <c r="DO102" i="1"/>
  <c r="DN102" i="1"/>
  <c r="DM102" i="1"/>
  <c r="DL102" i="1"/>
  <c r="DK102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N107" i="1" l="1"/>
  <c r="DN144" i="1" s="1"/>
  <c r="DL107" i="1"/>
  <c r="DL144" i="1" s="1"/>
  <c r="DX12" i="1"/>
  <c r="DU107" i="1"/>
  <c r="DU144" i="1" s="1"/>
  <c r="DP107" i="1"/>
  <c r="DP144" i="1" s="1"/>
  <c r="DO107" i="1"/>
  <c r="DO144" i="1" s="1"/>
  <c r="DV107" i="1"/>
  <c r="DV144" i="1" s="1"/>
  <c r="DR107" i="1"/>
  <c r="DR144" i="1" s="1"/>
  <c r="DW107" i="1"/>
  <c r="DW144" i="1" s="1"/>
  <c r="DS107" i="1"/>
  <c r="DS144" i="1" s="1"/>
  <c r="DM107" i="1"/>
  <c r="DM144" i="1" s="1"/>
  <c r="DK107" i="1"/>
  <c r="DK144" i="1" s="1"/>
  <c r="DT107" i="1"/>
  <c r="DT144" i="1" s="1"/>
  <c r="DX106" i="1"/>
  <c r="DX105" i="1"/>
  <c r="DX104" i="1"/>
  <c r="DX102" i="1"/>
  <c r="DX101" i="1"/>
  <c r="DQ106" i="1"/>
  <c r="DQ105" i="1"/>
  <c r="DQ104" i="1"/>
  <c r="DQ102" i="1"/>
  <c r="DQ101" i="1"/>
  <c r="D27" i="2" l="1"/>
  <c r="DQ107" i="1"/>
  <c r="DQ144" i="1" s="1"/>
  <c r="DX107" i="1"/>
  <c r="DX144" i="1" s="1"/>
  <c r="DJ10" i="1"/>
  <c r="DJ9" i="1"/>
  <c r="DJ8" i="1"/>
  <c r="DJ7" i="1"/>
  <c r="DJ6" i="1"/>
  <c r="DJ5" i="1"/>
  <c r="DC47" i="1" l="1"/>
  <c r="DC60" i="1" l="1"/>
  <c r="CV47" i="1"/>
  <c r="CV42" i="1"/>
  <c r="CH52" i="1"/>
  <c r="CH47" i="1"/>
  <c r="CH42" i="1"/>
  <c r="CH41" i="1"/>
  <c r="BT47" i="1"/>
  <c r="BT42" i="1"/>
  <c r="BT41" i="1"/>
  <c r="BF47" i="1"/>
  <c r="BF42" i="1"/>
  <c r="BF41" i="1"/>
  <c r="AR42" i="1"/>
  <c r="AR41" i="1"/>
  <c r="AQ41" i="1"/>
  <c r="AQ42" i="1"/>
  <c r="AP42" i="1"/>
  <c r="AP41" i="1"/>
  <c r="AO41" i="1"/>
  <c r="AO42" i="1"/>
  <c r="AN42" i="1"/>
  <c r="AN41" i="1"/>
  <c r="AM41" i="1"/>
  <c r="AM42" i="1"/>
  <c r="AL42" i="1"/>
  <c r="AL41" i="1"/>
  <c r="AK41" i="1"/>
  <c r="AK42" i="1"/>
  <c r="AJ41" i="1"/>
  <c r="AI41" i="1"/>
  <c r="AH41" i="1"/>
  <c r="AG41" i="1"/>
  <c r="GD42" i="1" l="1"/>
  <c r="GD41" i="1"/>
  <c r="AG60" i="1"/>
  <c r="AC60" i="1"/>
  <c r="AF60" i="1"/>
  <c r="AN60" i="1"/>
  <c r="AO60" i="1"/>
  <c r="AH60" i="1"/>
  <c r="AQ60" i="1"/>
  <c r="AR60" i="1"/>
  <c r="AP60" i="1"/>
  <c r="AI60" i="1"/>
  <c r="AK60" i="1"/>
  <c r="BF60" i="1"/>
  <c r="CV60" i="1"/>
  <c r="AA60" i="1"/>
  <c r="AJ60" i="1"/>
  <c r="AD60" i="1"/>
  <c r="AL60" i="1"/>
  <c r="BT60" i="1"/>
  <c r="CH60" i="1"/>
  <c r="AB60" i="1"/>
  <c r="AE60" i="1"/>
  <c r="AM60" i="1"/>
  <c r="DJ52" i="1"/>
  <c r="GD52" i="1" s="1"/>
  <c r="DJ47" i="1"/>
  <c r="GD47" i="1" s="1"/>
  <c r="GD60" i="1" l="1"/>
  <c r="DJ60" i="1"/>
  <c r="DE28" i="1"/>
  <c r="DF28" i="1"/>
  <c r="DG28" i="1"/>
  <c r="DH28" i="1"/>
  <c r="DJ28" i="1"/>
  <c r="DE29" i="1"/>
  <c r="DF29" i="1"/>
  <c r="DG29" i="1"/>
  <c r="DH29" i="1"/>
  <c r="DJ29" i="1"/>
  <c r="DE30" i="1"/>
  <c r="DF30" i="1"/>
  <c r="DG30" i="1"/>
  <c r="DH30" i="1"/>
  <c r="DJ30" i="1"/>
  <c r="DE31" i="1"/>
  <c r="DF31" i="1"/>
  <c r="DG31" i="1"/>
  <c r="DH31" i="1"/>
  <c r="DJ31" i="1"/>
  <c r="DE33" i="1"/>
  <c r="DF33" i="1"/>
  <c r="DG33" i="1"/>
  <c r="DH33" i="1"/>
  <c r="DJ33" i="1"/>
  <c r="DE34" i="1"/>
  <c r="DF34" i="1"/>
  <c r="DG34" i="1"/>
  <c r="DH34" i="1"/>
  <c r="DJ34" i="1"/>
  <c r="DE35" i="1"/>
  <c r="DF35" i="1"/>
  <c r="DG35" i="1"/>
  <c r="DH35" i="1"/>
  <c r="DJ35" i="1"/>
  <c r="DE32" i="1"/>
  <c r="DF32" i="1"/>
  <c r="DG32" i="1"/>
  <c r="DH32" i="1"/>
  <c r="DJ32" i="1"/>
  <c r="DE36" i="1"/>
  <c r="DF36" i="1"/>
  <c r="DG36" i="1"/>
  <c r="DH36" i="1"/>
  <c r="DJ36" i="1"/>
  <c r="DE37" i="1"/>
  <c r="DF37" i="1"/>
  <c r="DG37" i="1"/>
  <c r="DH37" i="1"/>
  <c r="DJ37" i="1"/>
  <c r="DD29" i="1"/>
  <c r="DD30" i="1"/>
  <c r="DD31" i="1"/>
  <c r="DD33" i="1"/>
  <c r="DD34" i="1"/>
  <c r="DD35" i="1"/>
  <c r="DD32" i="1"/>
  <c r="DD36" i="1"/>
  <c r="DD37" i="1"/>
  <c r="DD28" i="1"/>
  <c r="CX28" i="1"/>
  <c r="CY28" i="1"/>
  <c r="CZ28" i="1"/>
  <c r="DA28" i="1"/>
  <c r="DB28" i="1"/>
  <c r="CX29" i="1"/>
  <c r="CY29" i="1"/>
  <c r="CZ29" i="1"/>
  <c r="DA29" i="1"/>
  <c r="DB29" i="1"/>
  <c r="CX30" i="1"/>
  <c r="CY30" i="1"/>
  <c r="CZ30" i="1"/>
  <c r="DA30" i="1"/>
  <c r="DB30" i="1"/>
  <c r="CX31" i="1"/>
  <c r="CY31" i="1"/>
  <c r="CZ31" i="1"/>
  <c r="DA31" i="1"/>
  <c r="DB31" i="1"/>
  <c r="CX33" i="1"/>
  <c r="CY33" i="1"/>
  <c r="CZ33" i="1"/>
  <c r="DA33" i="1"/>
  <c r="DB33" i="1"/>
  <c r="CX34" i="1"/>
  <c r="CY34" i="1"/>
  <c r="CZ34" i="1"/>
  <c r="DA34" i="1"/>
  <c r="DB34" i="1"/>
  <c r="CX35" i="1"/>
  <c r="CY35" i="1"/>
  <c r="CZ35" i="1"/>
  <c r="DA35" i="1"/>
  <c r="DB35" i="1"/>
  <c r="CX32" i="1"/>
  <c r="CY32" i="1"/>
  <c r="CZ32" i="1"/>
  <c r="DA32" i="1"/>
  <c r="DB32" i="1"/>
  <c r="CX36" i="1"/>
  <c r="CY36" i="1"/>
  <c r="CZ36" i="1"/>
  <c r="DA36" i="1"/>
  <c r="DB36" i="1"/>
  <c r="CX37" i="1"/>
  <c r="CY37" i="1"/>
  <c r="CZ37" i="1"/>
  <c r="DA37" i="1"/>
  <c r="DB37" i="1"/>
  <c r="CW29" i="1"/>
  <c r="CW30" i="1"/>
  <c r="CW31" i="1"/>
  <c r="CW33" i="1"/>
  <c r="CW34" i="1"/>
  <c r="CW35" i="1"/>
  <c r="CW32" i="1"/>
  <c r="CW36" i="1"/>
  <c r="CW37" i="1"/>
  <c r="CW28" i="1"/>
  <c r="DC31" i="1" l="1"/>
  <c r="DC28" i="1"/>
  <c r="DC30" i="1"/>
  <c r="DC37" i="1"/>
  <c r="DC29" i="1"/>
  <c r="DI38" i="1"/>
  <c r="DC36" i="1"/>
  <c r="CX38" i="1"/>
  <c r="DJ38" i="1"/>
  <c r="DC32" i="1"/>
  <c r="DC35" i="1"/>
  <c r="DD38" i="1"/>
  <c r="DC33" i="1"/>
  <c r="CZ38" i="1"/>
  <c r="DB38" i="1"/>
  <c r="CW38" i="1"/>
  <c r="DC34" i="1"/>
  <c r="CY38" i="1"/>
  <c r="DA38" i="1"/>
  <c r="DF38" i="1"/>
  <c r="DG38" i="1"/>
  <c r="DE38" i="1"/>
  <c r="DH38" i="1"/>
  <c r="DC38" i="1" l="1"/>
  <c r="CY100" i="1" l="1"/>
  <c r="CZ100" i="1"/>
  <c r="DA100" i="1"/>
  <c r="DB100" i="1"/>
  <c r="DF100" i="1"/>
  <c r="DG100" i="1"/>
  <c r="DH100" i="1"/>
  <c r="DI100" i="1"/>
  <c r="DC12" i="1"/>
  <c r="DJ12" i="1" l="1"/>
  <c r="DE99" i="1"/>
  <c r="DE100" i="1" s="1"/>
  <c r="DD99" i="1"/>
  <c r="CX99" i="1"/>
  <c r="CX100" i="1" s="1"/>
  <c r="CW99" i="1"/>
  <c r="CQ99" i="1"/>
  <c r="CJ99" i="1"/>
  <c r="CB99" i="1"/>
  <c r="CH99" i="1" s="1"/>
  <c r="BV99" i="1"/>
  <c r="BU99" i="1"/>
  <c r="BO99" i="1"/>
  <c r="BN99" i="1"/>
  <c r="BH99" i="1"/>
  <c r="BG99" i="1"/>
  <c r="BA99" i="1"/>
  <c r="AZ99" i="1"/>
  <c r="AT99" i="1"/>
  <c r="AS99" i="1"/>
  <c r="AR99" i="1"/>
  <c r="AQ99" i="1"/>
  <c r="AP99" i="1"/>
  <c r="AO99" i="1"/>
  <c r="AN99" i="1"/>
  <c r="AM99" i="1"/>
  <c r="DD100" i="1" l="1"/>
  <c r="DJ99" i="1"/>
  <c r="DJ100" i="1" s="1"/>
  <c r="DC99" i="1"/>
  <c r="CW100" i="1"/>
  <c r="CK27" i="1"/>
  <c r="CR27" i="1"/>
  <c r="CY27" i="1"/>
  <c r="DF27" i="1"/>
  <c r="CF27" i="1"/>
  <c r="CG27" i="1"/>
  <c r="CV24" i="1" l="1"/>
  <c r="DJ24" i="1"/>
  <c r="DJ14" i="1"/>
  <c r="DJ17" i="1"/>
  <c r="DJ16" i="1"/>
  <c r="DC100" i="1"/>
  <c r="DJ25" i="1"/>
  <c r="DJ19" i="1"/>
  <c r="CP27" i="1"/>
  <c r="CW27" i="1"/>
  <c r="DD27" i="1"/>
  <c r="DJ26" i="1"/>
  <c r="DJ18" i="1"/>
  <c r="DJ22" i="1"/>
  <c r="CV19" i="1"/>
  <c r="DJ23" i="1"/>
  <c r="DH27" i="1"/>
  <c r="CT27" i="1"/>
  <c r="DA27" i="1"/>
  <c r="CM27" i="1"/>
  <c r="CJ27" i="1"/>
  <c r="CN27" i="1"/>
  <c r="DI27" i="1"/>
  <c r="CL27" i="1"/>
  <c r="CZ27" i="1"/>
  <c r="CX27" i="1"/>
  <c r="DG27" i="1"/>
  <c r="DB27" i="1"/>
  <c r="CQ27" i="1"/>
  <c r="DE27" i="1"/>
  <c r="CU27" i="1"/>
  <c r="CS27" i="1"/>
  <c r="CI27" i="1"/>
  <c r="CO99" i="1"/>
  <c r="DJ27" i="1" l="1"/>
  <c r="DC27" i="1"/>
  <c r="DJ62" i="1"/>
  <c r="DJ63" i="1"/>
  <c r="DJ64" i="1"/>
  <c r="DJ65" i="1"/>
  <c r="DJ66" i="1"/>
  <c r="DJ67" i="1"/>
  <c r="DJ68" i="1"/>
  <c r="DJ69" i="1"/>
  <c r="DJ70" i="1"/>
  <c r="DJ71" i="1"/>
  <c r="DJ72" i="1"/>
  <c r="DJ61" i="1"/>
  <c r="DJ98" i="1" l="1"/>
  <c r="CW107" i="1"/>
  <c r="CW144" i="1" s="1"/>
  <c r="CX107" i="1"/>
  <c r="CX144" i="1" s="1"/>
  <c r="CY107" i="1"/>
  <c r="CY144" i="1" s="1"/>
  <c r="CZ107" i="1"/>
  <c r="CZ144" i="1" s="1"/>
  <c r="DA107" i="1"/>
  <c r="DA144" i="1" s="1"/>
  <c r="DB107" i="1"/>
  <c r="DB144" i="1" s="1"/>
  <c r="DD107" i="1"/>
  <c r="DD144" i="1" s="1"/>
  <c r="DE107" i="1"/>
  <c r="DE144" i="1" s="1"/>
  <c r="DF107" i="1"/>
  <c r="DF144" i="1" s="1"/>
  <c r="DG107" i="1"/>
  <c r="DG144" i="1" s="1"/>
  <c r="DH107" i="1"/>
  <c r="DH144" i="1" s="1"/>
  <c r="DI107" i="1"/>
  <c r="DI144" i="1" s="1"/>
  <c r="DJ102" i="1"/>
  <c r="DJ104" i="1"/>
  <c r="DJ105" i="1"/>
  <c r="DJ106" i="1"/>
  <c r="DJ101" i="1"/>
  <c r="DC102" i="1"/>
  <c r="DC104" i="1"/>
  <c r="DC105" i="1"/>
  <c r="DC106" i="1"/>
  <c r="DC101" i="1"/>
  <c r="DC107" i="1" l="1"/>
  <c r="DC144" i="1" s="1"/>
  <c r="DJ107" i="1"/>
  <c r="DJ144" i="1" s="1"/>
  <c r="CV99" i="1" l="1"/>
  <c r="CV62" i="1" l="1"/>
  <c r="CV63" i="1"/>
  <c r="CV64" i="1"/>
  <c r="CV65" i="1"/>
  <c r="CV66" i="1"/>
  <c r="CV67" i="1"/>
  <c r="CV68" i="1"/>
  <c r="CV69" i="1"/>
  <c r="CV70" i="1"/>
  <c r="CV71" i="1"/>
  <c r="CV72" i="1"/>
  <c r="CV61" i="1"/>
  <c r="CO62" i="1"/>
  <c r="CO63" i="1"/>
  <c r="CO64" i="1"/>
  <c r="CO65" i="1"/>
  <c r="CO66" i="1"/>
  <c r="CO67" i="1"/>
  <c r="CO68" i="1"/>
  <c r="CO69" i="1"/>
  <c r="CO70" i="1"/>
  <c r="CO71" i="1"/>
  <c r="CO72" i="1"/>
  <c r="CO61" i="1"/>
  <c r="CV98" i="1" l="1"/>
  <c r="CO98" i="1"/>
  <c r="H56" i="3"/>
  <c r="CO40" i="1"/>
  <c r="CO41" i="1"/>
  <c r="CO42" i="1"/>
  <c r="CO44" i="1"/>
  <c r="CO45" i="1"/>
  <c r="CO46" i="1"/>
  <c r="CO47" i="1"/>
  <c r="CO48" i="1"/>
  <c r="CO49" i="1"/>
  <c r="CO50" i="1"/>
  <c r="CO51" i="1"/>
  <c r="CO52" i="1"/>
  <c r="CO53" i="1"/>
  <c r="CO54" i="1"/>
  <c r="GC54" i="1" s="1"/>
  <c r="CO55" i="1"/>
  <c r="CO56" i="1"/>
  <c r="CO57" i="1"/>
  <c r="GC57" i="1" s="1"/>
  <c r="CO39" i="1"/>
  <c r="CO60" i="1" l="1"/>
  <c r="G56" i="3" l="1"/>
  <c r="CV29" i="1"/>
  <c r="CV30" i="1"/>
  <c r="CV31" i="1"/>
  <c r="CV33" i="1"/>
  <c r="CV34" i="1"/>
  <c r="CV35" i="1"/>
  <c r="CV32" i="1"/>
  <c r="CV36" i="1"/>
  <c r="CV37" i="1"/>
  <c r="CV28" i="1"/>
  <c r="CO29" i="1"/>
  <c r="CO30" i="1"/>
  <c r="CO31" i="1"/>
  <c r="CO33" i="1"/>
  <c r="CO34" i="1"/>
  <c r="CO35" i="1"/>
  <c r="CO32" i="1"/>
  <c r="CO36" i="1"/>
  <c r="CO37" i="1"/>
  <c r="CO28" i="1"/>
  <c r="CV14" i="1"/>
  <c r="CV16" i="1"/>
  <c r="CV17" i="1"/>
  <c r="CV18" i="1"/>
  <c r="CV22" i="1"/>
  <c r="CV23" i="1"/>
  <c r="CV25" i="1"/>
  <c r="CV26" i="1"/>
  <c r="CV15" i="1"/>
  <c r="CV38" i="1" l="1"/>
  <c r="CV27" i="1"/>
  <c r="CO27" i="1"/>
  <c r="CP100" i="1" l="1"/>
  <c r="CQ100" i="1"/>
  <c r="CR100" i="1"/>
  <c r="CS100" i="1"/>
  <c r="CT100" i="1"/>
  <c r="CU100" i="1"/>
  <c r="CP38" i="1"/>
  <c r="CQ38" i="1"/>
  <c r="CR38" i="1"/>
  <c r="CS38" i="1"/>
  <c r="CT38" i="1"/>
  <c r="CU38" i="1"/>
  <c r="CP12" i="1"/>
  <c r="CQ12" i="1"/>
  <c r="CR12" i="1"/>
  <c r="CS12" i="1"/>
  <c r="CT12" i="1"/>
  <c r="CU12" i="1"/>
  <c r="CV102" i="1"/>
  <c r="CV104" i="1"/>
  <c r="CV105" i="1"/>
  <c r="CV106" i="1"/>
  <c r="CV101" i="1"/>
  <c r="CP107" i="1"/>
  <c r="CQ107" i="1"/>
  <c r="CR107" i="1"/>
  <c r="CS107" i="1"/>
  <c r="CT107" i="1"/>
  <c r="CU107" i="1"/>
  <c r="CO102" i="1"/>
  <c r="CO104" i="1"/>
  <c r="CO105" i="1"/>
  <c r="CO106" i="1"/>
  <c r="CO101" i="1"/>
  <c r="CI107" i="1"/>
  <c r="CJ107" i="1"/>
  <c r="CK107" i="1"/>
  <c r="CL107" i="1"/>
  <c r="CM107" i="1"/>
  <c r="CN107" i="1"/>
  <c r="CI100" i="1"/>
  <c r="CJ100" i="1"/>
  <c r="CK100" i="1"/>
  <c r="CL100" i="1"/>
  <c r="CM100" i="1"/>
  <c r="CN100" i="1"/>
  <c r="CO100" i="1"/>
  <c r="CV100" i="1"/>
  <c r="CI38" i="1"/>
  <c r="CJ38" i="1"/>
  <c r="CK38" i="1"/>
  <c r="CL38" i="1"/>
  <c r="CM38" i="1"/>
  <c r="CN38" i="1"/>
  <c r="CO38" i="1"/>
  <c r="CI12" i="1"/>
  <c r="CJ12" i="1"/>
  <c r="CK12" i="1"/>
  <c r="CL12" i="1"/>
  <c r="CM12" i="1"/>
  <c r="CN12" i="1"/>
  <c r="CN144" i="1" l="1"/>
  <c r="CK144" i="1"/>
  <c r="CT144" i="1"/>
  <c r="CM144" i="1"/>
  <c r="CI144" i="1"/>
  <c r="CS144" i="1"/>
  <c r="CL144" i="1"/>
  <c r="CR144" i="1"/>
  <c r="CJ144" i="1"/>
  <c r="CU144" i="1"/>
  <c r="CQ144" i="1"/>
  <c r="CP144" i="1"/>
  <c r="CV107" i="1"/>
  <c r="CO107" i="1"/>
  <c r="CV12" i="1" l="1"/>
  <c r="CV144" i="1" s="1"/>
  <c r="CO12" i="1"/>
  <c r="CO144" i="1" s="1"/>
  <c r="BM105" i="1" l="1"/>
  <c r="BT105" i="1"/>
  <c r="AR107" i="1"/>
  <c r="AQ107" i="1"/>
  <c r="BF99" i="1" l="1"/>
  <c r="BT99" i="1"/>
  <c r="GD99" i="1" l="1"/>
  <c r="GD100" i="1" s="1"/>
  <c r="BM99" i="1"/>
  <c r="AY61" i="1"/>
  <c r="AY62" i="1"/>
  <c r="AY63" i="1"/>
  <c r="AY64" i="1"/>
  <c r="AY65" i="1"/>
  <c r="AY66" i="1"/>
  <c r="AY67" i="1"/>
  <c r="AY68" i="1"/>
  <c r="AY69" i="1"/>
  <c r="AY70" i="1"/>
  <c r="AY71" i="1"/>
  <c r="AY98" i="1" l="1"/>
  <c r="P150" i="3"/>
  <c r="L40" i="2"/>
  <c r="D100" i="3"/>
  <c r="D101" i="3"/>
  <c r="D103" i="3"/>
  <c r="D104" i="3"/>
  <c r="D105" i="3"/>
  <c r="D98" i="3"/>
  <c r="D60" i="3"/>
  <c r="D34" i="3"/>
  <c r="D31" i="3"/>
  <c r="D35" i="3"/>
  <c r="D36" i="3"/>
  <c r="D28" i="3"/>
  <c r="D29" i="3"/>
  <c r="D30" i="3"/>
  <c r="D32" i="3"/>
  <c r="D33" i="3"/>
  <c r="D27" i="3"/>
  <c r="D13" i="3"/>
  <c r="D12" i="3"/>
  <c r="D7" i="3"/>
  <c r="D8" i="3"/>
  <c r="D9" i="3"/>
  <c r="D5" i="3"/>
  <c r="D6" i="3"/>
  <c r="D4" i="3"/>
  <c r="CH106" i="1"/>
  <c r="CH102" i="1"/>
  <c r="CH104" i="1"/>
  <c r="CH105" i="1"/>
  <c r="CH62" i="1"/>
  <c r="CH63" i="1"/>
  <c r="CH64" i="1"/>
  <c r="CH65" i="1"/>
  <c r="CH66" i="1"/>
  <c r="CH67" i="1"/>
  <c r="CH68" i="1"/>
  <c r="CH69" i="1"/>
  <c r="CH70" i="1"/>
  <c r="CH71" i="1"/>
  <c r="CH72" i="1"/>
  <c r="CH101" i="1"/>
  <c r="CH61" i="1"/>
  <c r="H54" i="3"/>
  <c r="CH35" i="1"/>
  <c r="CH32" i="1"/>
  <c r="CH36" i="1"/>
  <c r="CH37" i="1"/>
  <c r="CH19" i="1"/>
  <c r="CH22" i="1"/>
  <c r="CH23" i="1"/>
  <c r="CH25" i="1"/>
  <c r="CH26" i="1"/>
  <c r="CH34" i="1"/>
  <c r="CH33" i="1"/>
  <c r="CH31" i="1"/>
  <c r="CH30" i="1"/>
  <c r="CH29" i="1"/>
  <c r="CH28" i="1"/>
  <c r="CH24" i="1"/>
  <c r="CH18" i="1"/>
  <c r="CH17" i="1"/>
  <c r="CH16" i="1"/>
  <c r="CH15" i="1"/>
  <c r="CH14" i="1"/>
  <c r="CH6" i="1"/>
  <c r="CH7" i="1"/>
  <c r="CH8" i="1"/>
  <c r="CH9" i="1"/>
  <c r="GD9" i="1" s="1"/>
  <c r="CH10" i="1"/>
  <c r="GD10" i="1" s="1"/>
  <c r="CH5" i="1"/>
  <c r="CA106" i="1"/>
  <c r="CA102" i="1"/>
  <c r="CA104" i="1"/>
  <c r="CA105" i="1"/>
  <c r="CA101" i="1"/>
  <c r="CA99" i="1"/>
  <c r="CA62" i="1"/>
  <c r="CA63" i="1"/>
  <c r="CA64" i="1"/>
  <c r="CA65" i="1"/>
  <c r="CA66" i="1"/>
  <c r="CA67" i="1"/>
  <c r="CA68" i="1"/>
  <c r="CA69" i="1"/>
  <c r="CA70" i="1"/>
  <c r="CA71" i="1"/>
  <c r="CA72" i="1"/>
  <c r="CA61" i="1"/>
  <c r="CA49" i="1"/>
  <c r="CA50" i="1"/>
  <c r="CA51" i="1"/>
  <c r="CA52" i="1"/>
  <c r="GC52" i="1" s="1"/>
  <c r="CA53" i="1"/>
  <c r="GC53" i="1" s="1"/>
  <c r="CA55" i="1"/>
  <c r="GC55" i="1" s="1"/>
  <c r="CA56" i="1"/>
  <c r="GC56" i="1" s="1"/>
  <c r="CA48" i="1"/>
  <c r="CA47" i="1"/>
  <c r="CA46" i="1"/>
  <c r="CA45" i="1"/>
  <c r="CA44" i="1"/>
  <c r="CA42" i="1"/>
  <c r="CA41" i="1"/>
  <c r="CA40" i="1"/>
  <c r="CA39" i="1"/>
  <c r="CA29" i="1"/>
  <c r="CA30" i="1"/>
  <c r="CA31" i="1"/>
  <c r="CA33" i="1"/>
  <c r="CA34" i="1"/>
  <c r="CA35" i="1"/>
  <c r="CA32" i="1"/>
  <c r="CA36" i="1"/>
  <c r="CA37" i="1"/>
  <c r="CA28" i="1"/>
  <c r="CA19" i="1"/>
  <c r="CA22" i="1"/>
  <c r="CA23" i="1"/>
  <c r="CA25" i="1"/>
  <c r="CA26" i="1"/>
  <c r="CA24" i="1"/>
  <c r="CA18" i="1"/>
  <c r="CA17" i="1"/>
  <c r="CA16" i="1"/>
  <c r="CA15" i="1"/>
  <c r="CA14" i="1"/>
  <c r="CA6" i="1"/>
  <c r="CA7" i="1"/>
  <c r="CA8" i="1"/>
  <c r="CA9" i="1"/>
  <c r="GC9" i="1" s="1"/>
  <c r="CA10" i="1"/>
  <c r="GC10" i="1" s="1"/>
  <c r="CA5" i="1"/>
  <c r="BF105" i="1"/>
  <c r="AY105" i="1"/>
  <c r="GC105" i="1" s="1"/>
  <c r="AS107" i="1"/>
  <c r="BU107" i="1"/>
  <c r="BV107" i="1"/>
  <c r="BW107" i="1"/>
  <c r="BX107" i="1"/>
  <c r="BY107" i="1"/>
  <c r="BZ107" i="1"/>
  <c r="CB107" i="1"/>
  <c r="CC107" i="1"/>
  <c r="CD107" i="1"/>
  <c r="CE107" i="1"/>
  <c r="CF107" i="1"/>
  <c r="CG107" i="1"/>
  <c r="BU100" i="1"/>
  <c r="BV100" i="1"/>
  <c r="BW100" i="1"/>
  <c r="BX100" i="1"/>
  <c r="BY100" i="1"/>
  <c r="BZ100" i="1"/>
  <c r="CB100" i="1"/>
  <c r="CC100" i="1"/>
  <c r="CD100" i="1"/>
  <c r="CE100" i="1"/>
  <c r="CF100" i="1"/>
  <c r="CG100" i="1"/>
  <c r="BX12" i="1"/>
  <c r="BW27" i="1"/>
  <c r="BV38" i="1"/>
  <c r="BU38" i="1"/>
  <c r="BW38" i="1"/>
  <c r="BX38" i="1"/>
  <c r="BY38" i="1"/>
  <c r="BZ38" i="1"/>
  <c r="CB38" i="1"/>
  <c r="CC38" i="1"/>
  <c r="CD38" i="1"/>
  <c r="CE38" i="1"/>
  <c r="CF38" i="1"/>
  <c r="CG38" i="1"/>
  <c r="BU27" i="1"/>
  <c r="BV27" i="1"/>
  <c r="BX27" i="1"/>
  <c r="BY27" i="1"/>
  <c r="BZ27" i="1"/>
  <c r="CB27" i="1"/>
  <c r="CC27" i="1"/>
  <c r="CD27" i="1"/>
  <c r="CE27" i="1"/>
  <c r="BU12" i="1"/>
  <c r="BV12" i="1"/>
  <c r="BW12" i="1"/>
  <c r="BY12" i="1"/>
  <c r="BZ12" i="1"/>
  <c r="CB12" i="1"/>
  <c r="CC12" i="1"/>
  <c r="CD12" i="1"/>
  <c r="CE12" i="1"/>
  <c r="CF12" i="1"/>
  <c r="CG12" i="1"/>
  <c r="CG144" i="1" s="1"/>
  <c r="H52" i="3"/>
  <c r="H53" i="3"/>
  <c r="H55" i="3"/>
  <c r="H51" i="3"/>
  <c r="Q150" i="3"/>
  <c r="GD105" i="1" l="1"/>
  <c r="H104" i="3" s="1"/>
  <c r="CD144" i="1"/>
  <c r="BY144" i="1"/>
  <c r="CE144" i="1"/>
  <c r="BZ144" i="1"/>
  <c r="BW144" i="1"/>
  <c r="CF144" i="1"/>
  <c r="CB144" i="1"/>
  <c r="BV144" i="1"/>
  <c r="BX144" i="1"/>
  <c r="BU144" i="1"/>
  <c r="CC144" i="1"/>
  <c r="G104" i="3"/>
  <c r="CA98" i="1"/>
  <c r="CH98" i="1"/>
  <c r="G52" i="3"/>
  <c r="CA60" i="1"/>
  <c r="CH27" i="1"/>
  <c r="CH38" i="1"/>
  <c r="G9" i="3"/>
  <c r="G8" i="3"/>
  <c r="CA107" i="1"/>
  <c r="CH100" i="1"/>
  <c r="H9" i="3"/>
  <c r="F9" i="2"/>
  <c r="CA100" i="1"/>
  <c r="CA38" i="1"/>
  <c r="CA12" i="1"/>
  <c r="E10" i="2"/>
  <c r="E9" i="2"/>
  <c r="CH107" i="1"/>
  <c r="CH12" i="1"/>
  <c r="CA27" i="1"/>
  <c r="CH144" i="1" l="1"/>
  <c r="CA144" i="1"/>
  <c r="G51" i="3"/>
  <c r="G55" i="3"/>
  <c r="G53" i="3"/>
  <c r="G54" i="3"/>
  <c r="F10" i="2"/>
  <c r="H8" i="3"/>
  <c r="BI5" i="1" l="1"/>
  <c r="BP12" i="1" l="1"/>
  <c r="BO12" i="1"/>
  <c r="BN12" i="1"/>
  <c r="BT8" i="1"/>
  <c r="BM8" i="1"/>
  <c r="BT7" i="1" l="1"/>
  <c r="GD7" i="1" s="1"/>
  <c r="BM7" i="1"/>
  <c r="BT6" i="1" l="1"/>
  <c r="BM6" i="1"/>
  <c r="BT5" i="1" l="1"/>
  <c r="BM5" i="1"/>
  <c r="BM12" i="1" s="1"/>
  <c r="BT12" i="1" l="1"/>
  <c r="BT106" i="1"/>
  <c r="GD106" i="1" s="1"/>
  <c r="BT104" i="1"/>
  <c r="BT102" i="1"/>
  <c r="BT101" i="1"/>
  <c r="BT37" i="1"/>
  <c r="BT36" i="1"/>
  <c r="BT32" i="1"/>
  <c r="BT35" i="1"/>
  <c r="BT34" i="1"/>
  <c r="BT33" i="1"/>
  <c r="BT31" i="1"/>
  <c r="BT30" i="1"/>
  <c r="BT29" i="1"/>
  <c r="BT28" i="1"/>
  <c r="BT26" i="1"/>
  <c r="BT25" i="1"/>
  <c r="BT23" i="1"/>
  <c r="BT22" i="1"/>
  <c r="BT19" i="1"/>
  <c r="BT24" i="1"/>
  <c r="BT18" i="1"/>
  <c r="BT17" i="1"/>
  <c r="BT16" i="1"/>
  <c r="BT15" i="1"/>
  <c r="BT14" i="1"/>
  <c r="BM106" i="1"/>
  <c r="GC106" i="1" s="1"/>
  <c r="BM104" i="1"/>
  <c r="BM102" i="1"/>
  <c r="BM101" i="1"/>
  <c r="BM39" i="1"/>
  <c r="BM37" i="1"/>
  <c r="BM36" i="1"/>
  <c r="BM32" i="1"/>
  <c r="BM35" i="1"/>
  <c r="BM34" i="1"/>
  <c r="BM33" i="1"/>
  <c r="BM31" i="1"/>
  <c r="BM30" i="1"/>
  <c r="BM29" i="1"/>
  <c r="BM28" i="1"/>
  <c r="BM15" i="1"/>
  <c r="BM16" i="1"/>
  <c r="BM17" i="1"/>
  <c r="BM18" i="1"/>
  <c r="BM24" i="1"/>
  <c r="BM19" i="1"/>
  <c r="BM22" i="1"/>
  <c r="BM23" i="1"/>
  <c r="BM25" i="1"/>
  <c r="BM26" i="1"/>
  <c r="BM14" i="1"/>
  <c r="BF104" i="1"/>
  <c r="BF102" i="1"/>
  <c r="BF101" i="1"/>
  <c r="GD101" i="1" s="1"/>
  <c r="BF71" i="1"/>
  <c r="BF70" i="1"/>
  <c r="BF69" i="1"/>
  <c r="BF68" i="1"/>
  <c r="BF67" i="1"/>
  <c r="BF66" i="1"/>
  <c r="BF65" i="1"/>
  <c r="BF64" i="1"/>
  <c r="BF63" i="1"/>
  <c r="BF62" i="1"/>
  <c r="BF61" i="1"/>
  <c r="BF37" i="1"/>
  <c r="GD37" i="1" s="1"/>
  <c r="BF36" i="1"/>
  <c r="GD36" i="1" s="1"/>
  <c r="BF32" i="1"/>
  <c r="BF35" i="1"/>
  <c r="GD35" i="1" s="1"/>
  <c r="BF34" i="1"/>
  <c r="GD34" i="1" s="1"/>
  <c r="BF31" i="1"/>
  <c r="GD31" i="1" s="1"/>
  <c r="BF33" i="1"/>
  <c r="BF30" i="1"/>
  <c r="GD30" i="1" s="1"/>
  <c r="BF29" i="1"/>
  <c r="GD29" i="1" s="1"/>
  <c r="BF28" i="1"/>
  <c r="GD28" i="1" s="1"/>
  <c r="BF26" i="1"/>
  <c r="BF25" i="1"/>
  <c r="GD25" i="1" s="1"/>
  <c r="BF23" i="1"/>
  <c r="BF22" i="1"/>
  <c r="GD22" i="1" s="1"/>
  <c r="BF19" i="1"/>
  <c r="BF24" i="1"/>
  <c r="GD24" i="1" s="1"/>
  <c r="BF18" i="1"/>
  <c r="BF17" i="1"/>
  <c r="GD17" i="1" s="1"/>
  <c r="BF16" i="1"/>
  <c r="BF15" i="1"/>
  <c r="GD15" i="1" s="1"/>
  <c r="BF14" i="1"/>
  <c r="GD14" i="1" s="1"/>
  <c r="BF8" i="1"/>
  <c r="GD8" i="1" s="1"/>
  <c r="GD12" i="1" s="1"/>
  <c r="BF6" i="1"/>
  <c r="GD6" i="1" s="1"/>
  <c r="BF5" i="1"/>
  <c r="GD5" i="1" s="1"/>
  <c r="AY104" i="1"/>
  <c r="AY102" i="1"/>
  <c r="GC102" i="1" s="1"/>
  <c r="AY101" i="1"/>
  <c r="GC101" i="1" s="1"/>
  <c r="AY99" i="1"/>
  <c r="AY47" i="1"/>
  <c r="AY46" i="1"/>
  <c r="AY45" i="1"/>
  <c r="AY42" i="1"/>
  <c r="AY39" i="1"/>
  <c r="AY37" i="1"/>
  <c r="GC37" i="1" s="1"/>
  <c r="AY36" i="1"/>
  <c r="GC36" i="1" s="1"/>
  <c r="AY32" i="1"/>
  <c r="GC32" i="1" s="1"/>
  <c r="AY35" i="1"/>
  <c r="GC35" i="1" s="1"/>
  <c r="AY34" i="1"/>
  <c r="GC34" i="1" s="1"/>
  <c r="AY33" i="1"/>
  <c r="GC33" i="1" s="1"/>
  <c r="AY31" i="1"/>
  <c r="GC31" i="1" s="1"/>
  <c r="AY30" i="1"/>
  <c r="GC30" i="1" s="1"/>
  <c r="AY29" i="1"/>
  <c r="GC29" i="1" s="1"/>
  <c r="AY28" i="1"/>
  <c r="GC28" i="1" s="1"/>
  <c r="AY26" i="1"/>
  <c r="AY25" i="1"/>
  <c r="GC25" i="1" s="1"/>
  <c r="AY23" i="1"/>
  <c r="GC23" i="1" s="1"/>
  <c r="AY22" i="1"/>
  <c r="AY19" i="1"/>
  <c r="AY24" i="1"/>
  <c r="GC24" i="1" s="1"/>
  <c r="AY18" i="1"/>
  <c r="GC18" i="1" s="1"/>
  <c r="AY17" i="1"/>
  <c r="AY16" i="1"/>
  <c r="AY15" i="1"/>
  <c r="GC15" i="1" s="1"/>
  <c r="AY14" i="1"/>
  <c r="GC14" i="1" s="1"/>
  <c r="AY8" i="1"/>
  <c r="GC8" i="1" s="1"/>
  <c r="AY7" i="1"/>
  <c r="GC7" i="1" s="1"/>
  <c r="AY6" i="1"/>
  <c r="GC6" i="1" s="1"/>
  <c r="BT72" i="1"/>
  <c r="GD72" i="1" s="1"/>
  <c r="BT71" i="1"/>
  <c r="BT70" i="1"/>
  <c r="BT69" i="1"/>
  <c r="BT68" i="1"/>
  <c r="BT67" i="1"/>
  <c r="BT66" i="1"/>
  <c r="BT65" i="1"/>
  <c r="BT64" i="1"/>
  <c r="BT63" i="1"/>
  <c r="BT62" i="1"/>
  <c r="BT61" i="1"/>
  <c r="H50" i="3"/>
  <c r="BM72" i="1"/>
  <c r="GC72" i="1" s="1"/>
  <c r="BM71" i="1"/>
  <c r="GC71" i="1" s="1"/>
  <c r="BM70" i="1"/>
  <c r="GC70" i="1" s="1"/>
  <c r="BM69" i="1"/>
  <c r="GC69" i="1" s="1"/>
  <c r="BM68" i="1"/>
  <c r="GC68" i="1" s="1"/>
  <c r="BM67" i="1"/>
  <c r="GC67" i="1" s="1"/>
  <c r="BM66" i="1"/>
  <c r="GC66" i="1" s="1"/>
  <c r="BM65" i="1"/>
  <c r="GC65" i="1" s="1"/>
  <c r="BM64" i="1"/>
  <c r="GC64" i="1" s="1"/>
  <c r="BM63" i="1"/>
  <c r="GC63" i="1" s="1"/>
  <c r="BM62" i="1"/>
  <c r="GC62" i="1" s="1"/>
  <c r="BM61" i="1"/>
  <c r="GC61" i="1" s="1"/>
  <c r="BM50" i="1"/>
  <c r="GC50" i="1" s="1"/>
  <c r="BM51" i="1"/>
  <c r="GC51" i="1" s="1"/>
  <c r="BM48" i="1"/>
  <c r="GC48" i="1" s="1"/>
  <c r="BM49" i="1"/>
  <c r="GC49" i="1" s="1"/>
  <c r="BM46" i="1"/>
  <c r="BM47" i="1"/>
  <c r="BM45" i="1"/>
  <c r="BM44" i="1"/>
  <c r="GC44" i="1" s="1"/>
  <c r="BM42" i="1"/>
  <c r="BM41" i="1"/>
  <c r="GC41" i="1" s="1"/>
  <c r="BM40" i="1"/>
  <c r="GC40" i="1" s="1"/>
  <c r="GC39" i="1" l="1"/>
  <c r="GD33" i="1"/>
  <c r="GD104" i="1"/>
  <c r="GC104" i="1"/>
  <c r="GC107" i="1" s="1"/>
  <c r="GD102" i="1"/>
  <c r="GD32" i="1"/>
  <c r="GC46" i="1"/>
  <c r="GC47" i="1"/>
  <c r="GC42" i="1"/>
  <c r="GC45" i="1"/>
  <c r="GC38" i="1"/>
  <c r="GC99" i="1"/>
  <c r="GC100" i="1" s="1"/>
  <c r="GD63" i="1"/>
  <c r="GD67" i="1"/>
  <c r="GD71" i="1"/>
  <c r="GD64" i="1"/>
  <c r="GD68" i="1"/>
  <c r="GD61" i="1"/>
  <c r="GD65" i="1"/>
  <c r="GD69" i="1"/>
  <c r="GD62" i="1"/>
  <c r="GD66" i="1"/>
  <c r="GD70" i="1"/>
  <c r="GC16" i="1"/>
  <c r="GC19" i="1"/>
  <c r="GC26" i="1"/>
  <c r="GC17" i="1"/>
  <c r="GC22" i="1"/>
  <c r="GD16" i="1"/>
  <c r="GD19" i="1"/>
  <c r="GD26" i="1"/>
  <c r="GC98" i="1"/>
  <c r="GD18" i="1"/>
  <c r="GD23" i="1"/>
  <c r="BT98" i="1"/>
  <c r="BF98" i="1"/>
  <c r="BM98" i="1"/>
  <c r="BM60" i="1"/>
  <c r="AY60" i="1"/>
  <c r="AY100" i="1"/>
  <c r="G105" i="3"/>
  <c r="H71" i="3"/>
  <c r="H105" i="3"/>
  <c r="AY107" i="1"/>
  <c r="BF12" i="1"/>
  <c r="BF107" i="1"/>
  <c r="BF27" i="1"/>
  <c r="BF38" i="1"/>
  <c r="BN27" i="1"/>
  <c r="BO27" i="1"/>
  <c r="BP27" i="1"/>
  <c r="BQ27" i="1"/>
  <c r="BR27" i="1"/>
  <c r="BS27" i="1"/>
  <c r="BN38" i="1"/>
  <c r="BO38" i="1"/>
  <c r="BP38" i="1"/>
  <c r="BQ38" i="1"/>
  <c r="BR38" i="1"/>
  <c r="BS38" i="1"/>
  <c r="BM38" i="1"/>
  <c r="BO100" i="1"/>
  <c r="BP100" i="1"/>
  <c r="BQ100" i="1"/>
  <c r="BR100" i="1"/>
  <c r="BS100" i="1"/>
  <c r="BN100" i="1"/>
  <c r="BH100" i="1"/>
  <c r="BI100" i="1"/>
  <c r="BJ100" i="1"/>
  <c r="BK100" i="1"/>
  <c r="BL100" i="1"/>
  <c r="BG100" i="1"/>
  <c r="BF100" i="1"/>
  <c r="BL38" i="1"/>
  <c r="BG38" i="1"/>
  <c r="BH38" i="1"/>
  <c r="BI38" i="1"/>
  <c r="BJ38" i="1"/>
  <c r="BK38" i="1"/>
  <c r="BG27" i="1"/>
  <c r="BH27" i="1"/>
  <c r="BI27" i="1"/>
  <c r="BJ27" i="1"/>
  <c r="BK27" i="1"/>
  <c r="BL27" i="1"/>
  <c r="BH12" i="1"/>
  <c r="BG12" i="1"/>
  <c r="GD98" i="1" l="1"/>
  <c r="BF144" i="1"/>
  <c r="GC27" i="1"/>
  <c r="GD27" i="1"/>
  <c r="GD38" i="1"/>
  <c r="GC60" i="1"/>
  <c r="GD107" i="1"/>
  <c r="G50" i="3"/>
  <c r="EE60" i="1"/>
  <c r="EE144" i="1" s="1"/>
  <c r="GD144" i="1" l="1"/>
  <c r="H143" i="3" s="1"/>
  <c r="BT38" i="1"/>
  <c r="BT100" i="1" l="1"/>
  <c r="BM100" i="1"/>
  <c r="BT27" i="1" l="1"/>
  <c r="BM27" i="1"/>
  <c r="AT107" i="1" l="1"/>
  <c r="AU107" i="1"/>
  <c r="AV107" i="1"/>
  <c r="AW107" i="1"/>
  <c r="AX107" i="1"/>
  <c r="AZ107" i="1"/>
  <c r="BA107" i="1"/>
  <c r="BB107" i="1"/>
  <c r="BC107" i="1"/>
  <c r="BD107" i="1"/>
  <c r="BE107" i="1"/>
  <c r="BG107" i="1"/>
  <c r="BG144" i="1" s="1"/>
  <c r="BH107" i="1"/>
  <c r="BH144" i="1" s="1"/>
  <c r="BI107" i="1"/>
  <c r="BJ107" i="1"/>
  <c r="BK107" i="1"/>
  <c r="BL107" i="1"/>
  <c r="BN107" i="1"/>
  <c r="BN144" i="1" s="1"/>
  <c r="BO107" i="1"/>
  <c r="BO144" i="1" s="1"/>
  <c r="BP107" i="1"/>
  <c r="BP144" i="1" s="1"/>
  <c r="BQ107" i="1"/>
  <c r="BR107" i="1"/>
  <c r="BS107" i="1"/>
  <c r="G71" i="3"/>
  <c r="BI12" i="1"/>
  <c r="BJ12" i="1"/>
  <c r="BK12" i="1"/>
  <c r="BL12" i="1"/>
  <c r="BQ12" i="1"/>
  <c r="BQ144" i="1" s="1"/>
  <c r="BR12" i="1"/>
  <c r="BR144" i="1" s="1"/>
  <c r="BS12" i="1"/>
  <c r="BS144" i="1" s="1"/>
  <c r="AJ12" i="1"/>
  <c r="AK12" i="1"/>
  <c r="AL12" i="1"/>
  <c r="AM12" i="1"/>
  <c r="AN12" i="1"/>
  <c r="AO12" i="1"/>
  <c r="AP12" i="1"/>
  <c r="AQ12" i="1"/>
  <c r="AR12" i="1"/>
  <c r="AS12" i="1"/>
  <c r="AT12" i="1"/>
  <c r="AV12" i="1"/>
  <c r="AW12" i="1"/>
  <c r="AX12" i="1"/>
  <c r="AZ12" i="1"/>
  <c r="BA12" i="1"/>
  <c r="BB12" i="1"/>
  <c r="BC12" i="1"/>
  <c r="BD12" i="1"/>
  <c r="BE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AI12" i="1"/>
  <c r="T12" i="1"/>
  <c r="U12" i="1"/>
  <c r="V12" i="1"/>
  <c r="I12" i="1"/>
  <c r="J12" i="1"/>
  <c r="K12" i="1"/>
  <c r="L12" i="1"/>
  <c r="M12" i="1"/>
  <c r="N12" i="1"/>
  <c r="O12" i="1"/>
  <c r="P12" i="1"/>
  <c r="Q12" i="1"/>
  <c r="R12" i="1"/>
  <c r="S12" i="1"/>
  <c r="F12" i="1"/>
  <c r="G12" i="1"/>
  <c r="H12" i="1"/>
  <c r="E12" i="1"/>
  <c r="BL144" i="1" l="1"/>
  <c r="BJ144" i="1"/>
  <c r="BI144" i="1"/>
  <c r="BK144" i="1"/>
  <c r="BT107" i="1"/>
  <c r="BT144" i="1" s="1"/>
  <c r="G49" i="3"/>
  <c r="H47" i="3"/>
  <c r="G48" i="3"/>
  <c r="H48" i="3"/>
  <c r="G47" i="3"/>
  <c r="H49" i="3"/>
  <c r="BM107" i="1"/>
  <c r="BM144" i="1" s="1"/>
  <c r="AU5" i="1" l="1"/>
  <c r="AU12" i="1" l="1"/>
  <c r="AY5" i="1"/>
  <c r="GC5" i="1" s="1"/>
  <c r="GC12" i="1" s="1"/>
  <c r="AX27" i="1"/>
  <c r="AW27" i="1"/>
  <c r="AV27" i="1"/>
  <c r="AU27" i="1"/>
  <c r="AT27" i="1"/>
  <c r="AS27" i="1"/>
  <c r="GC144" i="1" l="1"/>
  <c r="G143" i="3" s="1"/>
  <c r="AY12" i="1"/>
  <c r="AZ27" i="1"/>
  <c r="BA27" i="1"/>
  <c r="BB27" i="1"/>
  <c r="BC27" i="1"/>
  <c r="BD27" i="1"/>
  <c r="BE27" i="1"/>
  <c r="AS38" i="1"/>
  <c r="AT38" i="1"/>
  <c r="AU38" i="1"/>
  <c r="AU144" i="1" s="1"/>
  <c r="AV38" i="1"/>
  <c r="AW38" i="1"/>
  <c r="AW144" i="1" s="1"/>
  <c r="AX38" i="1"/>
  <c r="AZ38" i="1"/>
  <c r="BA38" i="1"/>
  <c r="BB38" i="1"/>
  <c r="BC38" i="1"/>
  <c r="BD38" i="1"/>
  <c r="BE38" i="1"/>
  <c r="AS100" i="1"/>
  <c r="AS144" i="1" s="1"/>
  <c r="AT100" i="1"/>
  <c r="AT144" i="1" s="1"/>
  <c r="AV100" i="1"/>
  <c r="AX100" i="1"/>
  <c r="AZ100" i="1"/>
  <c r="BA100" i="1"/>
  <c r="BC100" i="1"/>
  <c r="BE100" i="1"/>
  <c r="AV144" i="1" l="1"/>
  <c r="BA144" i="1"/>
  <c r="AX144" i="1"/>
  <c r="AZ144" i="1"/>
  <c r="BE144" i="1"/>
  <c r="BD144" i="1"/>
  <c r="BC144" i="1"/>
  <c r="BB144" i="1"/>
  <c r="AY38" i="1"/>
  <c r="AY27" i="1"/>
  <c r="AY144" i="1" l="1"/>
  <c r="H44" i="3"/>
  <c r="H45" i="3"/>
  <c r="H46" i="3"/>
  <c r="G45" i="3"/>
  <c r="H101" i="3"/>
  <c r="H103" i="3"/>
  <c r="G101" i="3"/>
  <c r="G103" i="3"/>
  <c r="H100" i="3" l="1"/>
  <c r="G46" i="3"/>
  <c r="G44" i="3"/>
  <c r="G100" i="3" l="1"/>
  <c r="L36" i="2" l="1"/>
  <c r="L32" i="2"/>
  <c r="H98" i="3"/>
  <c r="G98" i="3"/>
  <c r="G64" i="3"/>
  <c r="H64" i="3"/>
  <c r="G65" i="3"/>
  <c r="H65" i="3"/>
  <c r="G66" i="3"/>
  <c r="H66" i="3"/>
  <c r="G67" i="3"/>
  <c r="H67" i="3"/>
  <c r="G68" i="3"/>
  <c r="H68" i="3"/>
  <c r="G69" i="3"/>
  <c r="H69" i="3"/>
  <c r="G70" i="3"/>
  <c r="H70" i="3"/>
  <c r="H63" i="3"/>
  <c r="G63" i="3"/>
  <c r="G61" i="3"/>
  <c r="H61" i="3"/>
  <c r="G62" i="3"/>
  <c r="H62" i="3"/>
  <c r="H60" i="3"/>
  <c r="G60" i="3"/>
  <c r="G39" i="3"/>
  <c r="H39" i="3"/>
  <c r="G40" i="3"/>
  <c r="H40" i="3"/>
  <c r="G41" i="3"/>
  <c r="H41" i="3"/>
  <c r="G42" i="3"/>
  <c r="H42" i="3"/>
  <c r="G43" i="3"/>
  <c r="H43" i="3"/>
  <c r="G28" i="3"/>
  <c r="G29" i="3"/>
  <c r="G30" i="3"/>
  <c r="G32" i="3"/>
  <c r="G33" i="3"/>
  <c r="G34" i="3"/>
  <c r="G31" i="3"/>
  <c r="G35" i="3"/>
  <c r="G36" i="3"/>
  <c r="G27" i="3"/>
  <c r="H31" i="3"/>
  <c r="H36" i="3"/>
  <c r="H35" i="3"/>
  <c r="H28" i="3"/>
  <c r="H29" i="3"/>
  <c r="H30" i="3"/>
  <c r="H32" i="3"/>
  <c r="H33" i="3"/>
  <c r="H34" i="3"/>
  <c r="H27" i="3"/>
  <c r="G14" i="3"/>
  <c r="H14" i="3"/>
  <c r="G15" i="3"/>
  <c r="H15" i="3"/>
  <c r="G16" i="3"/>
  <c r="H16" i="3"/>
  <c r="G17" i="3"/>
  <c r="H17" i="3"/>
  <c r="G23" i="3"/>
  <c r="H23" i="3"/>
  <c r="G18" i="3"/>
  <c r="H18" i="3"/>
  <c r="G21" i="3"/>
  <c r="H21" i="3"/>
  <c r="G22" i="3"/>
  <c r="H22" i="3"/>
  <c r="G24" i="3"/>
  <c r="H24" i="3"/>
  <c r="G25" i="3"/>
  <c r="H25" i="3"/>
  <c r="H13" i="3"/>
  <c r="H12" i="3" l="1"/>
  <c r="G13" i="3"/>
  <c r="H11" i="3"/>
  <c r="H38" i="3"/>
  <c r="G4" i="3"/>
  <c r="E5" i="2"/>
  <c r="G12" i="3"/>
  <c r="G7" i="3"/>
  <c r="E8" i="2"/>
  <c r="F5" i="2"/>
  <c r="H4" i="3"/>
  <c r="G6" i="3"/>
  <c r="E7" i="2"/>
  <c r="F8" i="2"/>
  <c r="H7" i="3"/>
  <c r="G11" i="3"/>
  <c r="H5" i="3"/>
  <c r="F6" i="2"/>
  <c r="G5" i="3"/>
  <c r="E6" i="2"/>
  <c r="F7" i="2"/>
  <c r="H6" i="3"/>
  <c r="AQ100" i="1"/>
  <c r="AR100" i="1"/>
  <c r="E12" i="2" l="1"/>
  <c r="F12" i="2"/>
  <c r="G26" i="3"/>
  <c r="E14" i="2"/>
  <c r="AM100" i="1" l="1"/>
  <c r="AR38" i="1"/>
  <c r="AQ38" i="1"/>
  <c r="AR27" i="1"/>
  <c r="AQ27" i="1"/>
  <c r="AP27" i="1"/>
  <c r="AQ144" i="1" l="1"/>
  <c r="AR144" i="1"/>
  <c r="H99" i="3"/>
  <c r="F18" i="2"/>
  <c r="H106" i="3"/>
  <c r="F19" i="2"/>
  <c r="E19" i="2"/>
  <c r="G106" i="3"/>
  <c r="H26" i="3"/>
  <c r="F14" i="2"/>
  <c r="F16" i="2"/>
  <c r="H59" i="3"/>
  <c r="G99" i="3"/>
  <c r="E18" i="2"/>
  <c r="G97" i="3" l="1"/>
  <c r="E17" i="2"/>
  <c r="E15" i="2"/>
  <c r="G37" i="3"/>
  <c r="H37" i="3"/>
  <c r="F15" i="2"/>
  <c r="F17" i="2"/>
  <c r="H97" i="3"/>
  <c r="E27" i="1"/>
  <c r="F26" i="2" l="1"/>
  <c r="F27" i="2" s="1"/>
  <c r="AO100" i="1"/>
  <c r="AP100" i="1"/>
  <c r="AN100" i="1"/>
  <c r="E38" i="1"/>
  <c r="AO38" i="1"/>
  <c r="AP38" i="1"/>
  <c r="AN38" i="1"/>
  <c r="AO27" i="1"/>
  <c r="AN27" i="1"/>
  <c r="AM27" i="1"/>
  <c r="AL27" i="1"/>
  <c r="AK27" i="1"/>
  <c r="AJ27" i="1"/>
  <c r="AI27" i="1"/>
  <c r="AH27" i="1"/>
  <c r="AG27" i="1"/>
  <c r="AF27" i="1"/>
  <c r="AE27" i="1"/>
  <c r="AD27" i="1"/>
  <c r="AC27" i="1"/>
  <c r="AN144" i="1" l="1"/>
  <c r="AO144" i="1"/>
  <c r="AP144" i="1"/>
  <c r="D15" i="1"/>
  <c r="D16" i="1" l="1"/>
  <c r="D14" i="3"/>
  <c r="J32" i="2"/>
  <c r="B18" i="2"/>
  <c r="B17" i="2"/>
  <c r="B16" i="2"/>
  <c r="B15" i="2"/>
  <c r="B14" i="2"/>
  <c r="B8" i="2"/>
  <c r="B7" i="2"/>
  <c r="B6" i="2"/>
  <c r="B5" i="2"/>
  <c r="D17" i="1" l="1"/>
  <c r="D15" i="3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E100" i="1"/>
  <c r="E144" i="1" s="1"/>
  <c r="F38" i="1"/>
  <c r="G38" i="1"/>
  <c r="H38" i="1"/>
  <c r="I38" i="1"/>
  <c r="J38" i="1"/>
  <c r="K38" i="1"/>
  <c r="L38" i="1"/>
  <c r="M38" i="1"/>
  <c r="N38" i="1"/>
  <c r="O38" i="1"/>
  <c r="P38" i="1"/>
  <c r="Q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F144" i="1" s="1"/>
  <c r="AG38" i="1"/>
  <c r="AH38" i="1"/>
  <c r="AI38" i="1"/>
  <c r="AJ38" i="1"/>
  <c r="AJ144" i="1" s="1"/>
  <c r="AK38" i="1"/>
  <c r="AL38" i="1"/>
  <c r="AM38" i="1"/>
  <c r="AM144" i="1" s="1"/>
  <c r="O27" i="1"/>
  <c r="P27" i="1"/>
  <c r="P144" i="1" s="1"/>
  <c r="Q27" i="1"/>
  <c r="S27" i="1"/>
  <c r="T27" i="1"/>
  <c r="T144" i="1" s="1"/>
  <c r="U27" i="1"/>
  <c r="V27" i="1"/>
  <c r="W27" i="1"/>
  <c r="X27" i="1"/>
  <c r="X144" i="1" s="1"/>
  <c r="Y27" i="1"/>
  <c r="Z27" i="1"/>
  <c r="AA27" i="1"/>
  <c r="AB27" i="1"/>
  <c r="AB144" i="1" s="1"/>
  <c r="F27" i="1"/>
  <c r="G27" i="1"/>
  <c r="G144" i="1" s="1"/>
  <c r="H27" i="1"/>
  <c r="I27" i="1"/>
  <c r="J27" i="1"/>
  <c r="K27" i="1"/>
  <c r="K144" i="1" s="1"/>
  <c r="L27" i="1"/>
  <c r="M27" i="1"/>
  <c r="N27" i="1"/>
  <c r="L144" i="1" l="1"/>
  <c r="AK144" i="1"/>
  <c r="M144" i="1"/>
  <c r="I144" i="1"/>
  <c r="H144" i="1"/>
  <c r="AG144" i="1"/>
  <c r="AC144" i="1"/>
  <c r="Z144" i="1"/>
  <c r="V144" i="1"/>
  <c r="R144" i="1"/>
  <c r="N144" i="1"/>
  <c r="J144" i="1"/>
  <c r="F144" i="1"/>
  <c r="AL144" i="1"/>
  <c r="AH144" i="1"/>
  <c r="AD144" i="1"/>
  <c r="AI144" i="1"/>
  <c r="AE144" i="1"/>
  <c r="AA144" i="1"/>
  <c r="W144" i="1"/>
  <c r="S144" i="1"/>
  <c r="O144" i="1"/>
  <c r="Y144" i="1"/>
  <c r="U144" i="1"/>
  <c r="Q144" i="1"/>
  <c r="D18" i="1"/>
  <c r="D16" i="3"/>
  <c r="GH144" i="1" l="1"/>
  <c r="GG144" i="1"/>
  <c r="GG146" i="1" s="1"/>
  <c r="D24" i="1"/>
  <c r="D17" i="3"/>
  <c r="GH146" i="1" l="1"/>
  <c r="D19" i="1"/>
  <c r="D20" i="1" s="1"/>
  <c r="D23" i="3"/>
  <c r="D21" i="1" l="1"/>
  <c r="D20" i="3" s="1"/>
  <c r="D19" i="3"/>
  <c r="D22" i="1"/>
  <c r="D18" i="3"/>
  <c r="D23" i="1" l="1"/>
  <c r="D21" i="3"/>
  <c r="D25" i="1" l="1"/>
  <c r="D22" i="3"/>
  <c r="D26" i="1" l="1"/>
  <c r="D25" i="3" s="1"/>
  <c r="D24" i="3"/>
  <c r="G38" i="3"/>
  <c r="G59" i="3" l="1"/>
  <c r="E16" i="2"/>
  <c r="E26" i="2" s="1"/>
  <c r="E2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<sst xmlns="http://schemas.openxmlformats.org/spreadsheetml/2006/main" count="1348" uniqueCount="258">
  <si>
    <t>Bacia Hidrográfica</t>
  </si>
  <si>
    <t>Domínio</t>
  </si>
  <si>
    <t>Início</t>
  </si>
  <si>
    <t>TOTAL</t>
  </si>
  <si>
    <t>Fonte</t>
  </si>
  <si>
    <t>Cobrado</t>
  </si>
  <si>
    <t>Arrecadado</t>
  </si>
  <si>
    <t>União</t>
  </si>
  <si>
    <t>ANA</t>
  </si>
  <si>
    <t>INEA/RJ</t>
  </si>
  <si>
    <t>RJ</t>
  </si>
  <si>
    <t>...</t>
  </si>
  <si>
    <t>Paraíba do Sul</t>
  </si>
  <si>
    <t>SP</t>
  </si>
  <si>
    <t>MG</t>
  </si>
  <si>
    <t>Fundação PCJ</t>
  </si>
  <si>
    <t>PCJ (paulista)</t>
  </si>
  <si>
    <t>IGAM/MG</t>
  </si>
  <si>
    <t>Araguari</t>
  </si>
  <si>
    <t>Piranga</t>
  </si>
  <si>
    <t>Piracicaba</t>
  </si>
  <si>
    <t>Santo Antônio</t>
  </si>
  <si>
    <t>Suaçuí</t>
  </si>
  <si>
    <t>Caratinga</t>
  </si>
  <si>
    <t>Manhuaçu</t>
  </si>
  <si>
    <t>Guandu</t>
  </si>
  <si>
    <t>CE</t>
  </si>
  <si>
    <t>COGERH/CE</t>
  </si>
  <si>
    <t>Sorocaba e Médio Tietê</t>
  </si>
  <si>
    <t>Baixo Tietê</t>
  </si>
  <si>
    <t>Baixada Santista</t>
  </si>
  <si>
    <t>Alto Iguaçu e Afluentes do Alto Ribeira</t>
  </si>
  <si>
    <t>PR</t>
  </si>
  <si>
    <t>ANEEL</t>
  </si>
  <si>
    <t>PARANÁ</t>
  </si>
  <si>
    <t>SÃO PAULO</t>
  </si>
  <si>
    <t>INTERESTADUAL</t>
  </si>
  <si>
    <t>Total CE</t>
  </si>
  <si>
    <t>Total RJ</t>
  </si>
  <si>
    <t>Total SP</t>
  </si>
  <si>
    <t>Total MG</t>
  </si>
  <si>
    <t>MINAS GERAIS</t>
  </si>
  <si>
    <t>Total PR</t>
  </si>
  <si>
    <t>UHEs</t>
  </si>
  <si>
    <t>1- De acordo com o Decreto nº 7.402/10, a parcela referida no inciso II do § 1º do art. 17 da Lei nº 9.648/98, constitui cobrança pelo uso de recursos hídricos, prevista no inciso IV do art. 5º da Lei nº 9.433/97, e será destinada ao Ministério do Meio Ambiente para as despesas que constituem obrigações legais referentes à Política Nacional de Recursos Hídricos e ao Sistema Nacional de Gerenciamento de Recursos Hídricos.</t>
  </si>
  <si>
    <t>Médio Paraíba do Sul</t>
  </si>
  <si>
    <t>Piabanha</t>
  </si>
  <si>
    <t>Baixo Paraíba do Sul</t>
  </si>
  <si>
    <t>Baía de Guanabara</t>
  </si>
  <si>
    <t>Baía da Ilha Grande</t>
  </si>
  <si>
    <t>Itabapoana</t>
  </si>
  <si>
    <t>Lagos São João</t>
  </si>
  <si>
    <t>Macaé e Rio das Ostras</t>
  </si>
  <si>
    <t>São Francisco</t>
  </si>
  <si>
    <t>Doce</t>
  </si>
  <si>
    <t>Ceará</t>
  </si>
  <si>
    <t>Rio de Janeiro</t>
  </si>
  <si>
    <t>São Paulo</t>
  </si>
  <si>
    <t>Minas Gerais</t>
  </si>
  <si>
    <t>Paraná</t>
  </si>
  <si>
    <t>TOTAL INTERESTADUAL</t>
  </si>
  <si>
    <t>Piracicaba, Capivari, Jundiaí (PCJ)</t>
  </si>
  <si>
    <t>Cobranças Implementadas</t>
  </si>
  <si>
    <t>Cobranças Interestaduais</t>
  </si>
  <si>
    <t>Cobranças Estaduais</t>
  </si>
  <si>
    <t>Total</t>
  </si>
  <si>
    <t>Cobrança</t>
  </si>
  <si>
    <t>Valores Arrecadados com a Cobrança pelo Uso de Recursos Hídricos do Setor Hidrelétrico no País, em R$ 1,00</t>
  </si>
  <si>
    <t>Valores Cobrados e Arrecadados com a Cobrança pelo Uso de Recursos Hídricos em Bacias Hidrográficas no País, em R$ 1,00</t>
  </si>
  <si>
    <t>São Francisco (CBHSF)</t>
  </si>
  <si>
    <t>Paraíba do Sul (CEIVAP)</t>
  </si>
  <si>
    <t>Mecanismo Diferenciado de Pagamento - MDP, em R$ 1,00</t>
  </si>
  <si>
    <t>1- MDP = Mecanismo Diferenciado de Pagamento (refere a mecanismo de redução do valor cobrado em razão de investimentos voluntários dos usuários em ações de melhoria da quantidade/qualidade da água.</t>
  </si>
  <si>
    <t>Tipo de Usina</t>
  </si>
  <si>
    <r>
      <t>SETOR HIDRELÉTRICO</t>
    </r>
    <r>
      <rPr>
        <b/>
        <vertAlign val="superscript"/>
        <sz val="10"/>
        <rFont val="Arial"/>
        <family val="2"/>
      </rPr>
      <t>1</t>
    </r>
  </si>
  <si>
    <r>
      <t>MDP</t>
    </r>
    <r>
      <rPr>
        <b/>
        <vertAlign val="superscript"/>
        <sz val="10"/>
        <rFont val="Arial"/>
        <family val="2"/>
      </rPr>
      <t>1</t>
    </r>
  </si>
  <si>
    <r>
      <t>Piracicaba, Capivari, Jundiaí (Comitês PCJ)</t>
    </r>
    <r>
      <rPr>
        <vertAlign val="superscript"/>
        <sz val="10"/>
        <color rgb="FF000000"/>
        <rFont val="Arial"/>
        <family val="2"/>
      </rPr>
      <t>2</t>
    </r>
  </si>
  <si>
    <t>2- Conforme Resolução CNRH nº 78/07.</t>
  </si>
  <si>
    <t xml:space="preserve">Cobrado </t>
  </si>
  <si>
    <t>Coreaú</t>
  </si>
  <si>
    <t>Acaraú</t>
  </si>
  <si>
    <t>Litoral</t>
  </si>
  <si>
    <t>Curu</t>
  </si>
  <si>
    <t>Metropolitana</t>
  </si>
  <si>
    <t>Baixo Jaguaribe</t>
  </si>
  <si>
    <t>Banabuiú</t>
  </si>
  <si>
    <t>Médio Jaguaribe</t>
  </si>
  <si>
    <t>Alto Jaguaribe</t>
  </si>
  <si>
    <t>Salgado</t>
  </si>
  <si>
    <t>Alto Tietê</t>
  </si>
  <si>
    <t>PARAÍBA</t>
  </si>
  <si>
    <t>AESA</t>
  </si>
  <si>
    <t>Preto/Paraibuna</t>
  </si>
  <si>
    <t>Pomba/Muriaé</t>
  </si>
  <si>
    <t>Total PB</t>
  </si>
  <si>
    <t>PB</t>
  </si>
  <si>
    <t>Paraíba</t>
  </si>
  <si>
    <t>Em todas as bacias hidrográficas do Estado</t>
  </si>
  <si>
    <t>PCJ</t>
  </si>
  <si>
    <t>Doce (CBH-Doce)</t>
  </si>
  <si>
    <t>CEARÁ</t>
  </si>
  <si>
    <t>Rio Dois Rios</t>
  </si>
  <si>
    <t>Cobrança em Bacias Hidrográficas, em R$ milhões</t>
  </si>
  <si>
    <t>RIO DE JANEIRO</t>
  </si>
  <si>
    <t>Cobrança do Setor Hidrelétrico, em R$ milhões</t>
  </si>
  <si>
    <t>Mecanismo Diferenciado de Pagamento (MDP), em R$ milhões</t>
  </si>
  <si>
    <t>Valores Cobrados e Arrecadados com a Cobrança pelo Uso de Recursos Hídricos em Bacias Hidrográficas no País, em R$ milhões</t>
  </si>
  <si>
    <t>Saneamento</t>
  </si>
  <si>
    <t>Indústria</t>
  </si>
  <si>
    <t>Outros</t>
  </si>
  <si>
    <t>Litoral Norte</t>
  </si>
  <si>
    <t>Tietê Jacaré</t>
  </si>
  <si>
    <t>Tietê Batalha</t>
  </si>
  <si>
    <t xml:space="preserve">Ribeira de Iguape e Litoral Sul </t>
  </si>
  <si>
    <t>Agropecuária</t>
  </si>
  <si>
    <t>Termelétrica</t>
  </si>
  <si>
    <t>Mineração</t>
  </si>
  <si>
    <t>Velhas</t>
  </si>
  <si>
    <t>SSRH/SP</t>
  </si>
  <si>
    <r>
      <t>TOTAL NO PAÍS</t>
    </r>
    <r>
      <rPr>
        <b/>
        <sz val="11"/>
        <color rgb="FFFFC000"/>
        <rFont val="Arial"/>
        <family val="2"/>
      </rPr>
      <t xml:space="preserve"> (cobranças em bacias hidrográficas)</t>
    </r>
  </si>
  <si>
    <t>1- Os boletos referentes à cobrança de 2011 na Bacia do Doce foram encaminhados somente em 2012.</t>
  </si>
  <si>
    <t>Transferência de Valores Arrecadados com a Cobrança pelo Uso de Recursos Hídricos do CBH Guandu para o CEIVAP, em R$ 1,00</t>
  </si>
  <si>
    <t>COBRANÇA TOTAL NO PAÍS</t>
  </si>
  <si>
    <r>
      <t>Transposições PBS/Guandu</t>
    </r>
    <r>
      <rPr>
        <vertAlign val="superscript"/>
        <sz val="10"/>
        <color rgb="FF000000"/>
        <rFont val="Arial"/>
        <family val="2"/>
      </rPr>
      <t>1</t>
    </r>
  </si>
  <si>
    <t>1- Em função das transposições das águas da bacia do rio Paraíba do Sul para a bacia do rio Guandu, o CBH-Guandu transfere ao CEIVAP parte dos seus recursos arrecadados com a cobrança pelo uso de recursos hídricos (de jan/07 a set/16: 15%; e a partir de out/16: 20%). O CBH-Guandu tem atuação nos rios Guandu, Guarda e Guarda-Mirim, a transferência refere-se apenas a arrecadação sobre as águas superficiais do rio Guandu. Não há emissão de boleto pela ANA, sendo os valores transferidos diretamente do INEA/RJ para o CEIVAP.</t>
  </si>
  <si>
    <t>Transposições PBS/Guandu</t>
  </si>
  <si>
    <t>Transferência de Valores do CBH Guandu para o CEIVAP,                                em R$ milhões</t>
  </si>
  <si>
    <r>
      <t>CEARÁ</t>
    </r>
    <r>
      <rPr>
        <b/>
        <vertAlign val="superscript"/>
        <sz val="10"/>
        <color theme="1"/>
        <rFont val="Arial"/>
        <family val="2"/>
      </rPr>
      <t>3</t>
    </r>
  </si>
  <si>
    <r>
      <t>RIO DE JANEIRO</t>
    </r>
    <r>
      <rPr>
        <b/>
        <vertAlign val="superscript"/>
        <sz val="10"/>
        <color theme="1"/>
        <rFont val="Arial"/>
        <family val="2"/>
      </rPr>
      <t>4</t>
    </r>
  </si>
  <si>
    <t>3- A COGERH/CE não possui os valores cobrados e arrecadados por bacia para os anos anteriores a 2008.</t>
  </si>
  <si>
    <t>4- Sobre os valores cobrados 2004/2007 e arrecadados 2004/2006, ver Nota Técnica nº 001/2008/DGRH.</t>
  </si>
  <si>
    <t>2- Embora a cobrança tenha sido iniciada em 2017, os boletos começaram a ser emitidos em 2018.</t>
  </si>
  <si>
    <r>
      <t>Paranaíba (CBH Paranaíba)</t>
    </r>
    <r>
      <rPr>
        <vertAlign val="superscript"/>
        <sz val="10"/>
        <color rgb="FF000000"/>
        <rFont val="Arial"/>
        <family val="2"/>
      </rPr>
      <t>2</t>
    </r>
  </si>
  <si>
    <t>Pará</t>
  </si>
  <si>
    <t>Pardo</t>
  </si>
  <si>
    <t>Sapucaí-Mirim/Grande</t>
  </si>
  <si>
    <t>Mogi</t>
  </si>
  <si>
    <t>Serra da Mantiqueira</t>
  </si>
  <si>
    <r>
      <t>Verde Grande (CBH Verde Grande)</t>
    </r>
    <r>
      <rPr>
        <vertAlign val="superscript"/>
        <sz val="10"/>
        <color rgb="FF000000"/>
        <rFont val="Arial"/>
        <family val="2"/>
      </rPr>
      <t>2</t>
    </r>
  </si>
  <si>
    <t>Baixo Pardo/Grande</t>
  </si>
  <si>
    <t>Turvo Grande</t>
  </si>
  <si>
    <t>Pontal do Paranapanema</t>
  </si>
  <si>
    <t>Médio Paranapanema</t>
  </si>
  <si>
    <t>Aguapeí/Peixe</t>
  </si>
  <si>
    <t>Piranhas</t>
  </si>
  <si>
    <t>Paranaíba (CBH Paranaíba)</t>
  </si>
  <si>
    <t>Verde Grande (CBH Verde Grande)</t>
  </si>
  <si>
    <t>Valores Arrecadados com a Cobrança pelo Uso de Recursos Hídricos do Setor Hidrelétrico no País, em R$ milhões</t>
  </si>
  <si>
    <t>Litoral Sul (Abiaí, Gramame)</t>
  </si>
  <si>
    <t>Litoral Norte (Mamanguape, Camaratuba, Miriri)</t>
  </si>
  <si>
    <t>Outras bacias (Guaju, Curimataú, Jacu, Trairí)</t>
  </si>
  <si>
    <t>Alto Paranapanema</t>
  </si>
  <si>
    <t>Piracicaba/Jaguari</t>
  </si>
  <si>
    <t>IAT Paraná</t>
  </si>
  <si>
    <t>São José dos Dourados</t>
  </si>
  <si>
    <t>2022</t>
  </si>
  <si>
    <t>Paraíba (delegação ANA)</t>
  </si>
  <si>
    <t>Serra Ibiapaba</t>
  </si>
  <si>
    <t xml:space="preserve">                    -   </t>
  </si>
  <si>
    <t xml:space="preserve">               -   </t>
  </si>
  <si>
    <t xml:space="preserve">                 -   </t>
  </si>
  <si>
    <t xml:space="preserve">                   -   </t>
  </si>
  <si>
    <t xml:space="preserve">                  -   </t>
  </si>
  <si>
    <t>ESPÍRITO SANTO</t>
  </si>
  <si>
    <t>ES</t>
  </si>
  <si>
    <t>Total ES</t>
  </si>
  <si>
    <t>AGERH</t>
  </si>
  <si>
    <t>Paraopeba</t>
  </si>
  <si>
    <t>Afluentes Mineiros do Alto Paranaíba</t>
  </si>
  <si>
    <t>Afluentes Mineiros do Baixo Paranaíba</t>
  </si>
  <si>
    <t>Entorno do Reservatório de Furnas</t>
  </si>
  <si>
    <t>Espírito Santo</t>
  </si>
  <si>
    <t>outros (Dev. Cont. Gestao ou não identificado)</t>
  </si>
  <si>
    <t>Paracatu</t>
  </si>
  <si>
    <t>Afluentes do Alto São Francisco</t>
  </si>
  <si>
    <t>Afluentes do Médio São Francisco</t>
  </si>
  <si>
    <t>Jequitaí/Pacuí</t>
  </si>
  <si>
    <t>Entorno da Represa de Três Marias</t>
  </si>
  <si>
    <t>Urucuia</t>
  </si>
  <si>
    <t>Alto Rio Grande</t>
  </si>
  <si>
    <t xml:space="preserve">Sapucaí </t>
  </si>
  <si>
    <t>Afluentes Mineiros do Baixo Rio Grande</t>
  </si>
  <si>
    <t>Afluentes Mineiros dos Rios Mogi-Guaçu e Pardo</t>
  </si>
  <si>
    <t>Araçuaí</t>
  </si>
  <si>
    <t>Afluentes Mineiros do Alto Jequitinhonha</t>
  </si>
  <si>
    <t>São Mateus</t>
  </si>
  <si>
    <t>Afluentes Mineiros do Rio Mucuri</t>
  </si>
  <si>
    <t>boleto e arrecadação em 2023</t>
  </si>
  <si>
    <t>boleto e arrecadação em 2024</t>
  </si>
  <si>
    <t>Verde Grande</t>
  </si>
  <si>
    <t>Afluentes Mineiros do Médio Rio Grande</t>
  </si>
  <si>
    <t>Verde</t>
  </si>
  <si>
    <t>Vertentes do Rio Grande</t>
  </si>
  <si>
    <t>Jucu</t>
  </si>
  <si>
    <t>RIO GRANDE DO NORTE</t>
  </si>
  <si>
    <t>Total RN</t>
  </si>
  <si>
    <t>Apodi-Mossoró</t>
  </si>
  <si>
    <t>Piancó-Piranhas-Açu</t>
  </si>
  <si>
    <t>Ceará Mirim</t>
  </si>
  <si>
    <t>Potengi</t>
  </si>
  <si>
    <t>RN</t>
  </si>
  <si>
    <t>IGARN</t>
  </si>
  <si>
    <t>Rio Grande do Norte</t>
  </si>
  <si>
    <r>
      <t>Piracicaba, Capivari, Jundiaí (Comitês PCJ)</t>
    </r>
    <r>
      <rPr>
        <vertAlign val="superscript"/>
        <sz val="10"/>
        <color rgb="FF000000"/>
        <rFont val="Arial"/>
        <family val="2"/>
      </rPr>
      <t>5</t>
    </r>
  </si>
  <si>
    <t>5- Em 2024 houve alteração no procedimento operacional. Em 2023, consta repasse judicial SABESP = R$ 24.424.522,98</t>
  </si>
  <si>
    <t>Parnaíba (Serra Ibiapaba + Sertão de Crateús)</t>
  </si>
  <si>
    <t>Sertão de Crateús</t>
  </si>
  <si>
    <t>DISTRITO FEDERAL</t>
  </si>
  <si>
    <t>DF</t>
  </si>
  <si>
    <t>ADASA</t>
  </si>
  <si>
    <t>Total DF</t>
  </si>
  <si>
    <t>GOIÁS</t>
  </si>
  <si>
    <t>Total GO</t>
  </si>
  <si>
    <t>GO</t>
  </si>
  <si>
    <t>Meia Ponte</t>
  </si>
  <si>
    <t>Afluentes Goianos do Baixo Paranaíba</t>
  </si>
  <si>
    <t>Afluentes Goianos do Rio Araguaia</t>
  </si>
  <si>
    <t>AGEVAP</t>
  </si>
  <si>
    <t>Afluentes Mineiros do Médio e Baixo rio Jequitinhonha</t>
  </si>
  <si>
    <t>Mosquito e demais afluentes Mineiros do Rio Pardo</t>
  </si>
  <si>
    <t>PIAUÍ</t>
  </si>
  <si>
    <t>PI</t>
  </si>
  <si>
    <t>Total PI</t>
  </si>
  <si>
    <t>Gurguéia</t>
  </si>
  <si>
    <t>Itaueira</t>
  </si>
  <si>
    <t>Longá</t>
  </si>
  <si>
    <t>Pirangi</t>
  </si>
  <si>
    <t>Poti</t>
  </si>
  <si>
    <t>Alto Parnaíba e Uruçuí Preto</t>
  </si>
  <si>
    <t>Piauí/Canindé</t>
  </si>
  <si>
    <t>Difusas da Barragem de Boa Esperança</t>
  </si>
  <si>
    <t>Difusas do Baixo Parnaíba</t>
  </si>
  <si>
    <t>Difusas do Litoral</t>
  </si>
  <si>
    <t>Difusas do Médio Parnaíba</t>
  </si>
  <si>
    <t>SERGIPE</t>
  </si>
  <si>
    <t>Total SE</t>
  </si>
  <si>
    <t>SE</t>
  </si>
  <si>
    <t>São Francisco (afluentes); Japaratuba; Sergipe (afluentes); Vaza Barris (afluentes); Piauí (afluentes); Real (afluentes); Costeira Sapucaia; Costeira Caueira-Abaís</t>
  </si>
  <si>
    <t>Goiás</t>
  </si>
  <si>
    <t>Distrito Federal</t>
  </si>
  <si>
    <t>Piauí</t>
  </si>
  <si>
    <t>Sergipe</t>
  </si>
  <si>
    <t>Grande</t>
  </si>
  <si>
    <t>6- Em 2025 houve alteração no procedimento operacional.</t>
  </si>
  <si>
    <r>
      <t>Paraíba do Sul (CEIVAP)</t>
    </r>
    <r>
      <rPr>
        <vertAlign val="superscript"/>
        <sz val="10"/>
        <color rgb="FF000000"/>
        <rFont val="Arial"/>
        <family val="2"/>
      </rPr>
      <t>6</t>
    </r>
  </si>
  <si>
    <r>
      <t>Doce (CBH-Doce)</t>
    </r>
    <r>
      <rPr>
        <vertAlign val="superscript"/>
        <sz val="10"/>
        <color rgb="FF000000"/>
        <rFont val="Arial"/>
        <family val="2"/>
      </rPr>
      <t>1</t>
    </r>
    <r>
      <rPr>
        <sz val="10"/>
        <color rgb="FF000000"/>
        <rFont val="Arial"/>
        <family val="2"/>
      </rPr>
      <t xml:space="preserve"> </t>
    </r>
    <r>
      <rPr>
        <vertAlign val="superscript"/>
        <sz val="10"/>
        <color rgb="FF000000"/>
        <rFont val="Arial"/>
        <family val="2"/>
      </rPr>
      <t>6</t>
    </r>
  </si>
  <si>
    <t>Paranaíba</t>
  </si>
  <si>
    <t>Grande (CBH Grande)</t>
  </si>
  <si>
    <t>Piracicaba, Capivari, Jundiaí (Comitês PCJ)</t>
  </si>
  <si>
    <t>Afluentes do Rio Preto</t>
  </si>
  <si>
    <t>Afluentes do Rio Maranhão</t>
  </si>
  <si>
    <t>Afluentes do Rio Paranaíba</t>
  </si>
  <si>
    <t>Litoral Nordeste</t>
  </si>
  <si>
    <t>Turvo e dos Bois</t>
  </si>
  <si>
    <t>Afluentes Goianos dos Rios Tocantins e São Francisco</t>
  </si>
  <si>
    <t>Corumbá, Veríssimo e porção goiana do Rio São Marcos</t>
  </si>
  <si>
    <t>Atualizada: julho/2026.</t>
  </si>
  <si>
    <t>boleto e arrecadação em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</si>
</sst>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-* #,##0_-;\-* #,##0_-;_-* &quot;-&quot;??_-;_-@_-"/>
    <numFmt numFmtId="165" formatCode="_-* #,##0_-;\-* #,##0_-;_-* \-??_-;_-@_-"/>
    <numFmt numFmtId="166" formatCode="* #,##0\ ;\-* #,##0\ ;* \-#\ ;@\ "/>
    <numFmt numFmtId="167" formatCode="0.0%"/>
    <numFmt numFmtId="168" formatCode="#,##0_ ;\-#,##0\ 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C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3" tint="0.79998168889431442"/>
      <name val="Arial"/>
      <family val="2"/>
    </font>
    <font>
      <sz val="10"/>
      <color theme="1"/>
      <name val="Arial"/>
      <family val="2"/>
    </font>
    <font>
      <vertAlign val="superscript"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vertAlign val="superscript"/>
      <sz val="10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C000"/>
      <name val="Arial"/>
      <family val="2"/>
    </font>
    <font>
      <b/>
      <sz val="14"/>
      <color rgb="FFFFC000"/>
      <name val="Arial"/>
      <family val="2"/>
    </font>
    <font>
      <b/>
      <sz val="5"/>
      <color rgb="FFFFC000"/>
      <name val="Arial"/>
      <family val="2"/>
    </font>
    <font>
      <b/>
      <sz val="5"/>
      <color theme="1"/>
      <name val="Arial"/>
      <family val="2"/>
    </font>
    <font>
      <sz val="5"/>
      <color theme="1"/>
      <name val="Calibri"/>
      <family val="2"/>
      <scheme val="minor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rgb="FF000000"/>
      <name val="Arial"/>
      <family val="2"/>
      <charset val="1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17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indexed="17"/>
      </patternFill>
    </fill>
    <fill>
      <patternFill patternType="solid">
        <fgColor theme="0" tint="-0.34998626667073579"/>
        <bgColor indexed="26"/>
      </patternFill>
    </fill>
    <fill>
      <patternFill patternType="solid">
        <fgColor theme="0" tint="-0.34998626667073579"/>
        <bgColor rgb="FFFFFFCC"/>
      </patternFill>
    </fill>
  </fills>
  <borders count="4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2">
    <xf numFmtId="0" fontId="0" fillId="0" borderId="0" xfId="0"/>
    <xf numFmtId="0" fontId="4" fillId="0" borderId="5" xfId="0" applyFont="1" applyBorder="1" applyAlignment="1">
      <alignment horizontal="center" vertical="center" wrapText="1"/>
    </xf>
    <xf numFmtId="17" fontId="4" fillId="0" borderId="5" xfId="0" applyNumberFormat="1" applyFont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/>
    </xf>
    <xf numFmtId="0" fontId="9" fillId="0" borderId="5" xfId="0" applyFont="1" applyBorder="1" applyAlignment="1">
      <alignment vertical="center" wrapText="1"/>
    </xf>
    <xf numFmtId="0" fontId="6" fillId="0" borderId="0" xfId="0" applyFont="1"/>
    <xf numFmtId="43" fontId="6" fillId="0" borderId="0" xfId="0" applyNumberFormat="1" applyFont="1"/>
    <xf numFmtId="17" fontId="4" fillId="0" borderId="5" xfId="0" quotePrefix="1" applyNumberFormat="1" applyFont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/>
    </xf>
    <xf numFmtId="0" fontId="6" fillId="0" borderId="6" xfId="0" applyFont="1" applyBorder="1" applyAlignment="1">
      <alignment horizontal="center"/>
    </xf>
    <xf numFmtId="164" fontId="6" fillId="0" borderId="5" xfId="1" applyNumberFormat="1" applyFont="1" applyBorder="1"/>
    <xf numFmtId="164" fontId="8" fillId="4" borderId="5" xfId="1" applyNumberFormat="1" applyFont="1" applyFill="1" applyBorder="1"/>
    <xf numFmtId="164" fontId="4" fillId="0" borderId="5" xfId="0" applyNumberFormat="1" applyFont="1" applyBorder="1"/>
    <xf numFmtId="164" fontId="8" fillId="3" borderId="5" xfId="1" applyNumberFormat="1" applyFont="1" applyFill="1" applyBorder="1"/>
    <xf numFmtId="164" fontId="6" fillId="0" borderId="5" xfId="1" applyNumberFormat="1" applyFont="1" applyBorder="1" applyAlignment="1">
      <alignment horizontal="center"/>
    </xf>
    <xf numFmtId="0" fontId="4" fillId="0" borderId="5" xfId="0" applyFont="1" applyBorder="1" applyAlignment="1">
      <alignment vertical="center" wrapText="1"/>
    </xf>
    <xf numFmtId="0" fontId="4" fillId="0" borderId="4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17" fontId="4" fillId="0" borderId="11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13" fillId="0" borderId="0" xfId="0" applyFont="1" applyAlignment="1">
      <alignment horizontal="center" vertical="center" wrapText="1"/>
    </xf>
    <xf numFmtId="164" fontId="13" fillId="0" borderId="0" xfId="1" applyNumberFormat="1" applyFont="1"/>
    <xf numFmtId="0" fontId="12" fillId="0" borderId="0" xfId="0" applyFont="1" applyAlignment="1">
      <alignment horizontal="center"/>
    </xf>
    <xf numFmtId="164" fontId="13" fillId="2" borderId="17" xfId="1" applyNumberFormat="1" applyFont="1" applyFill="1" applyBorder="1"/>
    <xf numFmtId="0" fontId="12" fillId="2" borderId="18" xfId="0" applyFont="1" applyFill="1" applyBorder="1" applyAlignment="1">
      <alignment horizontal="center"/>
    </xf>
    <xf numFmtId="0" fontId="15" fillId="2" borderId="22" xfId="0" applyFont="1" applyFill="1" applyBorder="1" applyAlignment="1">
      <alignment horizontal="center" vertical="center" wrapText="1"/>
    </xf>
    <xf numFmtId="0" fontId="15" fillId="2" borderId="23" xfId="0" applyFont="1" applyFill="1" applyBorder="1" applyAlignment="1">
      <alignment horizontal="center" vertical="center" wrapText="1"/>
    </xf>
    <xf numFmtId="164" fontId="15" fillId="2" borderId="23" xfId="1" applyNumberFormat="1" applyFont="1" applyFill="1" applyBorder="1"/>
    <xf numFmtId="0" fontId="16" fillId="2" borderId="24" xfId="0" applyFont="1" applyFill="1" applyBorder="1" applyAlignment="1">
      <alignment horizontal="center"/>
    </xf>
    <xf numFmtId="0" fontId="17" fillId="0" borderId="0" xfId="0" applyFont="1"/>
    <xf numFmtId="0" fontId="15" fillId="2" borderId="19" xfId="0" applyFont="1" applyFill="1" applyBorder="1" applyAlignment="1">
      <alignment horizontal="center" vertical="center" wrapText="1"/>
    </xf>
    <xf numFmtId="0" fontId="15" fillId="2" borderId="16" xfId="0" applyFont="1" applyFill="1" applyBorder="1" applyAlignment="1">
      <alignment horizontal="center" vertical="center" wrapText="1"/>
    </xf>
    <xf numFmtId="164" fontId="15" fillId="2" borderId="16" xfId="1" applyNumberFormat="1" applyFont="1" applyFill="1" applyBorder="1"/>
    <xf numFmtId="0" fontId="16" fillId="2" borderId="20" xfId="0" applyFont="1" applyFill="1" applyBorder="1" applyAlignment="1">
      <alignment horizontal="center"/>
    </xf>
    <xf numFmtId="164" fontId="8" fillId="4" borderId="6" xfId="1" applyNumberFormat="1" applyFont="1" applyFill="1" applyBorder="1"/>
    <xf numFmtId="0" fontId="4" fillId="0" borderId="8" xfId="0" applyFont="1" applyBorder="1" applyAlignment="1">
      <alignment horizontal="center" vertical="center" wrapText="1"/>
    </xf>
    <xf numFmtId="164" fontId="6" fillId="0" borderId="0" xfId="0" applyNumberFormat="1" applyFont="1"/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164" fontId="15" fillId="2" borderId="8" xfId="1" applyNumberFormat="1" applyFont="1" applyFill="1" applyBorder="1"/>
    <xf numFmtId="0" fontId="16" fillId="2" borderId="9" xfId="0" applyFont="1" applyFill="1" applyBorder="1" applyAlignment="1">
      <alignment horizontal="center"/>
    </xf>
    <xf numFmtId="0" fontId="20" fillId="0" borderId="0" xfId="0" applyFont="1"/>
    <xf numFmtId="0" fontId="2" fillId="2" borderId="2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1" applyNumberFormat="1" applyFont="1"/>
    <xf numFmtId="0" fontId="8" fillId="0" borderId="0" xfId="0" applyFont="1" applyAlignment="1">
      <alignment horizontal="center"/>
    </xf>
    <xf numFmtId="164" fontId="18" fillId="0" borderId="0" xfId="1" applyNumberFormat="1" applyFont="1"/>
    <xf numFmtId="164" fontId="5" fillId="5" borderId="5" xfId="1" applyNumberFormat="1" applyFont="1" applyFill="1" applyBorder="1"/>
    <xf numFmtId="164" fontId="6" fillId="5" borderId="5" xfId="1" applyNumberFormat="1" applyFont="1" applyFill="1" applyBorder="1"/>
    <xf numFmtId="0" fontId="4" fillId="4" borderId="5" xfId="0" applyFont="1" applyFill="1" applyBorder="1" applyAlignment="1">
      <alignment horizontal="center" vertical="center" wrapText="1"/>
    </xf>
    <xf numFmtId="17" fontId="4" fillId="4" borderId="5" xfId="0" applyNumberFormat="1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/>
    </xf>
    <xf numFmtId="164" fontId="8" fillId="5" borderId="5" xfId="1" applyNumberFormat="1" applyFont="1" applyFill="1" applyBorder="1"/>
    <xf numFmtId="164" fontId="8" fillId="4" borderId="5" xfId="1" applyNumberFormat="1" applyFont="1" applyFill="1" applyBorder="1" applyAlignment="1">
      <alignment horizontal="center"/>
    </xf>
    <xf numFmtId="0" fontId="4" fillId="4" borderId="11" xfId="0" applyFont="1" applyFill="1" applyBorder="1" applyAlignment="1">
      <alignment vertical="center" wrapText="1"/>
    </xf>
    <xf numFmtId="164" fontId="8" fillId="3" borderId="17" xfId="1" applyNumberFormat="1" applyFont="1" applyFill="1" applyBorder="1"/>
    <xf numFmtId="164" fontId="8" fillId="4" borderId="15" xfId="1" applyNumberFormat="1" applyFont="1" applyFill="1" applyBorder="1"/>
    <xf numFmtId="165" fontId="21" fillId="0" borderId="5" xfId="1" applyNumberFormat="1" applyFont="1" applyBorder="1"/>
    <xf numFmtId="0" fontId="10" fillId="0" borderId="0" xfId="2"/>
    <xf numFmtId="0" fontId="10" fillId="0" borderId="0" xfId="2" applyAlignment="1">
      <alignment horizontal="center" vertical="center" wrapText="1"/>
    </xf>
    <xf numFmtId="164" fontId="10" fillId="0" borderId="0" xfId="2" applyNumberFormat="1"/>
    <xf numFmtId="0" fontId="8" fillId="3" borderId="18" xfId="0" applyFont="1" applyFill="1" applyBorder="1" applyAlignment="1">
      <alignment horizontal="center"/>
    </xf>
    <xf numFmtId="164" fontId="8" fillId="4" borderId="30" xfId="1" applyNumberFormat="1" applyFont="1" applyFill="1" applyBorder="1"/>
    <xf numFmtId="164" fontId="6" fillId="0" borderId="5" xfId="1" quotePrefix="1" applyNumberFormat="1" applyFont="1" applyBorder="1"/>
    <xf numFmtId="0" fontId="21" fillId="0" borderId="5" xfId="0" applyFont="1" applyBorder="1" applyAlignment="1">
      <alignment horizontal="center" vertical="center" wrapText="1"/>
    </xf>
    <xf numFmtId="17" fontId="21" fillId="0" borderId="5" xfId="0" applyNumberFormat="1" applyFont="1" applyBorder="1" applyAlignment="1">
      <alignment horizontal="center" vertical="center" wrapText="1"/>
    </xf>
    <xf numFmtId="166" fontId="21" fillId="6" borderId="5" xfId="1" applyNumberFormat="1" applyFont="1" applyFill="1" applyBorder="1"/>
    <xf numFmtId="166" fontId="21" fillId="7" borderId="5" xfId="1" applyNumberFormat="1" applyFont="1" applyFill="1" applyBorder="1"/>
    <xf numFmtId="166" fontId="21" fillId="9" borderId="5" xfId="1" applyNumberFormat="1" applyFont="1" applyFill="1" applyBorder="1"/>
    <xf numFmtId="164" fontId="9" fillId="6" borderId="5" xfId="1" applyNumberFormat="1" applyFont="1" applyFill="1" applyBorder="1" applyAlignment="1">
      <alignment horizontal="center" vertical="center"/>
    </xf>
    <xf numFmtId="164" fontId="21" fillId="8" borderId="5" xfId="1" applyNumberFormat="1" applyFont="1" applyFill="1" applyBorder="1"/>
    <xf numFmtId="164" fontId="8" fillId="4" borderId="0" xfId="1" applyNumberFormat="1" applyFont="1" applyFill="1"/>
    <xf numFmtId="164" fontId="6" fillId="0" borderId="0" xfId="1" applyNumberFormat="1" applyFont="1"/>
    <xf numFmtId="164" fontId="6" fillId="0" borderId="5" xfId="1" quotePrefix="1" applyNumberFormat="1" applyFont="1" applyBorder="1" applyAlignment="1">
      <alignment horizontal="center"/>
    </xf>
    <xf numFmtId="165" fontId="21" fillId="5" borderId="5" xfId="1" applyNumberFormat="1" applyFont="1" applyFill="1" applyBorder="1"/>
    <xf numFmtId="164" fontId="21" fillId="5" borderId="5" xfId="1" applyNumberFormat="1" applyFont="1" applyFill="1" applyBorder="1"/>
    <xf numFmtId="164" fontId="6" fillId="3" borderId="6" xfId="1" applyNumberFormat="1" applyFont="1" applyFill="1" applyBorder="1" applyAlignment="1">
      <alignment horizontal="center"/>
    </xf>
    <xf numFmtId="164" fontId="9" fillId="0" borderId="5" xfId="1" applyNumberFormat="1" applyFont="1" applyBorder="1"/>
    <xf numFmtId="164" fontId="9" fillId="5" borderId="5" xfId="1" applyNumberFormat="1" applyFont="1" applyFill="1" applyBorder="1"/>
    <xf numFmtId="0" fontId="6" fillId="3" borderId="18" xfId="0" applyFont="1" applyFill="1" applyBorder="1" applyAlignment="1">
      <alignment horizontal="center"/>
    </xf>
    <xf numFmtId="164" fontId="8" fillId="10" borderId="17" xfId="1" applyNumberFormat="1" applyFont="1" applyFill="1" applyBorder="1"/>
    <xf numFmtId="164" fontId="6" fillId="0" borderId="17" xfId="1" applyNumberFormat="1" applyFont="1" applyBorder="1"/>
    <xf numFmtId="0" fontId="2" fillId="2" borderId="26" xfId="0" applyFont="1" applyFill="1" applyBorder="1" applyAlignment="1">
      <alignment horizontal="center" vertical="center" wrapText="1"/>
    </xf>
    <xf numFmtId="164" fontId="8" fillId="4" borderId="32" xfId="1" applyNumberFormat="1" applyFont="1" applyFill="1" applyBorder="1"/>
    <xf numFmtId="164" fontId="15" fillId="2" borderId="33" xfId="1" applyNumberFormat="1" applyFont="1" applyFill="1" applyBorder="1"/>
    <xf numFmtId="164" fontId="15" fillId="2" borderId="31" xfId="1" applyNumberFormat="1" applyFont="1" applyFill="1" applyBorder="1"/>
    <xf numFmtId="164" fontId="8" fillId="4" borderId="32" xfId="1" applyNumberFormat="1" applyFont="1" applyFill="1" applyBorder="1" applyAlignment="1">
      <alignment horizontal="center"/>
    </xf>
    <xf numFmtId="164" fontId="9" fillId="0" borderId="0" xfId="1" applyNumberFormat="1" applyFont="1"/>
    <xf numFmtId="0" fontId="2" fillId="2" borderId="4" xfId="0" applyFont="1" applyFill="1" applyBorder="1" applyAlignment="1">
      <alignment horizontal="center" vertical="center" wrapText="1"/>
    </xf>
    <xf numFmtId="43" fontId="6" fillId="0" borderId="5" xfId="1" applyFont="1" applyBorder="1"/>
    <xf numFmtId="43" fontId="21" fillId="0" borderId="5" xfId="1" applyFont="1" applyBorder="1"/>
    <xf numFmtId="43" fontId="8" fillId="3" borderId="5" xfId="1" applyFont="1" applyFill="1" applyBorder="1"/>
    <xf numFmtId="43" fontId="8" fillId="4" borderId="5" xfId="1" applyFont="1" applyFill="1" applyBorder="1"/>
    <xf numFmtId="43" fontId="9" fillId="0" borderId="5" xfId="1" applyFont="1" applyBorder="1"/>
    <xf numFmtId="43" fontId="18" fillId="3" borderId="5" xfId="1" applyFont="1" applyFill="1" applyBorder="1"/>
    <xf numFmtId="43" fontId="13" fillId="2" borderId="8" xfId="1" applyFont="1" applyFill="1" applyBorder="1"/>
    <xf numFmtId="43" fontId="6" fillId="0" borderId="6" xfId="1" applyFont="1" applyBorder="1"/>
    <xf numFmtId="43" fontId="8" fillId="3" borderId="6" xfId="1" applyFont="1" applyFill="1" applyBorder="1"/>
    <xf numFmtId="43" fontId="6" fillId="0" borderId="5" xfId="1" applyFont="1" applyBorder="1" applyAlignment="1">
      <alignment horizontal="center"/>
    </xf>
    <xf numFmtId="43" fontId="13" fillId="2" borderId="9" xfId="1" applyFont="1" applyFill="1" applyBorder="1"/>
    <xf numFmtId="17" fontId="9" fillId="0" borderId="5" xfId="0" applyNumberFormat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/>
    </xf>
    <xf numFmtId="43" fontId="8" fillId="0" borderId="9" xfId="1" applyFont="1" applyBorder="1"/>
    <xf numFmtId="43" fontId="21" fillId="0" borderId="6" xfId="1" applyFont="1" applyBorder="1"/>
    <xf numFmtId="43" fontId="8" fillId="4" borderId="6" xfId="1" applyFont="1" applyFill="1" applyBorder="1"/>
    <xf numFmtId="43" fontId="9" fillId="0" borderId="6" xfId="1" applyFont="1" applyBorder="1"/>
    <xf numFmtId="43" fontId="18" fillId="3" borderId="6" xfId="1" applyFont="1" applyFill="1" applyBorder="1"/>
    <xf numFmtId="167" fontId="6" fillId="0" borderId="0" xfId="4" applyNumberFormat="1" applyFont="1"/>
    <xf numFmtId="165" fontId="22" fillId="11" borderId="5" xfId="1" applyNumberFormat="1" applyFont="1" applyFill="1" applyBorder="1"/>
    <xf numFmtId="164" fontId="6" fillId="0" borderId="11" xfId="1" applyNumberFormat="1" applyFont="1" applyBorder="1"/>
    <xf numFmtId="164" fontId="6" fillId="0" borderId="26" xfId="1" applyNumberFormat="1" applyFont="1" applyBorder="1"/>
    <xf numFmtId="17" fontId="4" fillId="0" borderId="8" xfId="0" applyNumberFormat="1" applyFont="1" applyBorder="1" applyAlignment="1">
      <alignment horizontal="center" vertical="center" wrapText="1"/>
    </xf>
    <xf numFmtId="164" fontId="5" fillId="5" borderId="8" xfId="1" applyNumberFormat="1" applyFont="1" applyFill="1" applyBorder="1"/>
    <xf numFmtId="164" fontId="6" fillId="5" borderId="8" xfId="1" applyNumberFormat="1" applyFont="1" applyFill="1" applyBorder="1"/>
    <xf numFmtId="0" fontId="2" fillId="2" borderId="38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17" fontId="4" fillId="4" borderId="8" xfId="0" applyNumberFormat="1" applyFont="1" applyFill="1" applyBorder="1" applyAlignment="1">
      <alignment horizontal="center" vertical="center" wrapText="1"/>
    </xf>
    <xf numFmtId="9" fontId="13" fillId="0" borderId="0" xfId="4" applyFont="1"/>
    <xf numFmtId="9" fontId="2" fillId="0" borderId="0" xfId="4" applyFont="1"/>
    <xf numFmtId="43" fontId="6" fillId="0" borderId="8" xfId="1" applyFont="1" applyBorder="1" applyAlignment="1">
      <alignment vertical="center"/>
    </xf>
    <xf numFmtId="43" fontId="21" fillId="5" borderId="5" xfId="1" applyFont="1" applyFill="1" applyBorder="1"/>
    <xf numFmtId="43" fontId="21" fillId="8" borderId="5" xfId="1" applyFont="1" applyFill="1" applyBorder="1"/>
    <xf numFmtId="164" fontId="6" fillId="0" borderId="17" xfId="5" applyNumberFormat="1" applyFont="1" applyBorder="1"/>
    <xf numFmtId="9" fontId="20" fillId="0" borderId="0" xfId="4" applyFont="1"/>
    <xf numFmtId="0" fontId="4" fillId="0" borderId="17" xfId="0" applyFont="1" applyBorder="1" applyAlignment="1">
      <alignment horizontal="center" vertical="center" wrapText="1"/>
    </xf>
    <xf numFmtId="17" fontId="4" fillId="0" borderId="17" xfId="0" applyNumberFormat="1" applyFont="1" applyBorder="1" applyAlignment="1">
      <alignment horizontal="center" vertical="center" wrapText="1"/>
    </xf>
    <xf numFmtId="164" fontId="6" fillId="5" borderId="17" xfId="1" applyNumberFormat="1" applyFont="1" applyFill="1" applyBorder="1"/>
    <xf numFmtId="0" fontId="4" fillId="0" borderId="17" xfId="0" applyFont="1" applyBorder="1" applyAlignment="1">
      <alignment vertical="center" wrapText="1"/>
    </xf>
    <xf numFmtId="164" fontId="18" fillId="4" borderId="15" xfId="1" applyNumberFormat="1" applyFont="1" applyFill="1" applyBorder="1"/>
    <xf numFmtId="168" fontId="9" fillId="0" borderId="5" xfId="1" applyNumberFormat="1" applyFont="1" applyBorder="1"/>
    <xf numFmtId="43" fontId="18" fillId="0" borderId="0" xfId="1" applyFont="1"/>
    <xf numFmtId="43" fontId="6" fillId="0" borderId="0" xfId="4" applyNumberFormat="1" applyFont="1"/>
    <xf numFmtId="0" fontId="4" fillId="4" borderId="35" xfId="0" applyFont="1" applyFill="1" applyBorder="1" applyAlignment="1">
      <alignment horizontal="center" vertical="center" wrapText="1"/>
    </xf>
    <xf numFmtId="43" fontId="8" fillId="0" borderId="9" xfId="1" applyFont="1" applyBorder="1" applyAlignment="1">
      <alignment vertical="center"/>
    </xf>
    <xf numFmtId="0" fontId="4" fillId="4" borderId="8" xfId="0" applyFont="1" applyFill="1" applyBorder="1" applyAlignment="1">
      <alignment horizontal="center" vertical="center" wrapText="1"/>
    </xf>
    <xf numFmtId="43" fontId="8" fillId="4" borderId="35" xfId="1" applyFont="1" applyFill="1" applyBorder="1" applyAlignment="1">
      <alignment horizontal="center"/>
    </xf>
    <xf numFmtId="43" fontId="8" fillId="4" borderId="8" xfId="1" applyFont="1" applyFill="1" applyBorder="1"/>
    <xf numFmtId="0" fontId="4" fillId="4" borderId="9" xfId="0" applyFont="1" applyFill="1" applyBorder="1" applyAlignment="1">
      <alignment horizontal="center" vertical="center" wrapText="1"/>
    </xf>
    <xf numFmtId="0" fontId="23" fillId="0" borderId="0" xfId="0" applyFont="1"/>
    <xf numFmtId="0" fontId="24" fillId="0" borderId="0" xfId="0" applyFont="1"/>
    <xf numFmtId="164" fontId="6" fillId="0" borderId="17" xfId="1" applyNumberFormat="1" applyFont="1" applyFill="1" applyBorder="1"/>
    <xf numFmtId="164" fontId="6" fillId="0" borderId="5" xfId="1" applyNumberFormat="1" applyFont="1" applyBorder="1" applyAlignment="1">
      <alignment horizontal="center" vertical="center" wrapText="1"/>
    </xf>
    <xf numFmtId="164" fontId="6" fillId="0" borderId="5" xfId="1" applyNumberFormat="1" applyFont="1" applyFill="1" applyBorder="1"/>
    <xf numFmtId="164" fontId="9" fillId="6" borderId="5" xfId="1" applyNumberFormat="1" applyFont="1" applyFill="1" applyBorder="1"/>
    <xf numFmtId="164" fontId="6" fillId="0" borderId="5" xfId="8" applyNumberFormat="1" applyFont="1" applyFill="1" applyBorder="1"/>
    <xf numFmtId="165" fontId="21" fillId="0" borderId="5" xfId="1" applyNumberFormat="1" applyFont="1" applyFill="1" applyBorder="1"/>
    <xf numFmtId="166" fontId="21" fillId="0" borderId="5" xfId="1" applyNumberFormat="1" applyFont="1" applyFill="1" applyBorder="1"/>
    <xf numFmtId="164" fontId="0" fillId="0" borderId="0" xfId="0" applyNumberFormat="1"/>
    <xf numFmtId="43" fontId="6" fillId="0" borderId="0" xfId="1" applyFont="1"/>
    <xf numFmtId="17" fontId="4" fillId="0" borderId="11" xfId="0" quotePrefix="1" applyNumberFormat="1" applyFont="1" applyBorder="1" applyAlignment="1">
      <alignment horizontal="center" vertical="center" wrapText="1"/>
    </xf>
    <xf numFmtId="166" fontId="21" fillId="12" borderId="5" xfId="1" applyNumberFormat="1" applyFont="1" applyFill="1" applyBorder="1"/>
    <xf numFmtId="166" fontId="21" fillId="13" borderId="5" xfId="1" applyNumberFormat="1" applyFont="1" applyFill="1" applyBorder="1"/>
    <xf numFmtId="164" fontId="21" fillId="14" borderId="5" xfId="1" applyNumberFormat="1" applyFont="1" applyFill="1" applyBorder="1"/>
    <xf numFmtId="165" fontId="22" fillId="15" borderId="5" xfId="1" applyNumberFormat="1" applyFont="1" applyFill="1" applyBorder="1"/>
    <xf numFmtId="164" fontId="21" fillId="12" borderId="5" xfId="1" applyNumberFormat="1" applyFont="1" applyFill="1" applyBorder="1"/>
    <xf numFmtId="164" fontId="6" fillId="12" borderId="5" xfId="1" applyNumberFormat="1" applyFont="1" applyFill="1" applyBorder="1"/>
    <xf numFmtId="164" fontId="9" fillId="12" borderId="5" xfId="1" applyNumberFormat="1" applyFont="1" applyFill="1" applyBorder="1"/>
    <xf numFmtId="168" fontId="9" fillId="12" borderId="5" xfId="1" applyNumberFormat="1" applyFont="1" applyFill="1" applyBorder="1"/>
    <xf numFmtId="9" fontId="6" fillId="0" borderId="0" xfId="4" applyFont="1"/>
    <xf numFmtId="0" fontId="4" fillId="0" borderId="25" xfId="0" applyFont="1" applyBorder="1" applyAlignment="1">
      <alignment horizontal="center" vertical="center" wrapText="1"/>
    </xf>
    <xf numFmtId="164" fontId="8" fillId="4" borderId="17" xfId="1" applyNumberFormat="1" applyFont="1" applyFill="1" applyBorder="1"/>
    <xf numFmtId="0" fontId="6" fillId="4" borderId="18" xfId="0" applyFont="1" applyFill="1" applyBorder="1" applyAlignment="1">
      <alignment horizontal="center"/>
    </xf>
    <xf numFmtId="43" fontId="9" fillId="0" borderId="5" xfId="1" applyFont="1" applyFill="1" applyBorder="1"/>
    <xf numFmtId="164" fontId="9" fillId="0" borderId="5" xfId="1" applyNumberFormat="1" applyFont="1" applyFill="1" applyBorder="1"/>
    <xf numFmtId="43" fontId="0" fillId="0" borderId="0" xfId="0" applyNumberFormat="1"/>
    <xf numFmtId="0" fontId="2" fillId="2" borderId="11" xfId="0" applyFont="1" applyFill="1" applyBorder="1" applyAlignment="1">
      <alignment horizontal="center" vertical="center" wrapText="1"/>
    </xf>
    <xf numFmtId="164" fontId="6" fillId="0" borderId="11" xfId="1" applyNumberFormat="1" applyFont="1" applyFill="1" applyBorder="1" applyAlignment="1">
      <alignment horizontal="center"/>
    </xf>
    <xf numFmtId="164" fontId="6" fillId="5" borderId="17" xfId="5" applyNumberFormat="1" applyFont="1" applyFill="1" applyBorder="1"/>
    <xf numFmtId="164" fontId="8" fillId="5" borderId="17" xfId="1" applyNumberFormat="1" applyFont="1" applyFill="1" applyBorder="1"/>
    <xf numFmtId="164" fontId="6" fillId="5" borderId="5" xfId="1" applyNumberFormat="1" applyFont="1" applyFill="1" applyBorder="1" applyAlignment="1">
      <alignment horizontal="center" vertical="center" wrapText="1"/>
    </xf>
    <xf numFmtId="164" fontId="8" fillId="4" borderId="28" xfId="1" applyNumberFormat="1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64" fontId="8" fillId="4" borderId="25" xfId="1" applyNumberFormat="1" applyFont="1" applyFill="1" applyBorder="1" applyAlignment="1">
      <alignment horizontal="center"/>
    </xf>
    <xf numFmtId="164" fontId="8" fillId="4" borderId="23" xfId="5" applyNumberFormat="1" applyFont="1" applyFill="1" applyBorder="1" applyAlignment="1">
      <alignment horizontal="center"/>
    </xf>
    <xf numFmtId="164" fontId="6" fillId="0" borderId="0" xfId="1" applyNumberFormat="1" applyFont="1" applyBorder="1"/>
    <xf numFmtId="0" fontId="6" fillId="0" borderId="18" xfId="0" applyFont="1" applyBorder="1" applyAlignment="1">
      <alignment horizontal="center" vertical="center"/>
    </xf>
    <xf numFmtId="164" fontId="6" fillId="10" borderId="26" xfId="1" applyNumberFormat="1" applyFont="1" applyFill="1" applyBorder="1" applyAlignment="1">
      <alignment horizontal="center"/>
    </xf>
    <xf numFmtId="164" fontId="6" fillId="10" borderId="25" xfId="1" applyNumberFormat="1" applyFont="1" applyFill="1" applyBorder="1" applyAlignment="1">
      <alignment horizontal="center"/>
    </xf>
    <xf numFmtId="164" fontId="6" fillId="10" borderId="11" xfId="1" applyNumberFormat="1" applyFont="1" applyFill="1" applyBorder="1" applyAlignment="1">
      <alignment horizontal="center"/>
    </xf>
    <xf numFmtId="164" fontId="6" fillId="0" borderId="5" xfId="1" applyNumberFormat="1" applyFont="1" applyBorder="1" applyAlignment="1">
      <alignment vertical="center"/>
    </xf>
    <xf numFmtId="164" fontId="6" fillId="0" borderId="17" xfId="1" applyNumberFormat="1" applyFont="1" applyBorder="1" applyAlignment="1">
      <alignment vertical="center"/>
    </xf>
    <xf numFmtId="164" fontId="6" fillId="0" borderId="17" xfId="1" applyNumberFormat="1" applyFont="1" applyFill="1" applyBorder="1" applyAlignment="1">
      <alignment vertical="center"/>
    </xf>
    <xf numFmtId="43" fontId="13" fillId="2" borderId="45" xfId="1" applyFont="1" applyFill="1" applyBorder="1"/>
    <xf numFmtId="43" fontId="13" fillId="2" borderId="46" xfId="1" applyFont="1" applyFill="1" applyBorder="1"/>
    <xf numFmtId="0" fontId="4" fillId="0" borderId="21" xfId="0" applyFont="1" applyBorder="1" applyAlignment="1">
      <alignment vertical="center" wrapText="1"/>
    </xf>
    <xf numFmtId="43" fontId="8" fillId="3" borderId="8" xfId="1" applyFont="1" applyFill="1" applyBorder="1"/>
    <xf numFmtId="43" fontId="8" fillId="3" borderId="9" xfId="1" applyFont="1" applyFill="1" applyBorder="1"/>
    <xf numFmtId="43" fontId="8" fillId="3" borderId="17" xfId="1" applyFont="1" applyFill="1" applyBorder="1"/>
    <xf numFmtId="0" fontId="4" fillId="0" borderId="28" xfId="0" applyFont="1" applyBorder="1" applyAlignment="1">
      <alignment vertical="center" wrapText="1"/>
    </xf>
    <xf numFmtId="164" fontId="20" fillId="0" borderId="0" xfId="0" applyNumberFormat="1" applyFont="1"/>
    <xf numFmtId="164" fontId="6" fillId="0" borderId="0" xfId="4" applyNumberFormat="1" applyFont="1"/>
    <xf numFmtId="0" fontId="2" fillId="2" borderId="26" xfId="0" applyFont="1" applyFill="1" applyBorder="1" applyAlignment="1">
      <alignment vertical="center" wrapText="1"/>
    </xf>
    <xf numFmtId="0" fontId="2" fillId="2" borderId="25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164" fontId="8" fillId="4" borderId="17" xfId="1" applyNumberFormat="1" applyFont="1" applyFill="1" applyBorder="1" applyAlignment="1">
      <alignment horizontal="center"/>
    </xf>
    <xf numFmtId="43" fontId="6" fillId="6" borderId="5" xfId="1" applyFont="1" applyFill="1" applyBorder="1"/>
    <xf numFmtId="43" fontId="6" fillId="0" borderId="17" xfId="1" applyFont="1" applyFill="1" applyBorder="1"/>
    <xf numFmtId="43" fontId="6" fillId="6" borderId="6" xfId="1" applyFont="1" applyFill="1" applyBorder="1"/>
    <xf numFmtId="43" fontId="6" fillId="6" borderId="5" xfId="1" applyFont="1" applyFill="1" applyBorder="1" applyAlignment="1">
      <alignment vertical="center"/>
    </xf>
    <xf numFmtId="43" fontId="6" fillId="6" borderId="6" xfId="1" applyFont="1" applyFill="1" applyBorder="1" applyAlignment="1">
      <alignment vertical="center"/>
    </xf>
    <xf numFmtId="43" fontId="6" fillId="6" borderId="17" xfId="1" applyFont="1" applyFill="1" applyBorder="1"/>
    <xf numFmtId="43" fontId="6" fillId="6" borderId="17" xfId="1" applyFont="1" applyFill="1" applyBorder="1" applyAlignment="1">
      <alignment vertical="center"/>
    </xf>
    <xf numFmtId="43" fontId="6" fillId="0" borderId="18" xfId="1" applyFont="1" applyFill="1" applyBorder="1"/>
    <xf numFmtId="43" fontId="6" fillId="0" borderId="5" xfId="1" applyFont="1" applyBorder="1" applyAlignment="1">
      <alignment vertical="center"/>
    </xf>
    <xf numFmtId="43" fontId="9" fillId="0" borderId="5" xfId="1" applyFont="1" applyBorder="1" applyAlignment="1">
      <alignment vertical="center"/>
    </xf>
    <xf numFmtId="43" fontId="9" fillId="0" borderId="6" xfId="1" applyFont="1" applyBorder="1" applyAlignment="1">
      <alignment vertical="center"/>
    </xf>
    <xf numFmtId="0" fontId="6" fillId="0" borderId="5" xfId="0" applyFont="1" applyBorder="1"/>
    <xf numFmtId="164" fontId="9" fillId="6" borderId="5" xfId="1" applyNumberFormat="1" applyFont="1" applyFill="1" applyBorder="1" applyAlignment="1">
      <alignment vertical="center"/>
    </xf>
    <xf numFmtId="164" fontId="6" fillId="10" borderId="26" xfId="1" applyNumberFormat="1" applyFont="1" applyFill="1" applyBorder="1" applyAlignment="1">
      <alignment horizontal="center" vertical="center"/>
    </xf>
    <xf numFmtId="164" fontId="6" fillId="10" borderId="25" xfId="1" applyNumberFormat="1" applyFont="1" applyFill="1" applyBorder="1" applyAlignment="1">
      <alignment horizontal="center" vertical="center"/>
    </xf>
    <xf numFmtId="164" fontId="6" fillId="10" borderId="11" xfId="1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4" fontId="6" fillId="0" borderId="17" xfId="1" applyNumberFormat="1" applyFont="1" applyBorder="1" applyAlignment="1">
      <alignment horizontal="center" vertical="center"/>
    </xf>
    <xf numFmtId="164" fontId="6" fillId="0" borderId="15" xfId="1" applyNumberFormat="1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/>
    </xf>
    <xf numFmtId="0" fontId="2" fillId="2" borderId="25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164" fontId="6" fillId="0" borderId="27" xfId="1" applyNumberFormat="1" applyFont="1" applyBorder="1" applyAlignment="1">
      <alignment horizontal="center" vertical="center"/>
    </xf>
    <xf numFmtId="164" fontId="6" fillId="0" borderId="43" xfId="1" applyNumberFormat="1" applyFont="1" applyBorder="1" applyAlignment="1">
      <alignment horizontal="center" vertical="center"/>
    </xf>
    <xf numFmtId="164" fontId="8" fillId="4" borderId="27" xfId="1" applyNumberFormat="1" applyFont="1" applyFill="1" applyBorder="1" applyAlignment="1">
      <alignment horizontal="center"/>
    </xf>
    <xf numFmtId="164" fontId="8" fillId="4" borderId="34" xfId="1" applyNumberFormat="1" applyFont="1" applyFill="1" applyBorder="1" applyAlignment="1">
      <alignment horizontal="center"/>
    </xf>
    <xf numFmtId="164" fontId="8" fillId="4" borderId="28" xfId="1" applyNumberFormat="1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2" borderId="2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/>
    </xf>
    <xf numFmtId="164" fontId="6" fillId="10" borderId="26" xfId="1" applyNumberFormat="1" applyFont="1" applyFill="1" applyBorder="1" applyAlignment="1">
      <alignment horizontal="center"/>
    </xf>
    <xf numFmtId="164" fontId="6" fillId="10" borderId="25" xfId="1" applyNumberFormat="1" applyFont="1" applyFill="1" applyBorder="1" applyAlignment="1">
      <alignment horizontal="center"/>
    </xf>
    <xf numFmtId="164" fontId="6" fillId="10" borderId="11" xfId="1" applyNumberFormat="1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4" borderId="1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0" fontId="3" fillId="4" borderId="29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4" xfId="0" applyFont="1" applyFill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8" fillId="4" borderId="21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vertical="center" wrapText="1"/>
    </xf>
    <xf numFmtId="0" fontId="4" fillId="4" borderId="5" xfId="0" applyFont="1" applyFill="1" applyBorder="1" applyAlignment="1">
      <alignment vertical="center" wrapText="1"/>
    </xf>
    <xf numFmtId="164" fontId="8" fillId="5" borderId="26" xfId="1" applyNumberFormat="1" applyFont="1" applyFill="1" applyBorder="1" applyAlignment="1">
      <alignment horizontal="center"/>
    </xf>
    <xf numFmtId="164" fontId="8" fillId="5" borderId="11" xfId="1" applyNumberFormat="1" applyFont="1" applyFill="1" applyBorder="1" applyAlignment="1">
      <alignment horizontal="center"/>
    </xf>
    <xf numFmtId="164" fontId="8" fillId="4" borderId="26" xfId="1" applyNumberFormat="1" applyFont="1" applyFill="1" applyBorder="1" applyAlignment="1">
      <alignment horizontal="center"/>
    </xf>
    <xf numFmtId="164" fontId="8" fillId="4" borderId="11" xfId="1" applyNumberFormat="1" applyFont="1" applyFill="1" applyBorder="1" applyAlignment="1">
      <alignment horizontal="center"/>
    </xf>
    <xf numFmtId="164" fontId="8" fillId="4" borderId="25" xfId="1" applyNumberFormat="1" applyFont="1" applyFill="1" applyBorder="1" applyAlignment="1">
      <alignment horizontal="center"/>
    </xf>
    <xf numFmtId="164" fontId="8" fillId="4" borderId="31" xfId="1" applyNumberFormat="1" applyFont="1" applyFill="1" applyBorder="1" applyAlignment="1">
      <alignment horizontal="center"/>
    </xf>
    <xf numFmtId="164" fontId="8" fillId="4" borderId="35" xfId="1" applyNumberFormat="1" applyFont="1" applyFill="1" applyBorder="1" applyAlignment="1">
      <alignment horizontal="center"/>
    </xf>
    <xf numFmtId="164" fontId="8" fillId="4" borderId="31" xfId="5" applyNumberFormat="1" applyFont="1" applyFill="1" applyBorder="1" applyAlignment="1">
      <alignment horizontal="center"/>
    </xf>
    <xf numFmtId="164" fontId="8" fillId="4" borderId="23" xfId="5" applyNumberFormat="1" applyFont="1" applyFill="1" applyBorder="1" applyAlignment="1">
      <alignment horizontal="center"/>
    </xf>
    <xf numFmtId="164" fontId="8" fillId="4" borderId="35" xfId="5" applyNumberFormat="1" applyFont="1" applyFill="1" applyBorder="1" applyAlignment="1">
      <alignment horizontal="center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4" fillId="4" borderId="3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/>
    </xf>
    <xf numFmtId="0" fontId="13" fillId="2" borderId="44" xfId="0" applyFont="1" applyFill="1" applyBorder="1" applyAlignment="1">
      <alignment horizontal="center" vertical="center" wrapText="1"/>
    </xf>
    <xf numFmtId="0" fontId="13" fillId="2" borderId="45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justify" wrapText="1"/>
    </xf>
    <xf numFmtId="0" fontId="24" fillId="0" borderId="39" xfId="0" applyFont="1" applyBorder="1"/>
    <xf numFmtId="0" fontId="4" fillId="4" borderId="35" xfId="0" applyFont="1" applyFill="1" applyBorder="1" applyAlignment="1">
      <alignment vertical="center" wrapText="1"/>
    </xf>
    <xf numFmtId="0" fontId="4" fillId="4" borderId="8" xfId="0" applyFont="1" applyFill="1" applyBorder="1" applyAlignment="1">
      <alignment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/>
    </xf>
    <xf numFmtId="0" fontId="2" fillId="2" borderId="41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43" fontId="21" fillId="8" borderId="17" xfId="1" applyFont="1" applyFill="1" applyBorder="1" applyAlignment="1">
      <alignment horizontal="center" vertical="center"/>
    </xf>
    <xf numFmtId="43" fontId="21" fillId="8" borderId="15" xfId="1" applyFont="1" applyFill="1" applyBorder="1" applyAlignment="1">
      <alignment horizontal="center" vertical="center"/>
    </xf>
  </cellXfs>
  <cellStyles count="9">
    <cellStyle name="Hiperlink" xfId="2" builtinId="8"/>
    <cellStyle name="Normal" xfId="0" builtinId="0"/>
    <cellStyle name="Normal 2" xfId="3" xr:uid="{00000000-0005-0000-0000-000002000000}"/>
    <cellStyle name="Porcentagem" xfId="4" builtinId="5"/>
    <cellStyle name="Vírgula" xfId="1" builtinId="3"/>
    <cellStyle name="Vírgula 2" xfId="5" xr:uid="{00000000-0005-0000-0000-000005000000}"/>
    <cellStyle name="Vírgula 2 2" xfId="7" xr:uid="{00000000-0005-0000-0000-000002000000}"/>
    <cellStyle name="Vírgula 3" xfId="6" xr:uid="{00000000-0005-0000-0000-000033000000}"/>
    <cellStyle name="Vírgula 4" xfId="8" xr:uid="{7570088B-2D88-4B61-A5D5-A038059A36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9" Type="http://schemas.openxmlformats.org/officeDocument/2006/relationships/externalLink" Target="externalLinks/externalLink36.xml"/><Relationship Id="rId21" Type="http://schemas.openxmlformats.org/officeDocument/2006/relationships/externalLink" Target="externalLinks/externalLink18.xml"/><Relationship Id="rId34" Type="http://schemas.openxmlformats.org/officeDocument/2006/relationships/externalLink" Target="externalLinks/externalLink31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61" Type="http://schemas.openxmlformats.org/officeDocument/2006/relationships/calcChain" Target="calcChain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theme" Target="theme/theme1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sheetMetadata" Target="metadata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styles" Target="styles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microsoft.com/office/2017/10/relationships/person" Target="persons/person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BS%202019.csv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SF%202019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SF%202020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SF%20202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SF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DOCE%202019.csv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DOCE%202020.csv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DOCE%202021.csv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Doce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ARANAIBA%202018%20cobrado%20em%202019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ARANAIBA%202019%20cobrado%20em%2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BS%202020.csv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ARANAIBA%202020%20cobrado%20em%202021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arana&#237;ba%202021%20cobrado%20em%202022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VG%202018%20cobrado%20em%202019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VG%202019%20cobrado%20em%202020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VG%202020%20cobrado%20em%20202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Verde%20Grande%202021%20cobrado%20em%202022.xlsx" TargetMode="External"/></Relationships>
</file>

<file path=xl/externalLinks/_rels/externalLink2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3/via%20diana/Cobran&#231;a_tabela_1_progestao2%20-%20marco.xlsx" TargetMode="External"/><Relationship Id="rId1" Type="http://schemas.openxmlformats.org/officeDocument/2006/relationships/externalLinkPath" Target="pedido%20laura%20via%20progestao/2023/via%20diana/Cobran&#231;a_tabela_1_progestao2%20-%20marco.xlsx" TargetMode="External"/></Relationships>
</file>

<file path=xl/externalLinks/_rels/externalLink2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4/Cobran&#231;a_2024_v2.xlsx" TargetMode="External"/><Relationship Id="rId1" Type="http://schemas.openxmlformats.org/officeDocument/2006/relationships/externalLinkPath" Target="pedido%20laura%20via%20progestao/2024/Cobran&#231;a_2024_v2.xlsx" TargetMode="External"/></Relationships>
</file>

<file path=xl/externalLinks/_rels/externalLink2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5/Cobran&#231;a_2025%20(1).xlsx" TargetMode="External"/><Relationship Id="rId1" Type="http://schemas.openxmlformats.org/officeDocument/2006/relationships/externalLinkPath" Target="pedido%20laura%20via%20progestao/2025/Cobran&#231;a_2025%20(1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0/RJ/C&#243;pia%20de%20C&#243;pia%20de%206_1_COBRAN&#199;A_2020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pedido%20laura%20via%20progestao/2020/marco/2004%20-%202021%20-%20RECEITA%20L&#205;QUIDA%20-%20FONTE%200116%20-%202004%20a%202021.xlsx?FC1FD270" TargetMode="External"/><Relationship Id="rId1" Type="http://schemas.openxmlformats.org/officeDocument/2006/relationships/externalLinkPath" Target="file:///\\FC1FD270\2004%20-%202021%20-%20RECEITA%20L&#205;QUIDA%20-%20FONTE%200116%20-%202004%20a%202021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1/RJ/Cobran&#231;a_Conjuntura_exerc_2021.xlsx" TargetMode="External"/></Relationships>
</file>

<file path=xl/externalLinks/_rels/externalLink3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original%20glaucia/2020/SP/SAO%20PAULO_historico-cobranca_2007%20a%202020%20ANA.xlsx" TargetMode="External"/><Relationship Id="rId1" Type="http://schemas.openxmlformats.org/officeDocument/2006/relationships/externalLinkPath" Target="original%20glaucia/2020/SP/SAO%20PAULO_historico-cobranca_2007%20a%202020%20ANA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0/SP/Planilha%20de%20boletos%20cobrados%20em%202020.xlsx" TargetMode="External"/></Relationships>
</file>

<file path=xl/externalLinks/_rels/externalLink3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original%20glaucia/2020/SP/SP.xlsx" TargetMode="External"/><Relationship Id="rId1" Type="http://schemas.openxmlformats.org/officeDocument/2006/relationships/externalLinkPath" Target="original%20glaucia/2020/SP/SP.xlsx" TargetMode="External"/></Relationships>
</file>

<file path=xl/externalLinks/_rels/externalLink34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5/pedidos%20retificacao%20Diana/Meta%20Federativa%20I.3_Progest&#227;o%203_2025_SP%20(1).xlsx" TargetMode="External"/><Relationship Id="rId2" Type="http://schemas.microsoft.com/office/2019/04/relationships/externalLinkLongPath" Target="pedido%20laura%20via%20progestao/2025/pedidos%20retificacao%20Diana/Meta%20Federativa%20I.3_Progest&#227;o%203_2025_SP%20(1).xlsx?71AEF892" TargetMode="External"/><Relationship Id="rId1" Type="http://schemas.openxmlformats.org/officeDocument/2006/relationships/externalLinkPath" Target="file:///\\71AEF892\Meta%20Federativa%20I.3_Progest&#227;o%203_2025_SP%20(1).xlsx" TargetMode="External"/></Relationships>
</file>

<file path=xl/externalLinks/_rels/externalLink35.xml.rels><?xml version="1.0" encoding="UTF-8" standalone="yes"?>
<Relationships xmlns="http://schemas.openxmlformats.org/package/2006/relationships"><Relationship Id="rId2" Type="http://schemas.microsoft.com/office/2019/04/relationships/externalLinkLongPath" Target="original%20glaucia/2021/SP/SAO%20PAULO%20Estados_HistoricoCobrancanoBrasilPeriodo19962020_Glaucia_15022022.xlsx?9BD8DF98" TargetMode="External"/><Relationship Id="rId1" Type="http://schemas.openxmlformats.org/officeDocument/2006/relationships/externalLinkPath" Target="file:///\\9BD8DF98\SAO%20PAULO%20Estados_HistoricoCobrancanoBrasilPeriodo19962020_Glaucia_15022022.xlsx" TargetMode="External"/></Relationships>
</file>

<file path=xl/externalLinks/_rels/externalLink36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naaguas-my.sharepoint.com/personal/marco_amorim_ana_gov_br/Documents/MARCO/GECOB/COBRAN&#199;A%20NO%20PA&#205;S/dados%20cobranca%20arrecadacao/2024/pedido%20revisao%20a%20estados/SAO%20PAULO%20Estados_HistoricoCobrancanoBrasilPeriodo19962023%2008112024.xlsx" TargetMode="External"/><Relationship Id="rId2" Type="http://schemas.microsoft.com/office/2019/04/relationships/externalLinkLongPath" Target="2024/pedido%20revisao%20a%20estados/SAO%20PAULO%20Estados_HistoricoCobrancanoBrasilPeriodo19962023%2008112024.xlsx?7779EB32" TargetMode="External"/><Relationship Id="rId1" Type="http://schemas.openxmlformats.org/officeDocument/2006/relationships/externalLinkPath" Target="file:///\\7779EB32\SAO%20PAULO%20Estados_HistoricoCobrancanoBrasilPeriodo19962023%2008112024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1/MG/Relatorio_cob_arr_MG_2021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pedido%20laura%20via%20progestao/2022/Cobran&#231;a/MG/7_COBRANCA_MG_tabela_1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pedido%20laura%20via%20progestao/2020/laura/marco/P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BS%202021.csv" TargetMode="External"/></Relationships>
</file>

<file path=xl/externalLinks/_rels/externalLink4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3/via%20diana/Cobran&#231;a_progestao3%20-%20marco.xlsx" TargetMode="External"/><Relationship Id="rId1" Type="http://schemas.openxmlformats.org/officeDocument/2006/relationships/externalLinkPath" Target="pedido%20laura%20via%20progestao/2023/via%20diana/Cobran&#231;a_progestao3%20-%20marco.xlsx" TargetMode="External"/></Relationships>
</file>

<file path=xl/externalLinks/_rels/externalLink41.xml.rels><?xml version="1.0" encoding="UTF-8" standalone="yes"?>
<Relationships xmlns="http://schemas.openxmlformats.org/package/2006/relationships"><Relationship Id="rId2" Type="http://schemas.microsoft.com/office/2019/04/relationships/externalLinkLongPath" Target="original%20glaucia/2021/PB/Tabela%201.%20Informa&#231;&#245;es%20sobre%20cobran&#231;a%20PB,%20por%20bacia%20hidrogr&#225;fica,%20por%20ano%20-%20PROGEST&#195;O%20%20BETANIA%202022.xls?91F6C70A" TargetMode="External"/><Relationship Id="rId1" Type="http://schemas.openxmlformats.org/officeDocument/2006/relationships/externalLinkPath" Target="file:///\\91F6C70A\Tabela%201.%20Informa&#231;&#245;es%20sobre%20cobran&#231;a%20PB,%20por%20bacia%20hidrogr&#225;fica,%20por%20ano%20-%20PROGEST&#195;O%20%20BETANIA%202022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PB/Tabela%201.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PB/Tabela%201.2%20-.xls" TargetMode="External"/></Relationships>
</file>

<file path=xl/externalLinks/_rels/externalLink4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rco\AppData\Local\Microsoft\Windows\INetCache\Content.Outlook\B5AQWMY9\Meta%20Federativa%20I.3_Progest&#227;o%203_2025_SE_preenchido_enquadramento_e_qualidade_ATT%20COB.xlsx" TargetMode="External"/><Relationship Id="rId1" Type="http://schemas.openxmlformats.org/officeDocument/2006/relationships/externalLinkPath" Target="file:///C:\Users\marco\AppData\Local\Microsoft\Windows\INetCache\Content.Outlook\B5AQWMY9\Meta%20Federativa%20I.3_Progest&#227;o%203_2025_SE_preenchido_enquadramento_e_qualidade_ATT%20COB.xlsx" TargetMode="External"/></Relationships>
</file>

<file path=xl/externalLinks/_rels/externalLink4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19.xlsx" TargetMode="External"/><Relationship Id="rId1" Type="http://schemas.openxmlformats.org/officeDocument/2006/relationships/externalLinkPath" Target="fontes/annel/CMPF,%20Royalties%20e%20Benefici&#225;rios%202019.xlsx" TargetMode="External"/></Relationships>
</file>

<file path=xl/externalLinks/_rels/externalLink46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0.xlsx" TargetMode="External"/><Relationship Id="rId1" Type="http://schemas.openxmlformats.org/officeDocument/2006/relationships/externalLinkPath" Target="fontes/annel/CMPF,%20Royalties%20e%20Benefici&#225;rios%202020.xlsx" TargetMode="External"/></Relationships>
</file>

<file path=xl/externalLinks/_rels/externalLink47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1.xlsx" TargetMode="External"/><Relationship Id="rId1" Type="http://schemas.openxmlformats.org/officeDocument/2006/relationships/externalLinkPath" Target="fontes/annel/CMPF,%20Royalties%20e%20Benefici&#225;rios%202021.xlsx" TargetMode="External"/></Relationships>
</file>

<file path=xl/externalLinks/_rels/externalLink48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2.xlsx" TargetMode="External"/><Relationship Id="rId1" Type="http://schemas.openxmlformats.org/officeDocument/2006/relationships/externalLinkPath" Target="fontes/annel/CMPF,%20Royalties%20e%20Benefici&#225;rios%202022.xlsx" TargetMode="External"/></Relationships>
</file>

<file path=xl/externalLinks/_rels/externalLink49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3.xlsx" TargetMode="External"/><Relationship Id="rId1" Type="http://schemas.openxmlformats.org/officeDocument/2006/relationships/externalLinkPath" Target="fontes/annel/CMPF,%20Royalties%20e%20Benefici&#225;rios%20202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BS.xlsx" TargetMode="External"/></Relationships>
</file>

<file path=xl/externalLinks/_rels/externalLink50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4.xlsx" TargetMode="External"/><Relationship Id="rId1" Type="http://schemas.openxmlformats.org/officeDocument/2006/relationships/externalLinkPath" Target="fontes/annel/CMPF,%20Royalties%20e%20Benefici&#225;rios%202024.xlsx" TargetMode="External"/></Relationships>
</file>

<file path=xl/externalLinks/_rels/externalLink5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anaaguas-my.sharepoint.com/personal/marco_amorim_ana_gov_br/Documents/MARCO/GECOB/COBRAN&#199;A%20NO%20PA&#205;S/dados%20cobranca%20arrecadacao/fontes/annel/CMPF,%20Royalties%20e%20Benefici&#225;rios%202025.xlsx" TargetMode="External"/><Relationship Id="rId1" Type="http://schemas.openxmlformats.org/officeDocument/2006/relationships/externalLinkPath" Target="fontes/annel/CMPF,%20Royalties%20e%20Benefici&#225;rios%20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anaaguas-my.sharepoint.com/personal/marco_amorim_ana_gov_br/Documents/MARCO/GECOB/COBRAN&#199;A%20NO%20PA&#205;S/dados%20cobranca%20arrecadacao/pedido%20laura%20via%20progestao/2025/pedidos%20retificacao%20Diana/Meta%20Federativa%20I.3_Progest&#227;o%203_2025_SP_atualizado_08-07-2026.xlsx" TargetMode="External"/><Relationship Id="rId2" Type="http://schemas.microsoft.com/office/2019/04/relationships/externalLinkLongPath" Target="pedido%20laura%20via%20progestao/2025/pedidos%20retificacao%20Diana/Meta%20Federativa%20I.3_Progest&#227;o%203_2025_SP_atualizado_08-07-2026.xlsx?71AEF892" TargetMode="External"/><Relationship Id="rId1" Type="http://schemas.openxmlformats.org/officeDocument/2006/relationships/externalLinkPath" Target="file:///\\71AEF892\Meta%20Federativa%20I.3_Progest&#227;o%203_2025_SP_atualizado_08-07-202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CJ%20201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CJ%202020.csv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CJ%202021.csv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original%20glaucia/2022/Uni&#227;o/PCJ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BS 2019"/>
    </sheetNames>
    <sheetDataSet>
      <sheetData sheetId="0">
        <row r="446">
          <cell r="L446">
            <v>15175794.219999995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F 2019"/>
    </sheetNames>
    <sheetDataSet>
      <sheetData sheetId="0">
        <row r="4484">
          <cell r="L4484">
            <v>41148601.650000036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F 2020"/>
    </sheetNames>
    <sheetDataSet>
      <sheetData sheetId="0">
        <row r="5155">
          <cell r="L5155">
            <v>41322065.399999872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F 2021"/>
    </sheetNames>
    <sheetDataSet>
      <sheetData sheetId="0">
        <row r="5687">
          <cell r="L5687">
            <v>42279976.620000333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brancaAprovada (2)"/>
    </sheetNames>
    <sheetDataSet>
      <sheetData sheetId="0">
        <row r="6073">
          <cell r="L6073">
            <v>48575313.019999571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E 2019"/>
    </sheetNames>
    <sheetDataSet>
      <sheetData sheetId="0">
        <row r="278">
          <cell r="L278">
            <v>12038745.069999998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E 2020"/>
    </sheetNames>
    <sheetDataSet>
      <sheetData sheetId="0">
        <row r="297">
          <cell r="L297">
            <v>13393384.6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E 2021"/>
    </sheetNames>
    <sheetDataSet>
      <sheetData sheetId="0">
        <row r="310">
          <cell r="L310">
            <v>13605990.520000003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ce"/>
    </sheetNames>
    <sheetDataSet>
      <sheetData sheetId="0">
        <row r="323">
          <cell r="L323">
            <v>17419166.809999995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NAIBA 2018 cobrado em 2019"/>
    </sheetNames>
    <sheetDataSet>
      <sheetData sheetId="0">
        <row r="526">
          <cell r="L526">
            <v>7924945.5299999956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NAIBA 2019 cobrado em 2020"/>
    </sheetNames>
    <sheetDataSet>
      <sheetData sheetId="0">
        <row r="621">
          <cell r="L621">
            <v>12071792.800000001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BS 2020"/>
    </sheetNames>
    <sheetDataSet>
      <sheetData sheetId="0">
        <row r="461">
          <cell r="L461">
            <v>23009485.819999997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ANAIBA 2020 cobrado em 2021"/>
    </sheetNames>
    <sheetDataSet>
      <sheetData sheetId="0">
        <row r="754">
          <cell r="L754">
            <v>12511245.519999996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brancaAprovada (6)"/>
    </sheetNames>
    <sheetDataSet>
      <sheetData sheetId="0">
        <row r="933">
          <cell r="L933">
            <v>17222178.499999981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G 2018 cobrado em 2019"/>
    </sheetNames>
    <sheetDataSet>
      <sheetData sheetId="0">
        <row r="169">
          <cell r="L169">
            <v>208821.07000000004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G 2019 cobrado em 2020"/>
    </sheetNames>
    <sheetDataSet>
      <sheetData sheetId="0">
        <row r="185">
          <cell r="L185">
            <v>151546.7699999999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G 2020 cobrado em 2021"/>
    </sheetNames>
    <sheetDataSet>
      <sheetData sheetId="0">
        <row r="199">
          <cell r="L199">
            <v>141054.87999999998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rde Grande 2021 cobrado em 20"/>
    </sheetNames>
    <sheetDataSet>
      <sheetData sheetId="0">
        <row r="165">
          <cell r="L165">
            <v>127818.37000000002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"/>
      <sheetName val="CE"/>
      <sheetName val="DF"/>
      <sheetName val="MG"/>
      <sheetName val="PA"/>
      <sheetName val="SC"/>
      <sheetName val="SP"/>
      <sheetName val="RJ"/>
      <sheetName val="RR"/>
      <sheetName val="TODOS"/>
    </sheetNames>
    <sheetDataSet>
      <sheetData sheetId="0" refreshError="1"/>
      <sheetData sheetId="1">
        <row r="4">
          <cell r="E4">
            <v>3716238.45</v>
          </cell>
          <cell r="F4">
            <v>3463765.82</v>
          </cell>
          <cell r="G4">
            <v>2906971.64</v>
          </cell>
          <cell r="H4">
            <v>2630331.2999999998</v>
          </cell>
          <cell r="I4">
            <v>2518184.2000000002</v>
          </cell>
        </row>
        <row r="5">
          <cell r="E5">
            <v>960852.79</v>
          </cell>
          <cell r="F5">
            <v>798367.06</v>
          </cell>
          <cell r="G5">
            <v>883956.59</v>
          </cell>
          <cell r="H5">
            <v>465062.31</v>
          </cell>
          <cell r="I5">
            <v>354247.83</v>
          </cell>
        </row>
        <row r="6">
          <cell r="E6">
            <v>204906.85</v>
          </cell>
          <cell r="F6">
            <v>4369.49</v>
          </cell>
          <cell r="G6">
            <v>4593.78</v>
          </cell>
          <cell r="H6">
            <v>3117.72</v>
          </cell>
          <cell r="I6">
            <v>4611.1400000000003</v>
          </cell>
        </row>
        <row r="7">
          <cell r="E7">
            <v>16563.400000000001</v>
          </cell>
          <cell r="F7">
            <v>20789.27</v>
          </cell>
          <cell r="G7">
            <v>24676.89</v>
          </cell>
          <cell r="H7">
            <v>21877.96</v>
          </cell>
          <cell r="I7">
            <v>22956.07</v>
          </cell>
        </row>
        <row r="8">
          <cell r="E8">
            <v>16094.91</v>
          </cell>
          <cell r="F8">
            <v>14523.2</v>
          </cell>
          <cell r="G8">
            <v>8561.4599999999991</v>
          </cell>
          <cell r="H8">
            <v>527.57000000000005</v>
          </cell>
          <cell r="I8">
            <v>306.25</v>
          </cell>
        </row>
        <row r="9">
          <cell r="E9">
            <v>62372.69</v>
          </cell>
          <cell r="F9">
            <v>64336.95</v>
          </cell>
          <cell r="G9">
            <v>56728.97</v>
          </cell>
          <cell r="H9">
            <v>41990.46</v>
          </cell>
          <cell r="I9">
            <v>20408.650000000001</v>
          </cell>
        </row>
        <row r="10">
          <cell r="E10">
            <v>296.8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E11">
            <v>226889.4</v>
          </cell>
          <cell r="F11">
            <v>197404.08</v>
          </cell>
          <cell r="G11">
            <v>142532.84</v>
          </cell>
          <cell r="H11">
            <v>84379.16</v>
          </cell>
          <cell r="I11">
            <v>84977.16</v>
          </cell>
        </row>
        <row r="12">
          <cell r="E12">
            <v>3699311.01</v>
          </cell>
          <cell r="F12">
            <v>3463065.49</v>
          </cell>
          <cell r="G12">
            <v>2906971.64</v>
          </cell>
          <cell r="H12">
            <v>2611475.9700000002</v>
          </cell>
          <cell r="I12">
            <v>2447190.54</v>
          </cell>
        </row>
        <row r="13">
          <cell r="E13">
            <v>939040.19</v>
          </cell>
          <cell r="F13">
            <v>738705.9</v>
          </cell>
          <cell r="G13">
            <v>861485.43</v>
          </cell>
          <cell r="H13">
            <v>437877.36</v>
          </cell>
          <cell r="I13">
            <v>332193.46000000002</v>
          </cell>
        </row>
        <row r="14">
          <cell r="E14">
            <v>171471.58</v>
          </cell>
          <cell r="F14">
            <v>4280.67</v>
          </cell>
          <cell r="G14">
            <v>3967.25</v>
          </cell>
          <cell r="H14">
            <v>3117.72</v>
          </cell>
          <cell r="I14">
            <v>4286.3599999999997</v>
          </cell>
        </row>
        <row r="15">
          <cell r="E15">
            <v>14342.6</v>
          </cell>
          <cell r="F15">
            <v>16411.98</v>
          </cell>
          <cell r="G15">
            <v>18720.330000000002</v>
          </cell>
          <cell r="H15">
            <v>16929.34</v>
          </cell>
          <cell r="I15">
            <v>18341.599999999999</v>
          </cell>
        </row>
        <row r="16">
          <cell r="E16">
            <v>9447.66</v>
          </cell>
          <cell r="F16">
            <v>8983.8799999999992</v>
          </cell>
          <cell r="G16">
            <v>3507.55</v>
          </cell>
          <cell r="H16">
            <v>279.35000000000002</v>
          </cell>
          <cell r="I16">
            <v>0</v>
          </cell>
        </row>
        <row r="17">
          <cell r="E17">
            <v>59191.12</v>
          </cell>
          <cell r="F17">
            <v>63980.53</v>
          </cell>
          <cell r="G17">
            <v>52902.9</v>
          </cell>
          <cell r="H17">
            <v>31807.06</v>
          </cell>
          <cell r="I17">
            <v>7877.9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E19">
            <v>203384.46</v>
          </cell>
          <cell r="F19">
            <v>175159.49</v>
          </cell>
          <cell r="G19">
            <v>109162.65</v>
          </cell>
          <cell r="H19">
            <v>64937.06</v>
          </cell>
          <cell r="I19">
            <v>64165.61</v>
          </cell>
        </row>
        <row r="20">
          <cell r="E20">
            <v>1584775.62</v>
          </cell>
          <cell r="F20">
            <v>1245423.1599999999</v>
          </cell>
          <cell r="G20">
            <v>1227080.6000000001</v>
          </cell>
          <cell r="H20">
            <v>1057124.27</v>
          </cell>
          <cell r="I20">
            <v>976046.2</v>
          </cell>
        </row>
        <row r="21">
          <cell r="E21">
            <v>84855.81</v>
          </cell>
          <cell r="F21">
            <v>77962.84</v>
          </cell>
          <cell r="G21">
            <v>57996.35</v>
          </cell>
          <cell r="H21">
            <v>38491.980000000003</v>
          </cell>
          <cell r="I21">
            <v>40339.1</v>
          </cell>
        </row>
        <row r="22">
          <cell r="E22">
            <v>13854.68</v>
          </cell>
          <cell r="F22">
            <v>20475.04</v>
          </cell>
          <cell r="G22">
            <v>15663.05</v>
          </cell>
          <cell r="H22">
            <v>6290.43</v>
          </cell>
          <cell r="I22">
            <v>702.41</v>
          </cell>
        </row>
        <row r="23">
          <cell r="E23">
            <v>15221.77</v>
          </cell>
          <cell r="F23">
            <v>14662.19</v>
          </cell>
          <cell r="G23">
            <v>16466.599999999999</v>
          </cell>
          <cell r="H23">
            <v>9821.9599999999991</v>
          </cell>
          <cell r="I23">
            <v>5035.9399999999996</v>
          </cell>
        </row>
        <row r="24">
          <cell r="E24">
            <v>32209.34</v>
          </cell>
          <cell r="F24">
            <v>20953.009999999998</v>
          </cell>
          <cell r="G24">
            <v>3931.89</v>
          </cell>
          <cell r="H24">
            <v>0</v>
          </cell>
          <cell r="I24">
            <v>1041.5899999999999</v>
          </cell>
        </row>
        <row r="25">
          <cell r="E25">
            <v>3643.53</v>
          </cell>
          <cell r="F25">
            <v>3740.6</v>
          </cell>
          <cell r="G25">
            <v>5453.96</v>
          </cell>
          <cell r="H25">
            <v>5273.59</v>
          </cell>
          <cell r="I25">
            <v>5090.95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E27">
            <v>21966.29</v>
          </cell>
          <cell r="F27">
            <v>21190.560000000001</v>
          </cell>
          <cell r="G27">
            <v>13320.65</v>
          </cell>
          <cell r="H27">
            <v>8977.94</v>
          </cell>
          <cell r="I27">
            <v>6149.18</v>
          </cell>
        </row>
        <row r="28">
          <cell r="E28">
            <v>3699311.01</v>
          </cell>
          <cell r="F28">
            <v>1245423.1599999999</v>
          </cell>
          <cell r="G28">
            <v>1225614.48</v>
          </cell>
          <cell r="H28">
            <v>1056311.8799999999</v>
          </cell>
          <cell r="I28">
            <v>975768.8</v>
          </cell>
        </row>
        <row r="29">
          <cell r="E29">
            <v>939040.19</v>
          </cell>
          <cell r="F29">
            <v>74321.69</v>
          </cell>
          <cell r="G29">
            <v>53336.38</v>
          </cell>
          <cell r="H29">
            <v>33704.879999999997</v>
          </cell>
          <cell r="I29">
            <v>39113.72</v>
          </cell>
        </row>
        <row r="30">
          <cell r="E30">
            <v>171471.58</v>
          </cell>
          <cell r="F30">
            <v>4803.16</v>
          </cell>
          <cell r="G30">
            <v>6690.13</v>
          </cell>
          <cell r="H30">
            <v>5372</v>
          </cell>
          <cell r="I30">
            <v>702.41</v>
          </cell>
        </row>
        <row r="31">
          <cell r="E31">
            <v>14342.6</v>
          </cell>
          <cell r="F31">
            <v>13195.75</v>
          </cell>
          <cell r="G31">
            <v>11783.14</v>
          </cell>
          <cell r="H31">
            <v>6000.01</v>
          </cell>
          <cell r="I31">
            <v>4601.2700000000004</v>
          </cell>
        </row>
        <row r="32">
          <cell r="E32">
            <v>9447.66</v>
          </cell>
          <cell r="F32">
            <v>12760.08</v>
          </cell>
          <cell r="G32">
            <v>2213.19</v>
          </cell>
          <cell r="H32">
            <v>0</v>
          </cell>
          <cell r="I32">
            <v>911.08</v>
          </cell>
        </row>
        <row r="33">
          <cell r="E33">
            <v>59191.12</v>
          </cell>
          <cell r="F33">
            <v>3740.6</v>
          </cell>
          <cell r="G33">
            <v>5453.96</v>
          </cell>
          <cell r="H33">
            <v>5273.59</v>
          </cell>
          <cell r="I33">
            <v>5090.95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E35">
            <v>203384.46</v>
          </cell>
          <cell r="F35">
            <v>20728.86</v>
          </cell>
          <cell r="G35">
            <v>11337.92</v>
          </cell>
          <cell r="H35">
            <v>7392.76</v>
          </cell>
          <cell r="I35">
            <v>6019.27</v>
          </cell>
        </row>
        <row r="36">
          <cell r="E36">
            <v>104067324.59</v>
          </cell>
          <cell r="F36">
            <v>82713765.129999995</v>
          </cell>
          <cell r="G36">
            <v>72745632.109999999</v>
          </cell>
          <cell r="H36">
            <v>66715938.539999999</v>
          </cell>
          <cell r="I36">
            <v>62113133.810000002</v>
          </cell>
        </row>
        <row r="37">
          <cell r="E37">
            <v>70438906.579999998</v>
          </cell>
          <cell r="F37">
            <v>62662056.140000001</v>
          </cell>
          <cell r="G37">
            <v>67487896.769999996</v>
          </cell>
          <cell r="H37">
            <v>51818830.359999999</v>
          </cell>
          <cell r="I37">
            <v>56449244.710000001</v>
          </cell>
        </row>
        <row r="38">
          <cell r="E38">
            <v>67552.479999999996</v>
          </cell>
          <cell r="F38">
            <v>2412598.69</v>
          </cell>
          <cell r="G38">
            <v>45125797.159999996</v>
          </cell>
          <cell r="H38">
            <v>21399965.079999998</v>
          </cell>
          <cell r="I38">
            <v>39314837.149999999</v>
          </cell>
        </row>
        <row r="39">
          <cell r="E39">
            <v>658852.11</v>
          </cell>
          <cell r="F39">
            <v>536441.86</v>
          </cell>
          <cell r="G39">
            <v>405145.09</v>
          </cell>
          <cell r="H39">
            <v>340616.6</v>
          </cell>
          <cell r="I39">
            <v>275288.64</v>
          </cell>
        </row>
        <row r="40">
          <cell r="E40">
            <v>180.68</v>
          </cell>
          <cell r="F40">
            <v>200.32</v>
          </cell>
          <cell r="G40">
            <v>289.54000000000002</v>
          </cell>
          <cell r="H40">
            <v>909.45</v>
          </cell>
          <cell r="I40">
            <v>0</v>
          </cell>
        </row>
        <row r="41">
          <cell r="E41">
            <v>381751.33</v>
          </cell>
          <cell r="F41">
            <v>386129.44</v>
          </cell>
          <cell r="G41">
            <v>372035.51</v>
          </cell>
          <cell r="H41">
            <v>384223.39</v>
          </cell>
          <cell r="I41">
            <v>366102.25</v>
          </cell>
        </row>
        <row r="42">
          <cell r="E42">
            <v>21547.32</v>
          </cell>
          <cell r="F42">
            <v>20738.54</v>
          </cell>
          <cell r="G42">
            <v>26592.05</v>
          </cell>
          <cell r="H42">
            <v>16005.26</v>
          </cell>
          <cell r="I42">
            <v>15245.07</v>
          </cell>
        </row>
        <row r="43">
          <cell r="E43">
            <v>2029518.87</v>
          </cell>
          <cell r="F43">
            <v>1499077.78</v>
          </cell>
          <cell r="G43">
            <v>1216047.3600000001</v>
          </cell>
          <cell r="H43">
            <v>1102123.3600000001</v>
          </cell>
          <cell r="I43">
            <v>1025761.24</v>
          </cell>
        </row>
        <row r="44">
          <cell r="E44">
            <v>3699311.01</v>
          </cell>
          <cell r="F44">
            <v>82562619.769999996</v>
          </cell>
          <cell r="G44">
            <v>72642169.189999998</v>
          </cell>
          <cell r="H44">
            <v>66684345.799999997</v>
          </cell>
          <cell r="I44">
            <v>62103503.439999998</v>
          </cell>
        </row>
        <row r="45">
          <cell r="E45">
            <v>939040.19</v>
          </cell>
          <cell r="F45">
            <v>62448021.25</v>
          </cell>
          <cell r="G45">
            <v>67169069.040000007</v>
          </cell>
          <cell r="H45">
            <v>51446342.890000001</v>
          </cell>
          <cell r="I45">
            <v>56067925.009999998</v>
          </cell>
        </row>
        <row r="46">
          <cell r="E46">
            <v>171471.58</v>
          </cell>
          <cell r="F46">
            <v>2404148.8199999998</v>
          </cell>
          <cell r="G46">
            <v>45038679.270000003</v>
          </cell>
          <cell r="H46">
            <v>21399965.079999998</v>
          </cell>
          <cell r="I46">
            <v>39313973.659999996</v>
          </cell>
        </row>
        <row r="47">
          <cell r="E47">
            <v>14342.6</v>
          </cell>
          <cell r="F47">
            <v>447075.03</v>
          </cell>
          <cell r="G47">
            <v>348392.41</v>
          </cell>
          <cell r="H47">
            <v>305496.46999999997</v>
          </cell>
          <cell r="I47">
            <v>254599.01</v>
          </cell>
        </row>
        <row r="48">
          <cell r="E48">
            <v>9447.66</v>
          </cell>
          <cell r="F48">
            <v>200.32</v>
          </cell>
          <cell r="G48">
            <v>236.49</v>
          </cell>
          <cell r="H48">
            <v>0</v>
          </cell>
          <cell r="I48">
            <v>0</v>
          </cell>
        </row>
        <row r="49">
          <cell r="E49">
            <v>59191.12</v>
          </cell>
          <cell r="F49">
            <v>334941.43</v>
          </cell>
          <cell r="G49">
            <v>309437</v>
          </cell>
          <cell r="H49">
            <v>325172.26</v>
          </cell>
          <cell r="I49">
            <v>307412.32</v>
          </cell>
        </row>
        <row r="50">
          <cell r="E50">
            <v>0</v>
          </cell>
          <cell r="F50">
            <v>15777.64</v>
          </cell>
          <cell r="G50">
            <v>23950.26</v>
          </cell>
          <cell r="H50">
            <v>15441.95</v>
          </cell>
          <cell r="I50">
            <v>12889.83</v>
          </cell>
        </row>
        <row r="51">
          <cell r="E51">
            <v>203384.46</v>
          </cell>
          <cell r="F51">
            <v>1396199.22</v>
          </cell>
          <cell r="G51">
            <v>1129095.99</v>
          </cell>
          <cell r="H51">
            <v>977999.87</v>
          </cell>
          <cell r="I51">
            <v>949882.23</v>
          </cell>
        </row>
        <row r="52">
          <cell r="E52">
            <v>802486.77</v>
          </cell>
          <cell r="F52">
            <v>680432.8</v>
          </cell>
        </row>
        <row r="53">
          <cell r="E53">
            <v>113482.64</v>
          </cell>
          <cell r="F53">
            <v>89752.71</v>
          </cell>
        </row>
        <row r="54">
          <cell r="E54">
            <v>36786</v>
          </cell>
          <cell r="F54">
            <v>27841.03</v>
          </cell>
        </row>
        <row r="55">
          <cell r="E55">
            <v>8796.6</v>
          </cell>
          <cell r="F55">
            <v>1564.84</v>
          </cell>
        </row>
        <row r="56">
          <cell r="E56">
            <v>0</v>
          </cell>
          <cell r="F56">
            <v>0</v>
          </cell>
        </row>
        <row r="57">
          <cell r="E57">
            <v>0</v>
          </cell>
          <cell r="F57">
            <v>0</v>
          </cell>
        </row>
        <row r="58">
          <cell r="E58">
            <v>0</v>
          </cell>
          <cell r="F58">
            <v>0</v>
          </cell>
        </row>
        <row r="59">
          <cell r="E59">
            <v>21838.639999999999</v>
          </cell>
          <cell r="F59">
            <v>11590.97</v>
          </cell>
        </row>
        <row r="60">
          <cell r="E60">
            <v>3699311.01</v>
          </cell>
          <cell r="F60">
            <v>680432.8</v>
          </cell>
        </row>
        <row r="61">
          <cell r="E61">
            <v>939040.19</v>
          </cell>
          <cell r="F61">
            <v>85875.77</v>
          </cell>
        </row>
        <row r="62">
          <cell r="E62">
            <v>171471.58</v>
          </cell>
          <cell r="F62">
            <v>23841.35</v>
          </cell>
        </row>
        <row r="63">
          <cell r="E63">
            <v>14342.6</v>
          </cell>
          <cell r="F63">
            <v>778.75</v>
          </cell>
        </row>
        <row r="64">
          <cell r="E64">
            <v>9447.66</v>
          </cell>
          <cell r="F64">
            <v>0</v>
          </cell>
        </row>
        <row r="65">
          <cell r="E65">
            <v>59191.12</v>
          </cell>
          <cell r="F65">
            <v>0</v>
          </cell>
        </row>
        <row r="66">
          <cell r="E66">
            <v>0</v>
          </cell>
          <cell r="F66">
            <v>0</v>
          </cell>
        </row>
        <row r="67">
          <cell r="E67">
            <v>203384.46</v>
          </cell>
          <cell r="F67">
            <v>10934.84</v>
          </cell>
        </row>
        <row r="68">
          <cell r="E68">
            <v>706058.8</v>
          </cell>
          <cell r="F68">
            <v>635681.15</v>
          </cell>
          <cell r="G68">
            <v>1229046.69</v>
          </cell>
          <cell r="H68">
            <v>1089251.03</v>
          </cell>
          <cell r="I68">
            <v>983292.68</v>
          </cell>
        </row>
        <row r="69">
          <cell r="E69">
            <v>18102.830000000002</v>
          </cell>
          <cell r="F69">
            <v>13154.16</v>
          </cell>
          <cell r="G69">
            <v>71009.210000000006</v>
          </cell>
          <cell r="H69">
            <v>71584.990000000005</v>
          </cell>
          <cell r="I69">
            <v>88307.15</v>
          </cell>
        </row>
        <row r="70">
          <cell r="E70">
            <v>9685.48</v>
          </cell>
          <cell r="F70">
            <v>5713.53</v>
          </cell>
          <cell r="G70">
            <v>28385.5</v>
          </cell>
          <cell r="H70">
            <v>22041.11</v>
          </cell>
          <cell r="I70">
            <v>24468.400000000001</v>
          </cell>
        </row>
        <row r="71">
          <cell r="E71">
            <v>1050.21</v>
          </cell>
          <cell r="F71">
            <v>2005.95</v>
          </cell>
          <cell r="G71">
            <v>3052.61</v>
          </cell>
          <cell r="H71">
            <v>4533.3900000000003</v>
          </cell>
          <cell r="I71">
            <v>2416.29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3"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E74">
            <v>223.09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E75">
            <v>26643.88</v>
          </cell>
          <cell r="F75">
            <v>17672.62</v>
          </cell>
          <cell r="G75">
            <v>37055.54</v>
          </cell>
          <cell r="H75">
            <v>28526.37</v>
          </cell>
          <cell r="I75">
            <v>26303.67</v>
          </cell>
        </row>
        <row r="76">
          <cell r="E76">
            <v>3699311.01</v>
          </cell>
          <cell r="F76">
            <v>632889.14</v>
          </cell>
          <cell r="G76">
            <v>1214502.7</v>
          </cell>
          <cell r="H76">
            <v>1076141.93</v>
          </cell>
          <cell r="I76">
            <v>980359.84</v>
          </cell>
        </row>
        <row r="77">
          <cell r="E77">
            <v>939040.19</v>
          </cell>
          <cell r="F77">
            <v>4802.47</v>
          </cell>
          <cell r="G77">
            <v>62048.82</v>
          </cell>
          <cell r="H77">
            <v>62608.61</v>
          </cell>
          <cell r="I77">
            <v>82295.08</v>
          </cell>
        </row>
        <row r="78">
          <cell r="E78">
            <v>171471.58</v>
          </cell>
          <cell r="F78">
            <v>5507.84</v>
          </cell>
          <cell r="G78">
            <v>21508.06</v>
          </cell>
          <cell r="H78">
            <v>14757.02</v>
          </cell>
          <cell r="I78">
            <v>17988.849999999999</v>
          </cell>
        </row>
        <row r="79">
          <cell r="E79">
            <v>14342.6</v>
          </cell>
          <cell r="F79">
            <v>1809.36</v>
          </cell>
          <cell r="G79">
            <v>2167.84</v>
          </cell>
          <cell r="H79">
            <v>2695.95</v>
          </cell>
          <cell r="I79">
            <v>1726.56</v>
          </cell>
        </row>
        <row r="80">
          <cell r="E80">
            <v>9447.66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E81">
            <v>59191.12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E83">
            <v>203384.46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E84">
            <v>1473720.96</v>
          </cell>
          <cell r="F84">
            <v>1295241.52</v>
          </cell>
          <cell r="G84">
            <v>745626.76</v>
          </cell>
          <cell r="H84">
            <v>446057.76</v>
          </cell>
          <cell r="I84">
            <v>380030.14</v>
          </cell>
        </row>
        <row r="85">
          <cell r="E85">
            <v>1251495.8899999999</v>
          </cell>
          <cell r="F85">
            <v>947785.19</v>
          </cell>
          <cell r="G85">
            <v>650651.91</v>
          </cell>
          <cell r="H85">
            <v>349680.43</v>
          </cell>
          <cell r="I85">
            <v>32779.4</v>
          </cell>
        </row>
        <row r="86">
          <cell r="E86">
            <v>2107784.2799999998</v>
          </cell>
          <cell r="F86">
            <v>1430962.9</v>
          </cell>
          <cell r="G86">
            <v>790109.04</v>
          </cell>
          <cell r="H86">
            <v>172146.25</v>
          </cell>
          <cell r="I86">
            <v>97318.61</v>
          </cell>
        </row>
        <row r="87">
          <cell r="E87">
            <v>0</v>
          </cell>
          <cell r="F87">
            <v>0</v>
          </cell>
          <cell r="G87">
            <v>4664.12</v>
          </cell>
          <cell r="H87">
            <v>13618.29</v>
          </cell>
          <cell r="I87">
            <v>0</v>
          </cell>
        </row>
        <row r="88">
          <cell r="E88">
            <v>318863.07</v>
          </cell>
          <cell r="F88">
            <v>36954.730000000003</v>
          </cell>
          <cell r="G88">
            <v>8933.2999999999993</v>
          </cell>
          <cell r="H88">
            <v>2921.66</v>
          </cell>
          <cell r="I88">
            <v>1816.62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</row>
        <row r="90">
          <cell r="E90">
            <v>860.85</v>
          </cell>
          <cell r="F90">
            <v>230.93</v>
          </cell>
          <cell r="G90">
            <v>193.51</v>
          </cell>
          <cell r="H90">
            <v>0</v>
          </cell>
          <cell r="I90">
            <v>0</v>
          </cell>
        </row>
        <row r="91">
          <cell r="E91">
            <v>13521.49</v>
          </cell>
          <cell r="F91">
            <v>10818.39</v>
          </cell>
          <cell r="G91">
            <v>2802.24</v>
          </cell>
          <cell r="H91">
            <v>20420.43</v>
          </cell>
          <cell r="I91">
            <v>80589.100000000006</v>
          </cell>
        </row>
        <row r="92">
          <cell r="E92">
            <v>3699311.01</v>
          </cell>
          <cell r="F92">
            <v>1294356.82</v>
          </cell>
          <cell r="G92">
            <v>741369.75</v>
          </cell>
          <cell r="H92">
            <v>446021.85</v>
          </cell>
          <cell r="I92">
            <v>380030.14</v>
          </cell>
        </row>
        <row r="93">
          <cell r="E93">
            <v>939040.19</v>
          </cell>
          <cell r="F93">
            <v>830310.17</v>
          </cell>
          <cell r="G93">
            <v>585305.07999999996</v>
          </cell>
          <cell r="H93">
            <v>324325.03999999998</v>
          </cell>
          <cell r="I93">
            <v>18080.16</v>
          </cell>
        </row>
        <row r="94">
          <cell r="E94">
            <v>171471.58</v>
          </cell>
          <cell r="F94">
            <v>1289245.45</v>
          </cell>
          <cell r="G94">
            <v>695397.08</v>
          </cell>
          <cell r="H94">
            <v>158256.82</v>
          </cell>
          <cell r="I94">
            <v>97318.61</v>
          </cell>
        </row>
        <row r="95">
          <cell r="E95">
            <v>14342.6</v>
          </cell>
          <cell r="F95">
            <v>0</v>
          </cell>
          <cell r="G95">
            <v>75.39</v>
          </cell>
          <cell r="H95">
            <v>278.18</v>
          </cell>
          <cell r="I95">
            <v>0</v>
          </cell>
        </row>
        <row r="96">
          <cell r="E96">
            <v>9447.66</v>
          </cell>
          <cell r="F96">
            <v>18330.64</v>
          </cell>
          <cell r="G96">
            <v>5968.69</v>
          </cell>
          <cell r="H96">
            <v>1015.35</v>
          </cell>
          <cell r="I96">
            <v>1201.1400000000001</v>
          </cell>
        </row>
        <row r="97">
          <cell r="E97">
            <v>59191.12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</row>
        <row r="98"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99">
          <cell r="E99">
            <v>203384.46</v>
          </cell>
          <cell r="F99">
            <v>12462.31</v>
          </cell>
          <cell r="G99">
            <v>31922.28</v>
          </cell>
          <cell r="H99">
            <v>26445.24</v>
          </cell>
          <cell r="I99">
            <v>25644.53</v>
          </cell>
        </row>
        <row r="100">
          <cell r="E100">
            <v>1792460.36</v>
          </cell>
          <cell r="F100">
            <v>1870772.35</v>
          </cell>
          <cell r="G100">
            <v>1053341.1499999999</v>
          </cell>
          <cell r="H100">
            <v>843711.94</v>
          </cell>
          <cell r="I100">
            <v>892009.28</v>
          </cell>
        </row>
        <row r="101">
          <cell r="E101">
            <v>52100.17</v>
          </cell>
          <cell r="F101">
            <v>52071.05</v>
          </cell>
          <cell r="G101">
            <v>61430.7</v>
          </cell>
          <cell r="H101">
            <v>58167.03</v>
          </cell>
          <cell r="I101">
            <v>45038.94</v>
          </cell>
        </row>
        <row r="102">
          <cell r="E102">
            <v>901.58</v>
          </cell>
          <cell r="F102">
            <v>1496.77</v>
          </cell>
          <cell r="G102">
            <v>180.28</v>
          </cell>
          <cell r="H102">
            <v>81.67</v>
          </cell>
          <cell r="I102">
            <v>0</v>
          </cell>
        </row>
        <row r="103">
          <cell r="E103">
            <v>16689.060000000001</v>
          </cell>
          <cell r="F103">
            <v>20513.57</v>
          </cell>
          <cell r="G103">
            <v>8778.02</v>
          </cell>
          <cell r="H103">
            <v>6555.21</v>
          </cell>
          <cell r="I103">
            <v>0</v>
          </cell>
        </row>
        <row r="104">
          <cell r="E104">
            <v>77630.11</v>
          </cell>
          <cell r="F104">
            <v>57254.53</v>
          </cell>
          <cell r="G104">
            <v>32418.43</v>
          </cell>
          <cell r="H104">
            <v>19979.419999999998</v>
          </cell>
          <cell r="I104">
            <v>13099.24</v>
          </cell>
        </row>
        <row r="105">
          <cell r="E105">
            <v>45290.63</v>
          </cell>
          <cell r="F105">
            <v>44217.54</v>
          </cell>
          <cell r="G105">
            <v>40429.65</v>
          </cell>
          <cell r="H105">
            <v>44280.85</v>
          </cell>
          <cell r="I105">
            <v>50409.68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E107">
            <v>56208.71</v>
          </cell>
          <cell r="F107">
            <v>52323.87</v>
          </cell>
          <cell r="G107">
            <v>47274.8</v>
          </cell>
          <cell r="H107">
            <v>25985.33</v>
          </cell>
          <cell r="I107">
            <v>21411.69</v>
          </cell>
        </row>
        <row r="108">
          <cell r="E108">
            <v>3699311.01</v>
          </cell>
          <cell r="F108">
            <v>1849237.38</v>
          </cell>
          <cell r="G108">
            <v>1033040.47</v>
          </cell>
          <cell r="H108">
            <v>809734.99</v>
          </cell>
          <cell r="I108">
            <v>857969.86</v>
          </cell>
        </row>
        <row r="109">
          <cell r="E109">
            <v>939040.19</v>
          </cell>
          <cell r="F109">
            <v>48836.83</v>
          </cell>
          <cell r="G109">
            <v>46335.5</v>
          </cell>
          <cell r="H109">
            <v>45585.27</v>
          </cell>
          <cell r="I109">
            <v>36059.61</v>
          </cell>
        </row>
        <row r="110">
          <cell r="E110">
            <v>171471.58</v>
          </cell>
          <cell r="F110">
            <v>92550.69</v>
          </cell>
          <cell r="G110">
            <v>44785.36</v>
          </cell>
          <cell r="H110">
            <v>513.13</v>
          </cell>
          <cell r="I110">
            <v>0</v>
          </cell>
        </row>
        <row r="111">
          <cell r="E111">
            <v>14342.6</v>
          </cell>
          <cell r="F111">
            <v>15615.63</v>
          </cell>
          <cell r="G111">
            <v>4450.24</v>
          </cell>
          <cell r="H111">
            <v>4616.29</v>
          </cell>
          <cell r="I111">
            <v>0</v>
          </cell>
        </row>
        <row r="112">
          <cell r="E112">
            <v>9447.66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E113">
            <v>59191.12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</row>
        <row r="114"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</row>
        <row r="115">
          <cell r="E115">
            <v>203384.46</v>
          </cell>
          <cell r="F115">
            <v>9926.82</v>
          </cell>
          <cell r="G115">
            <v>2156.71</v>
          </cell>
          <cell r="H115">
            <v>17873.59</v>
          </cell>
          <cell r="I115">
            <v>80589.100000000006</v>
          </cell>
        </row>
        <row r="116">
          <cell r="E116">
            <v>425621.04</v>
          </cell>
          <cell r="F116">
            <v>370176.97</v>
          </cell>
          <cell r="G116">
            <v>283259.25</v>
          </cell>
          <cell r="H116">
            <v>259468.69</v>
          </cell>
          <cell r="I116">
            <v>246701.01</v>
          </cell>
        </row>
        <row r="117">
          <cell r="E117">
            <v>6278.26</v>
          </cell>
          <cell r="F117">
            <v>5360.24</v>
          </cell>
          <cell r="G117">
            <v>5820.34</v>
          </cell>
          <cell r="H117">
            <v>7377.1</v>
          </cell>
          <cell r="I117">
            <v>4031.07</v>
          </cell>
        </row>
        <row r="118">
          <cell r="E118">
            <v>2775.32</v>
          </cell>
          <cell r="F118">
            <v>2434.8200000000002</v>
          </cell>
          <cell r="G118">
            <v>2353.23</v>
          </cell>
          <cell r="H118">
            <v>4768.63</v>
          </cell>
          <cell r="I118">
            <v>2019.33</v>
          </cell>
        </row>
        <row r="119">
          <cell r="E119">
            <v>1528.94</v>
          </cell>
          <cell r="F119">
            <v>1296.24</v>
          </cell>
          <cell r="G119">
            <v>955.85</v>
          </cell>
          <cell r="H119">
            <v>457.16</v>
          </cell>
          <cell r="I119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538.58000000000004</v>
          </cell>
        </row>
        <row r="121">
          <cell r="E121">
            <v>13507.3</v>
          </cell>
          <cell r="F121">
            <v>12020.19</v>
          </cell>
          <cell r="G121">
            <v>11620.48</v>
          </cell>
          <cell r="H121">
            <v>12473.8</v>
          </cell>
          <cell r="I121">
            <v>10049.58</v>
          </cell>
        </row>
        <row r="122"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E123">
            <v>25060.23</v>
          </cell>
          <cell r="F123">
            <v>10431.74</v>
          </cell>
          <cell r="G123">
            <v>12885.88</v>
          </cell>
          <cell r="H123">
            <v>62.12</v>
          </cell>
          <cell r="I123">
            <v>0</v>
          </cell>
        </row>
        <row r="124">
          <cell r="E124">
            <v>3699311.01</v>
          </cell>
          <cell r="F124">
            <v>370176.97</v>
          </cell>
          <cell r="G124">
            <v>283259.25</v>
          </cell>
          <cell r="H124">
            <v>253227.15</v>
          </cell>
          <cell r="I124">
            <v>246701.01</v>
          </cell>
        </row>
        <row r="125">
          <cell r="E125">
            <v>939040.19</v>
          </cell>
          <cell r="F125">
            <v>5360.24</v>
          </cell>
          <cell r="G125">
            <v>5685.68</v>
          </cell>
          <cell r="H125">
            <v>6404.87</v>
          </cell>
          <cell r="I125">
            <v>3660.02</v>
          </cell>
        </row>
        <row r="126">
          <cell r="E126">
            <v>171471.58</v>
          </cell>
          <cell r="F126">
            <v>2434.8200000000002</v>
          </cell>
          <cell r="G126">
            <v>2353.23</v>
          </cell>
          <cell r="H126">
            <v>4748.28</v>
          </cell>
          <cell r="I126">
            <v>1972.21</v>
          </cell>
        </row>
        <row r="127">
          <cell r="E127">
            <v>14342.6</v>
          </cell>
          <cell r="F127">
            <v>991.75</v>
          </cell>
          <cell r="G127">
            <v>649.44000000000005</v>
          </cell>
          <cell r="H127">
            <v>131.99</v>
          </cell>
          <cell r="I127">
            <v>0</v>
          </cell>
        </row>
        <row r="128">
          <cell r="E128">
            <v>9447.66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</row>
        <row r="129">
          <cell r="E129">
            <v>59191.12</v>
          </cell>
          <cell r="F129">
            <v>41377.19</v>
          </cell>
          <cell r="G129">
            <v>32286.03</v>
          </cell>
          <cell r="H129">
            <v>22225.14</v>
          </cell>
          <cell r="I129">
            <v>37320.69</v>
          </cell>
        </row>
        <row r="130"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</row>
        <row r="131">
          <cell r="E131">
            <v>203384.46</v>
          </cell>
          <cell r="F131">
            <v>6402.6</v>
          </cell>
          <cell r="G131">
            <v>11693.92</v>
          </cell>
          <cell r="H131">
            <v>0</v>
          </cell>
          <cell r="I131">
            <v>0</v>
          </cell>
        </row>
        <row r="132">
          <cell r="E132">
            <v>1798029.53</v>
          </cell>
          <cell r="F132">
            <v>1459777.55</v>
          </cell>
          <cell r="G132">
            <v>1851993.92</v>
          </cell>
          <cell r="H132">
            <v>714763.94</v>
          </cell>
          <cell r="I132">
            <v>528664.59</v>
          </cell>
        </row>
        <row r="133">
          <cell r="E133">
            <v>83671.48</v>
          </cell>
          <cell r="F133">
            <v>93203.19</v>
          </cell>
          <cell r="G133">
            <v>189284.26</v>
          </cell>
          <cell r="H133">
            <v>159283.4</v>
          </cell>
          <cell r="I133">
            <v>168683.22</v>
          </cell>
        </row>
        <row r="134">
          <cell r="E134">
            <v>4327.1000000000004</v>
          </cell>
          <cell r="F134">
            <v>4080.13</v>
          </cell>
          <cell r="G134">
            <v>4305.8500000000004</v>
          </cell>
          <cell r="H134">
            <v>4552.84</v>
          </cell>
          <cell r="I134">
            <v>6692.74</v>
          </cell>
        </row>
        <row r="135">
          <cell r="E135">
            <v>10488.42</v>
          </cell>
          <cell r="F135">
            <v>7729.2</v>
          </cell>
          <cell r="G135">
            <v>70889.98</v>
          </cell>
          <cell r="H135">
            <v>53113.08</v>
          </cell>
          <cell r="I135">
            <v>805.98</v>
          </cell>
        </row>
        <row r="136">
          <cell r="E136">
            <v>5613.39</v>
          </cell>
          <cell r="F136">
            <v>4482.87</v>
          </cell>
          <cell r="G136">
            <v>0</v>
          </cell>
          <cell r="H136">
            <v>0</v>
          </cell>
          <cell r="I136">
            <v>536.78</v>
          </cell>
        </row>
        <row r="137">
          <cell r="E137">
            <v>16922.310000000001</v>
          </cell>
          <cell r="F137">
            <v>12618.05</v>
          </cell>
          <cell r="G137">
            <v>19944.7</v>
          </cell>
          <cell r="H137">
            <v>19146.830000000002</v>
          </cell>
          <cell r="I137">
            <v>18618.419999999998</v>
          </cell>
        </row>
        <row r="138">
          <cell r="E138">
            <v>0</v>
          </cell>
          <cell r="F138">
            <v>486.34</v>
          </cell>
          <cell r="G138">
            <v>777.84</v>
          </cell>
          <cell r="H138">
            <v>751.81</v>
          </cell>
          <cell r="I138">
            <v>725.81</v>
          </cell>
        </row>
        <row r="139">
          <cell r="E139">
            <v>97267.38</v>
          </cell>
          <cell r="F139">
            <v>98085.91</v>
          </cell>
          <cell r="G139">
            <v>102620.98</v>
          </cell>
          <cell r="H139">
            <v>92086.35</v>
          </cell>
          <cell r="I139">
            <v>84281.12</v>
          </cell>
        </row>
        <row r="140">
          <cell r="E140">
            <v>3699311.01</v>
          </cell>
          <cell r="F140">
            <v>1459213.93</v>
          </cell>
          <cell r="G140">
            <v>1833407.86</v>
          </cell>
          <cell r="H140">
            <v>557131.62</v>
          </cell>
          <cell r="I140">
            <v>527047.07999999996</v>
          </cell>
        </row>
        <row r="141">
          <cell r="E141">
            <v>939040.19</v>
          </cell>
          <cell r="F141">
            <v>80239.86</v>
          </cell>
          <cell r="G141">
            <v>144160.35</v>
          </cell>
          <cell r="H141">
            <v>123292.79</v>
          </cell>
          <cell r="I141">
            <v>144665.62</v>
          </cell>
        </row>
        <row r="142">
          <cell r="E142">
            <v>171471.58</v>
          </cell>
          <cell r="F142">
            <v>4080.13</v>
          </cell>
          <cell r="G142">
            <v>4305.8500000000004</v>
          </cell>
          <cell r="H142">
            <v>3782.17</v>
          </cell>
          <cell r="I142">
            <v>6667.73</v>
          </cell>
        </row>
        <row r="143">
          <cell r="E143">
            <v>14342.6</v>
          </cell>
          <cell r="F143">
            <v>7729.2</v>
          </cell>
          <cell r="G143">
            <v>3562.45</v>
          </cell>
          <cell r="H143">
            <v>4114.78</v>
          </cell>
          <cell r="I143">
            <v>392.42</v>
          </cell>
        </row>
        <row r="144">
          <cell r="E144">
            <v>9447.66</v>
          </cell>
          <cell r="F144">
            <v>4482.87</v>
          </cell>
          <cell r="G144">
            <v>0</v>
          </cell>
          <cell r="H144">
            <v>0</v>
          </cell>
          <cell r="I144">
            <v>0</v>
          </cell>
        </row>
        <row r="145">
          <cell r="E145">
            <v>59191.12</v>
          </cell>
          <cell r="F145">
            <v>12020.19</v>
          </cell>
          <cell r="G145">
            <v>10697.41</v>
          </cell>
          <cell r="H145">
            <v>11601.41</v>
          </cell>
          <cell r="I145">
            <v>9395.9699999999993</v>
          </cell>
        </row>
        <row r="146"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E147">
            <v>203384.46</v>
          </cell>
          <cell r="F147">
            <v>6402.6</v>
          </cell>
          <cell r="G147">
            <v>11693.92</v>
          </cell>
          <cell r="H147">
            <v>0</v>
          </cell>
          <cell r="I147">
            <v>0</v>
          </cell>
        </row>
        <row r="148">
          <cell r="E148">
            <v>1085901.32</v>
          </cell>
          <cell r="F148">
            <v>962107.72</v>
          </cell>
          <cell r="G148">
            <v>519502.13</v>
          </cell>
          <cell r="H148">
            <v>471095.2</v>
          </cell>
          <cell r="I148">
            <v>395045.71</v>
          </cell>
        </row>
        <row r="149">
          <cell r="E149">
            <v>664984</v>
          </cell>
          <cell r="F149">
            <v>534719.28</v>
          </cell>
          <cell r="G149">
            <v>410292.38</v>
          </cell>
          <cell r="H149">
            <v>381604.13</v>
          </cell>
          <cell r="I149">
            <v>498244.73</v>
          </cell>
        </row>
        <row r="150">
          <cell r="E150">
            <v>12684.71</v>
          </cell>
          <cell r="F150">
            <v>6639.07</v>
          </cell>
          <cell r="G150">
            <v>2243.71</v>
          </cell>
          <cell r="H150">
            <v>2194.73</v>
          </cell>
          <cell r="I150">
            <v>544.54</v>
          </cell>
        </row>
        <row r="151">
          <cell r="E151">
            <v>2157.7199999999998</v>
          </cell>
          <cell r="F151">
            <v>2026.96</v>
          </cell>
          <cell r="G151">
            <v>1519.32</v>
          </cell>
          <cell r="H151">
            <v>614.05999999999995</v>
          </cell>
          <cell r="I151">
            <v>0</v>
          </cell>
        </row>
        <row r="152"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E153">
            <v>11516.18</v>
          </cell>
          <cell r="F153">
            <v>7597.93</v>
          </cell>
          <cell r="G153">
            <v>0</v>
          </cell>
          <cell r="H153">
            <v>0</v>
          </cell>
          <cell r="I153">
            <v>0</v>
          </cell>
        </row>
        <row r="154">
          <cell r="E154">
            <v>1122.18</v>
          </cell>
          <cell r="F154">
            <v>432.06</v>
          </cell>
          <cell r="G154">
            <v>0</v>
          </cell>
          <cell r="H154">
            <v>0</v>
          </cell>
          <cell r="I154">
            <v>0</v>
          </cell>
        </row>
        <row r="155">
          <cell r="E155">
            <v>99178.68</v>
          </cell>
          <cell r="F155">
            <v>80671.81</v>
          </cell>
          <cell r="G155">
            <v>3410.93</v>
          </cell>
          <cell r="H155">
            <v>2229.84</v>
          </cell>
          <cell r="I155">
            <v>1943.54</v>
          </cell>
        </row>
        <row r="156">
          <cell r="E156">
            <v>3699311.01</v>
          </cell>
          <cell r="F156">
            <v>960284.54</v>
          </cell>
          <cell r="G156">
            <v>488937.45</v>
          </cell>
          <cell r="H156">
            <v>459199.75</v>
          </cell>
          <cell r="I156">
            <v>395045.71</v>
          </cell>
        </row>
        <row r="157">
          <cell r="E157">
            <v>939040.19</v>
          </cell>
          <cell r="F157">
            <v>472785.4</v>
          </cell>
          <cell r="G157">
            <v>395532.84</v>
          </cell>
          <cell r="H157">
            <v>374819.71</v>
          </cell>
          <cell r="I157">
            <v>495696.5</v>
          </cell>
        </row>
        <row r="158">
          <cell r="E158">
            <v>171471.58</v>
          </cell>
          <cell r="F158">
            <v>6639.07</v>
          </cell>
          <cell r="G158">
            <v>2243.71</v>
          </cell>
          <cell r="H158">
            <v>2194.73</v>
          </cell>
          <cell r="I158">
            <v>544.54</v>
          </cell>
        </row>
        <row r="159">
          <cell r="E159">
            <v>14342.6</v>
          </cell>
          <cell r="F159">
            <v>2026.96</v>
          </cell>
          <cell r="G159">
            <v>1519.32</v>
          </cell>
          <cell r="H159">
            <v>614.05999999999995</v>
          </cell>
          <cell r="I159">
            <v>0</v>
          </cell>
        </row>
        <row r="160">
          <cell r="E160">
            <v>9447.66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1">
          <cell r="E161">
            <v>59191.12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</row>
        <row r="162">
          <cell r="E162">
            <v>0</v>
          </cell>
          <cell r="F162">
            <v>486.34</v>
          </cell>
          <cell r="G162">
            <v>777.84</v>
          </cell>
          <cell r="H162">
            <v>751.81</v>
          </cell>
          <cell r="I162">
            <v>725.81</v>
          </cell>
        </row>
        <row r="163">
          <cell r="E163">
            <v>203384.46</v>
          </cell>
          <cell r="F163">
            <v>82366.97</v>
          </cell>
          <cell r="G163">
            <v>83801.119999999995</v>
          </cell>
          <cell r="H163">
            <v>77752.800000000003</v>
          </cell>
          <cell r="I163">
            <v>76357.84</v>
          </cell>
        </row>
        <row r="164">
          <cell r="E164">
            <v>1101754.6399999999</v>
          </cell>
          <cell r="F164">
            <v>917687.29</v>
          </cell>
          <cell r="G164">
            <v>1110777.56</v>
          </cell>
          <cell r="H164">
            <v>1295713.08</v>
          </cell>
          <cell r="I164">
            <v>1164437.1200000001</v>
          </cell>
        </row>
        <row r="165">
          <cell r="E165">
            <v>797467.87</v>
          </cell>
          <cell r="F165">
            <v>634132.77</v>
          </cell>
          <cell r="G165">
            <v>1018752.86</v>
          </cell>
          <cell r="H165">
            <v>1042484.64</v>
          </cell>
          <cell r="I165">
            <v>988946.83</v>
          </cell>
        </row>
        <row r="166">
          <cell r="E166">
            <v>127931.77</v>
          </cell>
          <cell r="F166">
            <v>52766.25</v>
          </cell>
          <cell r="G166">
            <v>629460.12</v>
          </cell>
          <cell r="H166">
            <v>760678.59</v>
          </cell>
          <cell r="I166">
            <v>692059.39</v>
          </cell>
        </row>
        <row r="167">
          <cell r="E167">
            <v>0</v>
          </cell>
          <cell r="F167">
            <v>0</v>
          </cell>
          <cell r="G167">
            <v>300.64999999999998</v>
          </cell>
          <cell r="H167">
            <v>1483.85</v>
          </cell>
          <cell r="I167">
            <v>0</v>
          </cell>
        </row>
        <row r="168">
          <cell r="E168">
            <v>354421.74</v>
          </cell>
          <cell r="F168">
            <v>166701.16</v>
          </cell>
          <cell r="G168">
            <v>102328.76</v>
          </cell>
          <cell r="H168">
            <v>39321.08</v>
          </cell>
          <cell r="I168">
            <v>20266.89</v>
          </cell>
        </row>
        <row r="169">
          <cell r="E169">
            <v>14483.34</v>
          </cell>
          <cell r="F169">
            <v>12427.17</v>
          </cell>
          <cell r="G169">
            <v>14543.91</v>
          </cell>
          <cell r="H169">
            <v>13746.32</v>
          </cell>
          <cell r="I169">
            <v>13343.14</v>
          </cell>
        </row>
        <row r="170">
          <cell r="E170">
            <v>0</v>
          </cell>
          <cell r="F170">
            <v>0</v>
          </cell>
          <cell r="G170">
            <v>95.62</v>
          </cell>
          <cell r="H170">
            <v>258.12</v>
          </cell>
          <cell r="I170">
            <v>54.81</v>
          </cell>
        </row>
        <row r="171">
          <cell r="E171">
            <v>2121.92</v>
          </cell>
          <cell r="F171">
            <v>728.98</v>
          </cell>
          <cell r="G171">
            <v>5657.18</v>
          </cell>
          <cell r="H171">
            <v>8242.8700000000008</v>
          </cell>
          <cell r="I171">
            <v>8275.84</v>
          </cell>
        </row>
        <row r="172">
          <cell r="E172">
            <v>3699311.01</v>
          </cell>
          <cell r="F172">
            <v>895962.46</v>
          </cell>
          <cell r="G172">
            <v>1073871.6000000001</v>
          </cell>
          <cell r="H172">
            <v>1287865.1499999999</v>
          </cell>
          <cell r="I172">
            <v>1160523.95</v>
          </cell>
        </row>
        <row r="173">
          <cell r="E173">
            <v>939040.19</v>
          </cell>
          <cell r="F173">
            <v>610421.76000000001</v>
          </cell>
          <cell r="G173">
            <v>928029.5</v>
          </cell>
          <cell r="H173">
            <v>960605.29</v>
          </cell>
          <cell r="I173">
            <v>844636.52</v>
          </cell>
        </row>
        <row r="174">
          <cell r="E174">
            <v>171471.58</v>
          </cell>
          <cell r="F174">
            <v>29746.41</v>
          </cell>
          <cell r="G174">
            <v>558917.92000000004</v>
          </cell>
          <cell r="H174">
            <v>687173.58</v>
          </cell>
          <cell r="I174">
            <v>633583.06999999995</v>
          </cell>
        </row>
        <row r="175">
          <cell r="E175">
            <v>14342.6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</row>
        <row r="176">
          <cell r="E176">
            <v>9447.66</v>
          </cell>
          <cell r="F176">
            <v>80467.47</v>
          </cell>
          <cell r="G176">
            <v>61950.61</v>
          </cell>
          <cell r="H176">
            <v>20369.36</v>
          </cell>
          <cell r="I176">
            <v>10045.15</v>
          </cell>
        </row>
        <row r="177">
          <cell r="E177">
            <v>59191.12</v>
          </cell>
          <cell r="F177">
            <v>8900.06</v>
          </cell>
          <cell r="G177">
            <v>13576.75</v>
          </cell>
          <cell r="H177">
            <v>13746.32</v>
          </cell>
          <cell r="I177">
            <v>13343.14</v>
          </cell>
        </row>
        <row r="178">
          <cell r="E178">
            <v>0</v>
          </cell>
          <cell r="F178">
            <v>399.11</v>
          </cell>
          <cell r="G178">
            <v>0</v>
          </cell>
          <cell r="H178">
            <v>0</v>
          </cell>
          <cell r="I178">
            <v>0</v>
          </cell>
        </row>
        <row r="179">
          <cell r="E179">
            <v>203384.46</v>
          </cell>
          <cell r="F179">
            <v>74070.03</v>
          </cell>
          <cell r="G179">
            <v>2909.02</v>
          </cell>
          <cell r="H179">
            <v>2046.84</v>
          </cell>
          <cell r="I179">
            <v>1943.54</v>
          </cell>
        </row>
        <row r="180">
          <cell r="E180">
            <v>5294333.09</v>
          </cell>
          <cell r="F180">
            <v>4651308.99</v>
          </cell>
          <cell r="G180">
            <v>3939387.25</v>
          </cell>
          <cell r="H180">
            <v>3643816.24</v>
          </cell>
          <cell r="I180">
            <v>3300801.36</v>
          </cell>
        </row>
        <row r="181">
          <cell r="E181">
            <v>1613133.51</v>
          </cell>
          <cell r="F181">
            <v>1244877.1499999999</v>
          </cell>
          <cell r="G181">
            <v>751458.85</v>
          </cell>
          <cell r="H181">
            <v>379519.62</v>
          </cell>
          <cell r="I181">
            <v>403551.7</v>
          </cell>
        </row>
        <row r="182">
          <cell r="E182">
            <v>99290.240000000005</v>
          </cell>
          <cell r="F182">
            <v>95279.44</v>
          </cell>
          <cell r="G182">
            <v>92961.18</v>
          </cell>
          <cell r="H182">
            <v>73312.179999999993</v>
          </cell>
          <cell r="I182">
            <v>47922.32</v>
          </cell>
        </row>
        <row r="183">
          <cell r="E183">
            <v>207333.37</v>
          </cell>
          <cell r="F183">
            <v>171380.35</v>
          </cell>
          <cell r="G183">
            <v>164574.25</v>
          </cell>
          <cell r="H183">
            <v>20531.400000000001</v>
          </cell>
          <cell r="I183">
            <v>19220.87</v>
          </cell>
        </row>
        <row r="184"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</row>
        <row r="185"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</row>
        <row r="186">
          <cell r="E186">
            <v>4401.29</v>
          </cell>
          <cell r="F186">
            <v>4163.29</v>
          </cell>
          <cell r="G186">
            <v>3965.52</v>
          </cell>
          <cell r="H186">
            <v>6013.27</v>
          </cell>
          <cell r="I186">
            <v>5307.72</v>
          </cell>
        </row>
        <row r="187">
          <cell r="E187">
            <v>510474.65</v>
          </cell>
          <cell r="F187">
            <v>313958.94</v>
          </cell>
          <cell r="G187">
            <v>216108.61</v>
          </cell>
          <cell r="H187">
            <v>205989.28</v>
          </cell>
          <cell r="I187">
            <v>263850.18</v>
          </cell>
        </row>
        <row r="188">
          <cell r="E188">
            <v>3699311.01</v>
          </cell>
          <cell r="F188">
            <v>4238376.04</v>
          </cell>
          <cell r="G188">
            <v>3858419.22</v>
          </cell>
          <cell r="H188">
            <v>3328653.9</v>
          </cell>
          <cell r="I188">
            <v>3261825.55</v>
          </cell>
        </row>
        <row r="189">
          <cell r="E189">
            <v>939040.19</v>
          </cell>
          <cell r="F189">
            <v>1096927.3799999999</v>
          </cell>
          <cell r="G189">
            <v>677898.77</v>
          </cell>
          <cell r="H189">
            <v>324429.98</v>
          </cell>
          <cell r="I189">
            <v>244394.5</v>
          </cell>
        </row>
        <row r="190">
          <cell r="E190">
            <v>171471.58</v>
          </cell>
          <cell r="F190">
            <v>101163.28</v>
          </cell>
          <cell r="G190">
            <v>104870.33</v>
          </cell>
          <cell r="H190">
            <v>81188.19</v>
          </cell>
          <cell r="I190">
            <v>50513.47</v>
          </cell>
        </row>
        <row r="191">
          <cell r="E191">
            <v>14342.6</v>
          </cell>
          <cell r="F191">
            <v>103397.65</v>
          </cell>
          <cell r="G191">
            <v>104337.54</v>
          </cell>
          <cell r="H191">
            <v>11190.19</v>
          </cell>
          <cell r="I191">
            <v>8354.7000000000007</v>
          </cell>
        </row>
        <row r="192">
          <cell r="E192">
            <v>9447.66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</row>
        <row r="193">
          <cell r="E193">
            <v>59191.12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</row>
        <row r="195">
          <cell r="E195">
            <v>203384.46</v>
          </cell>
          <cell r="F195">
            <v>728.98</v>
          </cell>
          <cell r="G195">
            <v>5657.18</v>
          </cell>
          <cell r="H195">
            <v>8242.8700000000008</v>
          </cell>
          <cell r="I195">
            <v>8275.84</v>
          </cell>
        </row>
      </sheetData>
      <sheetData sheetId="2" refreshError="1"/>
      <sheetData sheetId="3">
        <row r="4">
          <cell r="R4">
            <v>94260.64</v>
          </cell>
        </row>
        <row r="5">
          <cell r="R5">
            <v>33798.839999999997</v>
          </cell>
        </row>
        <row r="6">
          <cell r="R6">
            <v>0</v>
          </cell>
        </row>
        <row r="7">
          <cell r="R7">
            <v>33489.49</v>
          </cell>
        </row>
        <row r="8">
          <cell r="R8">
            <v>0</v>
          </cell>
        </row>
        <row r="9">
          <cell r="R9">
            <v>7742.7599999999984</v>
          </cell>
        </row>
        <row r="11">
          <cell r="R11">
            <v>94260.59</v>
          </cell>
        </row>
        <row r="12">
          <cell r="R12">
            <v>16624.27</v>
          </cell>
        </row>
        <row r="13">
          <cell r="R13">
            <v>0</v>
          </cell>
        </row>
        <row r="14">
          <cell r="R14">
            <v>0</v>
          </cell>
        </row>
        <row r="15">
          <cell r="R15">
            <v>0</v>
          </cell>
        </row>
        <row r="16">
          <cell r="R16">
            <v>958.72</v>
          </cell>
        </row>
        <row r="18">
          <cell r="R18">
            <v>6174427.8899999987</v>
          </cell>
        </row>
        <row r="19">
          <cell r="R19">
            <v>1347137.2600000007</v>
          </cell>
        </row>
        <row r="20">
          <cell r="R20">
            <v>1553724.0499999998</v>
          </cell>
        </row>
        <row r="21">
          <cell r="R21">
            <v>308650.10999999975</v>
          </cell>
        </row>
        <row r="22">
          <cell r="R22">
            <v>0</v>
          </cell>
        </row>
        <row r="23">
          <cell r="R23">
            <v>2824365.9299999997</v>
          </cell>
        </row>
        <row r="25">
          <cell r="R25">
            <v>4983647.2199999942</v>
          </cell>
        </row>
        <row r="26">
          <cell r="R26">
            <v>734020.97000000044</v>
          </cell>
        </row>
        <row r="27">
          <cell r="R27">
            <v>1295851.7999999998</v>
          </cell>
        </row>
        <row r="28">
          <cell r="R28">
            <v>89117.689999999973</v>
          </cell>
        </row>
        <row r="29">
          <cell r="R29">
            <v>0</v>
          </cell>
        </row>
        <row r="30">
          <cell r="R30">
            <v>2033031.0599999991</v>
          </cell>
        </row>
        <row r="32">
          <cell r="R32">
            <v>3858610.2299999986</v>
          </cell>
        </row>
        <row r="33">
          <cell r="R33">
            <v>2259015.1700000009</v>
          </cell>
        </row>
        <row r="34">
          <cell r="R34">
            <v>371058.54000000004</v>
          </cell>
        </row>
        <row r="35">
          <cell r="R35">
            <v>7582725.6199999899</v>
          </cell>
        </row>
        <row r="36">
          <cell r="R36">
            <v>0</v>
          </cell>
        </row>
        <row r="37">
          <cell r="R37">
            <v>548524.05999999994</v>
          </cell>
        </row>
        <row r="39">
          <cell r="R39">
            <v>4359203.0699999994</v>
          </cell>
        </row>
        <row r="40">
          <cell r="R40">
            <v>1752899.7900000007</v>
          </cell>
        </row>
        <row r="41">
          <cell r="R41">
            <v>348813.20999999996</v>
          </cell>
        </row>
        <row r="42">
          <cell r="R42">
            <v>3380950.2800000031</v>
          </cell>
        </row>
        <row r="43">
          <cell r="R43">
            <v>0</v>
          </cell>
        </row>
        <row r="44">
          <cell r="R44">
            <v>866243.47000000009</v>
          </cell>
        </row>
        <row r="46">
          <cell r="R46">
            <v>1755050.3400000005</v>
          </cell>
        </row>
        <row r="47">
          <cell r="R47">
            <v>609371.19999999995</v>
          </cell>
        </row>
        <row r="48">
          <cell r="R48">
            <v>1047981.34</v>
          </cell>
        </row>
        <row r="49">
          <cell r="R49">
            <v>90967.13</v>
          </cell>
        </row>
        <row r="50">
          <cell r="R50">
            <v>0</v>
          </cell>
        </row>
        <row r="51">
          <cell r="R51">
            <v>740986.52000000014</v>
          </cell>
        </row>
        <row r="53">
          <cell r="R53">
            <v>1373486.2400000019</v>
          </cell>
        </row>
        <row r="54">
          <cell r="R54">
            <v>402155.62000000017</v>
          </cell>
        </row>
        <row r="55">
          <cell r="R55">
            <v>1047986.8100000002</v>
          </cell>
        </row>
        <row r="56">
          <cell r="R56">
            <v>111249.60999999999</v>
          </cell>
        </row>
        <row r="57">
          <cell r="R57">
            <v>0</v>
          </cell>
        </row>
        <row r="58">
          <cell r="R58">
            <v>599599.24000000022</v>
          </cell>
        </row>
        <row r="60">
          <cell r="R60">
            <v>3123976.0800000005</v>
          </cell>
        </row>
        <row r="61">
          <cell r="R61">
            <v>5564156.1700000027</v>
          </cell>
        </row>
        <row r="62">
          <cell r="R62">
            <v>3313391.07</v>
          </cell>
        </row>
        <row r="63">
          <cell r="R63">
            <v>4877.59</v>
          </cell>
        </row>
        <row r="64">
          <cell r="R64">
            <v>0</v>
          </cell>
        </row>
        <row r="65">
          <cell r="R65">
            <v>432263.18999999989</v>
          </cell>
        </row>
        <row r="67">
          <cell r="R67">
            <v>3306863.1300000036</v>
          </cell>
        </row>
        <row r="68">
          <cell r="R68">
            <v>5445645.4899999984</v>
          </cell>
        </row>
        <row r="69">
          <cell r="R69">
            <v>3142054.6899999985</v>
          </cell>
        </row>
        <row r="70">
          <cell r="R70">
            <v>1055.5900000000001</v>
          </cell>
        </row>
        <row r="71">
          <cell r="R71">
            <v>0</v>
          </cell>
        </row>
        <row r="72">
          <cell r="R72">
            <v>348964.54000000021</v>
          </cell>
        </row>
        <row r="74">
          <cell r="R74">
            <v>519268.67000000016</v>
          </cell>
        </row>
        <row r="75">
          <cell r="R75">
            <v>2153399.84</v>
          </cell>
        </row>
        <row r="76">
          <cell r="R76">
            <v>1409456.12</v>
          </cell>
        </row>
        <row r="77">
          <cell r="R77">
            <v>1082.45</v>
          </cell>
        </row>
        <row r="78">
          <cell r="R78">
            <v>0</v>
          </cell>
        </row>
        <row r="79">
          <cell r="R79">
            <v>47726.689999999995</v>
          </cell>
        </row>
        <row r="81">
          <cell r="R81">
            <v>362332.89999999973</v>
          </cell>
        </row>
        <row r="82">
          <cell r="R82">
            <v>502522.14999999997</v>
          </cell>
        </row>
        <row r="83">
          <cell r="R83">
            <v>1539183.75</v>
          </cell>
        </row>
        <row r="84">
          <cell r="R84">
            <v>552.72</v>
          </cell>
        </row>
        <row r="85">
          <cell r="R85">
            <v>0</v>
          </cell>
        </row>
        <row r="86">
          <cell r="R86">
            <v>25294.35999999999</v>
          </cell>
        </row>
        <row r="88">
          <cell r="R88">
            <v>1610323.610000001</v>
          </cell>
        </row>
        <row r="89">
          <cell r="R89">
            <v>147828.44999999998</v>
          </cell>
        </row>
        <row r="90">
          <cell r="R90">
            <v>17021.87</v>
          </cell>
        </row>
        <row r="91">
          <cell r="R91">
            <v>26644.739999999998</v>
          </cell>
        </row>
        <row r="92">
          <cell r="R92">
            <v>0</v>
          </cell>
        </row>
        <row r="93">
          <cell r="R93">
            <v>236429.97000000003</v>
          </cell>
        </row>
        <row r="95">
          <cell r="R95">
            <v>593045.5499999997</v>
          </cell>
        </row>
        <row r="96">
          <cell r="R96">
            <v>44098.45</v>
          </cell>
        </row>
        <row r="97">
          <cell r="R97">
            <v>8368.0300000000007</v>
          </cell>
        </row>
        <row r="98">
          <cell r="R98">
            <v>17779.480000000003</v>
          </cell>
        </row>
        <row r="99">
          <cell r="R99">
            <v>0</v>
          </cell>
        </row>
        <row r="100">
          <cell r="R100">
            <v>84259.12</v>
          </cell>
        </row>
        <row r="102">
          <cell r="R102">
            <v>775301.16999999993</v>
          </cell>
        </row>
        <row r="103">
          <cell r="R103">
            <v>20813.209999999995</v>
          </cell>
        </row>
        <row r="104">
          <cell r="R104">
            <v>456.03</v>
          </cell>
        </row>
        <row r="105">
          <cell r="R105">
            <v>5196.7400000000007</v>
          </cell>
        </row>
        <row r="106">
          <cell r="R106">
            <v>0</v>
          </cell>
        </row>
        <row r="107">
          <cell r="R107">
            <v>73630.16</v>
          </cell>
        </row>
        <row r="109">
          <cell r="R109">
            <v>798465.42999999935</v>
          </cell>
        </row>
        <row r="110">
          <cell r="R110">
            <v>10326.530000000001</v>
          </cell>
        </row>
        <row r="111">
          <cell r="R111">
            <v>0</v>
          </cell>
        </row>
        <row r="112">
          <cell r="R112">
            <v>3966.4399999999996</v>
          </cell>
        </row>
        <row r="113">
          <cell r="R113">
            <v>0</v>
          </cell>
        </row>
        <row r="114">
          <cell r="R114">
            <v>71048.739999999991</v>
          </cell>
        </row>
        <row r="116">
          <cell r="R116">
            <v>626648.43000000017</v>
          </cell>
        </row>
        <row r="117">
          <cell r="R117">
            <v>38588.61</v>
          </cell>
        </row>
        <row r="118">
          <cell r="R118">
            <v>454.39</v>
          </cell>
        </row>
        <row r="119">
          <cell r="R119">
            <v>15576.500000000002</v>
          </cell>
        </row>
        <row r="120">
          <cell r="R120">
            <v>0</v>
          </cell>
        </row>
        <row r="121">
          <cell r="R121">
            <v>140430.03000000003</v>
          </cell>
        </row>
        <row r="123">
          <cell r="R123">
            <v>497232.98999999993</v>
          </cell>
        </row>
        <row r="124">
          <cell r="R124">
            <v>29258.33</v>
          </cell>
        </row>
        <row r="125">
          <cell r="R125">
            <v>0</v>
          </cell>
        </row>
        <row r="126">
          <cell r="R126">
            <v>1243.3499999999999</v>
          </cell>
        </row>
        <row r="127">
          <cell r="R127">
            <v>0</v>
          </cell>
        </row>
        <row r="128">
          <cell r="R128">
            <v>143566.72000000003</v>
          </cell>
        </row>
        <row r="130">
          <cell r="R130">
            <v>320651.56999999989</v>
          </cell>
        </row>
        <row r="131">
          <cell r="R131">
            <v>304312.05000000022</v>
          </cell>
        </row>
        <row r="132">
          <cell r="R132">
            <v>87244.659999999989</v>
          </cell>
        </row>
        <row r="133">
          <cell r="R133">
            <v>16021.62</v>
          </cell>
        </row>
        <row r="134">
          <cell r="R134">
            <v>0</v>
          </cell>
        </row>
        <row r="135">
          <cell r="R135">
            <v>32082.21</v>
          </cell>
        </row>
        <row r="137">
          <cell r="R137">
            <v>339308.53000000009</v>
          </cell>
        </row>
        <row r="138">
          <cell r="R138">
            <v>273608.50000000006</v>
          </cell>
        </row>
        <row r="139">
          <cell r="R139">
            <v>0</v>
          </cell>
        </row>
        <row r="140">
          <cell r="R140">
            <v>9027.4399999999987</v>
          </cell>
        </row>
        <row r="141">
          <cell r="R141">
            <v>0</v>
          </cell>
        </row>
        <row r="142">
          <cell r="R142">
            <v>9141.510000000002</v>
          </cell>
        </row>
        <row r="144">
          <cell r="R144">
            <v>928163.11999999988</v>
          </cell>
        </row>
        <row r="145">
          <cell r="R145">
            <v>235692.96000000011</v>
          </cell>
        </row>
        <row r="146">
          <cell r="R146">
            <v>155340.05999999997</v>
          </cell>
        </row>
        <row r="147">
          <cell r="R147">
            <v>28139.120000000003</v>
          </cell>
        </row>
        <row r="148">
          <cell r="R148">
            <v>0</v>
          </cell>
        </row>
        <row r="149">
          <cell r="R149">
            <v>58807.710000000006</v>
          </cell>
        </row>
        <row r="151">
          <cell r="R151">
            <v>1031707.1800000005</v>
          </cell>
        </row>
        <row r="152">
          <cell r="R152">
            <v>146518.9</v>
          </cell>
        </row>
        <row r="153">
          <cell r="R153">
            <v>1863.05</v>
          </cell>
        </row>
        <row r="154">
          <cell r="R154">
            <v>2971.16</v>
          </cell>
        </row>
        <row r="155">
          <cell r="R155">
            <v>0</v>
          </cell>
        </row>
        <row r="156">
          <cell r="R156">
            <v>15948.59</v>
          </cell>
        </row>
        <row r="158">
          <cell r="R158">
            <v>2290557.8599999985</v>
          </cell>
        </row>
        <row r="159">
          <cell r="R159">
            <v>931153.77999999968</v>
          </cell>
        </row>
        <row r="160">
          <cell r="R160">
            <v>577249.65999999968</v>
          </cell>
        </row>
        <row r="161">
          <cell r="R161">
            <v>959665.60999999987</v>
          </cell>
        </row>
        <row r="162">
          <cell r="R162">
            <v>0</v>
          </cell>
        </row>
        <row r="163">
          <cell r="R163">
            <v>170747.25000000009</v>
          </cell>
        </row>
        <row r="165">
          <cell r="R165">
            <v>2173331.1700000023</v>
          </cell>
        </row>
        <row r="166">
          <cell r="R166">
            <v>636878.4500000003</v>
          </cell>
        </row>
        <row r="167">
          <cell r="R167">
            <v>130960.25000000001</v>
          </cell>
        </row>
        <row r="168">
          <cell r="R168">
            <v>380084.33</v>
          </cell>
        </row>
        <row r="169">
          <cell r="R169">
            <v>0</v>
          </cell>
        </row>
        <row r="170">
          <cell r="R170">
            <v>79292.189999999973</v>
          </cell>
        </row>
        <row r="172">
          <cell r="R172">
            <v>10833420.920000002</v>
          </cell>
        </row>
        <row r="173">
          <cell r="R173">
            <v>6008748.469999996</v>
          </cell>
        </row>
        <row r="174">
          <cell r="R174">
            <v>686180.69</v>
          </cell>
        </row>
        <row r="175">
          <cell r="R175">
            <v>271008.75000000012</v>
          </cell>
        </row>
        <row r="176">
          <cell r="R176">
            <v>0</v>
          </cell>
        </row>
        <row r="177">
          <cell r="R177">
            <v>556699.54000000015</v>
          </cell>
        </row>
        <row r="179">
          <cell r="R179">
            <v>10681000.960000003</v>
          </cell>
        </row>
        <row r="180">
          <cell r="R180">
            <v>4729577.1599999974</v>
          </cell>
        </row>
        <row r="181">
          <cell r="R181">
            <v>284853.08000000007</v>
          </cell>
        </row>
        <row r="182">
          <cell r="R182">
            <v>66316.11</v>
          </cell>
        </row>
        <row r="183">
          <cell r="R183">
            <v>0</v>
          </cell>
        </row>
        <row r="184">
          <cell r="R184">
            <v>330730.02999999985</v>
          </cell>
        </row>
        <row r="186">
          <cell r="R186">
            <v>1069615.46</v>
          </cell>
        </row>
        <row r="187">
          <cell r="R187">
            <v>1080351.2900000005</v>
          </cell>
        </row>
        <row r="188">
          <cell r="R188">
            <v>287667.49999999994</v>
          </cell>
        </row>
        <row r="189">
          <cell r="R189">
            <v>5240268.5100000044</v>
          </cell>
        </row>
        <row r="190">
          <cell r="R190">
            <v>0</v>
          </cell>
        </row>
        <row r="191">
          <cell r="R191">
            <v>287659.55</v>
          </cell>
        </row>
        <row r="193">
          <cell r="R193">
            <v>719166.47000000009</v>
          </cell>
        </row>
        <row r="194">
          <cell r="R194">
            <v>550733.80999999982</v>
          </cell>
        </row>
        <row r="195">
          <cell r="R195">
            <v>188877.82</v>
          </cell>
        </row>
        <row r="196">
          <cell r="R196">
            <v>2566031.2099999948</v>
          </cell>
        </row>
        <row r="197">
          <cell r="R197">
            <v>0</v>
          </cell>
        </row>
        <row r="198">
          <cell r="R198">
            <v>86902.069999999978</v>
          </cell>
        </row>
        <row r="200">
          <cell r="R200">
            <v>882684.55</v>
          </cell>
        </row>
        <row r="201">
          <cell r="R201">
            <v>2218098.4800000004</v>
          </cell>
        </row>
        <row r="202">
          <cell r="R202">
            <v>0</v>
          </cell>
        </row>
        <row r="203">
          <cell r="R203">
            <v>3134176.7099999981</v>
          </cell>
        </row>
        <row r="204">
          <cell r="R204">
            <v>0</v>
          </cell>
        </row>
        <row r="205">
          <cell r="R205">
            <v>214901.91999999998</v>
          </cell>
        </row>
        <row r="207">
          <cell r="R207">
            <v>218433.60000000006</v>
          </cell>
        </row>
        <row r="208">
          <cell r="R208">
            <v>1484539.73</v>
          </cell>
        </row>
        <row r="209">
          <cell r="R209">
            <v>0</v>
          </cell>
        </row>
        <row r="210">
          <cell r="R210">
            <v>1146322.32</v>
          </cell>
        </row>
        <row r="211">
          <cell r="R211">
            <v>0</v>
          </cell>
        </row>
        <row r="212">
          <cell r="R212">
            <v>51591.869999999995</v>
          </cell>
        </row>
        <row r="214">
          <cell r="R214">
            <v>1256926.57</v>
          </cell>
        </row>
        <row r="215">
          <cell r="R215">
            <v>531253.37</v>
          </cell>
        </row>
        <row r="216">
          <cell r="R216">
            <v>62562.78</v>
          </cell>
        </row>
        <row r="217">
          <cell r="R217">
            <v>95153.530000000028</v>
          </cell>
        </row>
        <row r="218">
          <cell r="R218">
            <v>0</v>
          </cell>
        </row>
        <row r="219">
          <cell r="R219">
            <v>187101.72999999998</v>
          </cell>
        </row>
        <row r="221">
          <cell r="R221">
            <v>452434.68000000028</v>
          </cell>
        </row>
        <row r="222">
          <cell r="R222">
            <v>337903.06000000006</v>
          </cell>
        </row>
        <row r="223">
          <cell r="R223">
            <v>4682.49</v>
          </cell>
        </row>
        <row r="224">
          <cell r="R224">
            <v>7028.49</v>
          </cell>
        </row>
        <row r="225">
          <cell r="R225">
            <v>0</v>
          </cell>
        </row>
        <row r="226">
          <cell r="R226">
            <v>11300.130000000001</v>
          </cell>
        </row>
        <row r="228">
          <cell r="R228">
            <v>1083229.29</v>
          </cell>
        </row>
        <row r="229">
          <cell r="R229">
            <v>215664.09999999992</v>
          </cell>
        </row>
        <row r="230">
          <cell r="R230">
            <v>2099.9</v>
          </cell>
        </row>
        <row r="231">
          <cell r="R231">
            <v>253350.07999999993</v>
          </cell>
        </row>
        <row r="232">
          <cell r="R232">
            <v>0</v>
          </cell>
        </row>
        <row r="233">
          <cell r="R233">
            <v>85655.280000000013</v>
          </cell>
        </row>
        <row r="235">
          <cell r="R235">
            <v>533384.41</v>
          </cell>
        </row>
        <row r="236">
          <cell r="R236">
            <v>107230.99000000003</v>
          </cell>
        </row>
        <row r="237">
          <cell r="R237">
            <v>1162.28</v>
          </cell>
        </row>
        <row r="238">
          <cell r="R238">
            <v>66654.959999999992</v>
          </cell>
        </row>
        <row r="239">
          <cell r="R239">
            <v>0</v>
          </cell>
        </row>
        <row r="240">
          <cell r="R240">
            <v>10648.769999999997</v>
          </cell>
        </row>
        <row r="243">
          <cell r="R243">
            <v>52637.490000000005</v>
          </cell>
        </row>
        <row r="244">
          <cell r="Q244">
            <v>68238.179999999993</v>
          </cell>
          <cell r="R244">
            <v>134218.12</v>
          </cell>
        </row>
      </sheetData>
      <sheetData sheetId="4" refreshError="1"/>
      <sheetData sheetId="5" refreshError="1"/>
      <sheetData sheetId="6">
        <row r="2">
          <cell r="N2">
            <v>1906890.49</v>
          </cell>
          <cell r="O2">
            <v>2070362.52</v>
          </cell>
          <cell r="P2">
            <v>12131682.99</v>
          </cell>
          <cell r="Q2">
            <v>10964002.33</v>
          </cell>
          <cell r="R2">
            <v>11780857.68</v>
          </cell>
          <cell r="S2">
            <v>12395535.300000001</v>
          </cell>
          <cell r="T2">
            <v>15098658.109999999</v>
          </cell>
          <cell r="U2">
            <v>12131199.07</v>
          </cell>
        </row>
        <row r="3">
          <cell r="N3">
            <v>974141.94</v>
          </cell>
          <cell r="O3">
            <v>910493.2</v>
          </cell>
          <cell r="P3">
            <v>973303.55</v>
          </cell>
          <cell r="Q3">
            <v>1029829.86</v>
          </cell>
          <cell r="R3">
            <v>1166927.29</v>
          </cell>
          <cell r="S3">
            <v>1363840.57</v>
          </cell>
          <cell r="T3">
            <v>1104134.49</v>
          </cell>
          <cell r="U3">
            <v>1262810.23</v>
          </cell>
        </row>
        <row r="4">
          <cell r="N4">
            <v>249769.32</v>
          </cell>
          <cell r="O4">
            <v>318237.84999999998</v>
          </cell>
          <cell r="P4">
            <v>392189.8</v>
          </cell>
          <cell r="Q4">
            <v>373773.24</v>
          </cell>
          <cell r="R4">
            <v>397871.28</v>
          </cell>
          <cell r="S4">
            <v>440087.42</v>
          </cell>
          <cell r="T4">
            <v>655369.09</v>
          </cell>
          <cell r="U4">
            <v>566065.01</v>
          </cell>
        </row>
        <row r="5">
          <cell r="E5">
            <v>2247200.77</v>
          </cell>
          <cell r="F5">
            <v>2503364.21</v>
          </cell>
          <cell r="G5">
            <v>2646199.69</v>
          </cell>
          <cell r="H5">
            <v>3200893.35</v>
          </cell>
          <cell r="I5">
            <v>3426186.47</v>
          </cell>
          <cell r="J5">
            <v>3175430.94</v>
          </cell>
          <cell r="K5">
            <v>3591675.36</v>
          </cell>
          <cell r="L5">
            <v>3310456.86</v>
          </cell>
          <cell r="M5">
            <v>2999199.33</v>
          </cell>
        </row>
        <row r="6">
          <cell r="N6">
            <v>1906890.49</v>
          </cell>
          <cell r="O6">
            <v>2070362.52</v>
          </cell>
          <cell r="P6">
            <v>12131682.99</v>
          </cell>
          <cell r="Q6">
            <v>10964002.33</v>
          </cell>
          <cell r="R6">
            <v>11780857.68</v>
          </cell>
          <cell r="S6">
            <v>12395535.300000001</v>
          </cell>
          <cell r="T6">
            <v>15098658.109999999</v>
          </cell>
          <cell r="U6">
            <v>12127859.35</v>
          </cell>
        </row>
        <row r="7">
          <cell r="N7">
            <v>962212.58</v>
          </cell>
          <cell r="O7">
            <v>882210.94</v>
          </cell>
          <cell r="P7">
            <v>962715.82</v>
          </cell>
          <cell r="Q7">
            <v>1015178.01</v>
          </cell>
          <cell r="R7">
            <v>1150438.81</v>
          </cell>
          <cell r="S7">
            <v>1203658.3500000001</v>
          </cell>
          <cell r="T7">
            <v>1067654.7</v>
          </cell>
          <cell r="U7">
            <v>1198325.95</v>
          </cell>
        </row>
        <row r="8">
          <cell r="N8">
            <v>247361.28</v>
          </cell>
          <cell r="O8">
            <v>316304.69</v>
          </cell>
          <cell r="P8">
            <v>372413.71</v>
          </cell>
          <cell r="Q8">
            <v>365372.17</v>
          </cell>
          <cell r="R8">
            <v>394254.76</v>
          </cell>
          <cell r="S8">
            <v>434801.19</v>
          </cell>
          <cell r="T8">
            <v>611272.07999999996</v>
          </cell>
          <cell r="U8">
            <v>462436.21</v>
          </cell>
        </row>
        <row r="9">
          <cell r="E9">
            <v>2240261.1800000002</v>
          </cell>
          <cell r="F9">
            <v>2467615.41</v>
          </cell>
          <cell r="G9">
            <v>2576691.69</v>
          </cell>
          <cell r="H9">
            <v>3193007.46</v>
          </cell>
          <cell r="I9">
            <v>3413065.18</v>
          </cell>
          <cell r="J9">
            <v>3167545.09</v>
          </cell>
          <cell r="K9">
            <v>3560126.38</v>
          </cell>
          <cell r="L9">
            <v>3297595.02</v>
          </cell>
          <cell r="M9">
            <v>2982172.16</v>
          </cell>
        </row>
        <row r="10">
          <cell r="P10">
            <v>117842.88</v>
          </cell>
          <cell r="Q10">
            <v>125877.62</v>
          </cell>
          <cell r="R10">
            <v>134279.25</v>
          </cell>
          <cell r="S10">
            <v>133912.44</v>
          </cell>
          <cell r="T10">
            <v>133912.35999999999</v>
          </cell>
          <cell r="U10">
            <v>192688.45</v>
          </cell>
        </row>
        <row r="11">
          <cell r="P11">
            <v>1679.15</v>
          </cell>
          <cell r="Q11">
            <v>12706.57</v>
          </cell>
          <cell r="R11">
            <v>8776.7000000000007</v>
          </cell>
          <cell r="S11">
            <v>11212.17</v>
          </cell>
          <cell r="T11">
            <v>4930.38</v>
          </cell>
          <cell r="U11">
            <v>7426.14</v>
          </cell>
        </row>
        <row r="12">
          <cell r="P12">
            <v>13804.12</v>
          </cell>
          <cell r="Q12">
            <v>29285.01</v>
          </cell>
          <cell r="R12">
            <v>28508.080000000002</v>
          </cell>
          <cell r="S12">
            <v>31717.68</v>
          </cell>
          <cell r="T12">
            <v>29230.12</v>
          </cell>
          <cell r="U12">
            <v>34045.339999999997</v>
          </cell>
        </row>
        <row r="14">
          <cell r="O14">
            <v>777510.28</v>
          </cell>
          <cell r="P14">
            <v>3310035.06</v>
          </cell>
          <cell r="Q14">
            <v>5822765.8899999997</v>
          </cell>
          <cell r="R14">
            <v>6365264.6100000003</v>
          </cell>
          <cell r="S14">
            <v>6314370.8399999999</v>
          </cell>
          <cell r="T14">
            <v>5627377.5099999998</v>
          </cell>
          <cell r="U14">
            <v>5495952.21</v>
          </cell>
        </row>
        <row r="15">
          <cell r="O15">
            <v>290665.92</v>
          </cell>
          <cell r="P15">
            <v>354646.61</v>
          </cell>
          <cell r="Q15">
            <v>623867.77</v>
          </cell>
          <cell r="R15">
            <v>681992.64</v>
          </cell>
          <cell r="S15">
            <v>676539.73</v>
          </cell>
          <cell r="T15">
            <v>603698.21</v>
          </cell>
          <cell r="U15">
            <v>622104.92000000004</v>
          </cell>
        </row>
        <row r="16">
          <cell r="O16">
            <v>71556.460000000006</v>
          </cell>
          <cell r="P16">
            <v>275836.26</v>
          </cell>
          <cell r="Q16">
            <v>485230.49</v>
          </cell>
          <cell r="R16">
            <v>530438.71</v>
          </cell>
          <cell r="S16">
            <v>526197.56999999995</v>
          </cell>
          <cell r="T16">
            <v>461809.05</v>
          </cell>
          <cell r="U16">
            <v>368683</v>
          </cell>
        </row>
        <row r="18">
          <cell r="O18">
            <v>743618.75</v>
          </cell>
          <cell r="P18">
            <v>2638770.62</v>
          </cell>
          <cell r="Q18">
            <v>4885084.26</v>
          </cell>
          <cell r="R18">
            <v>5613903.0499999998</v>
          </cell>
          <cell r="S18">
            <v>5592270.8300000001</v>
          </cell>
          <cell r="T18">
            <v>4878791.74</v>
          </cell>
          <cell r="U18">
            <v>5157254.09</v>
          </cell>
        </row>
        <row r="19">
          <cell r="O19">
            <v>297954.99</v>
          </cell>
          <cell r="P19">
            <v>282725.42</v>
          </cell>
          <cell r="Q19">
            <v>523401.89</v>
          </cell>
          <cell r="R19">
            <v>601489.61</v>
          </cell>
          <cell r="S19">
            <v>599171.87</v>
          </cell>
          <cell r="T19">
            <v>522727.69</v>
          </cell>
          <cell r="U19">
            <v>603657.12</v>
          </cell>
        </row>
        <row r="20">
          <cell r="O20">
            <v>12803.42</v>
          </cell>
          <cell r="P20">
            <v>219897.56</v>
          </cell>
          <cell r="Q20">
            <v>407090.35</v>
          </cell>
          <cell r="R20">
            <v>467825.26</v>
          </cell>
          <cell r="S20">
            <v>466022.57</v>
          </cell>
          <cell r="T20">
            <v>406565.97</v>
          </cell>
          <cell r="U20">
            <v>284793</v>
          </cell>
        </row>
        <row r="22">
          <cell r="N22">
            <v>13597470.640000001</v>
          </cell>
          <cell r="O22">
            <v>12352791.029999999</v>
          </cell>
          <cell r="P22">
            <v>14035540.24</v>
          </cell>
          <cell r="Q22">
            <v>13645058.93</v>
          </cell>
          <cell r="R22">
            <v>11873709.35</v>
          </cell>
          <cell r="S22">
            <v>13618409.26</v>
          </cell>
          <cell r="T22">
            <v>13512060.560000001</v>
          </cell>
          <cell r="U22">
            <v>12743942.18</v>
          </cell>
        </row>
        <row r="23">
          <cell r="N23">
            <v>3927893.43</v>
          </cell>
          <cell r="O23">
            <v>4012751.97</v>
          </cell>
          <cell r="P23">
            <v>4495769.63</v>
          </cell>
          <cell r="Q23">
            <v>4905183.2</v>
          </cell>
          <cell r="R23">
            <v>4240396.42</v>
          </cell>
          <cell r="S23">
            <v>4334335.3099999996</v>
          </cell>
          <cell r="T23">
            <v>3904902.05</v>
          </cell>
          <cell r="U23">
            <v>4333460.2</v>
          </cell>
        </row>
        <row r="27">
          <cell r="N27">
            <v>16635.66</v>
          </cell>
          <cell r="O27">
            <v>18784.84</v>
          </cell>
          <cell r="P27">
            <v>26197.34</v>
          </cell>
          <cell r="Q27">
            <v>40963.919999999998</v>
          </cell>
          <cell r="R27">
            <v>60820.74</v>
          </cell>
          <cell r="S27">
            <v>84853.61</v>
          </cell>
          <cell r="T27">
            <v>52899.26</v>
          </cell>
          <cell r="U27">
            <v>59040.22</v>
          </cell>
        </row>
        <row r="28">
          <cell r="N28">
            <v>3193725.31</v>
          </cell>
          <cell r="O28">
            <v>3830179.56</v>
          </cell>
          <cell r="P28">
            <v>3542713.94</v>
          </cell>
          <cell r="Q28">
            <v>3246085.91</v>
          </cell>
          <cell r="R28">
            <v>3561973.52</v>
          </cell>
          <cell r="S28">
            <v>3283465.01</v>
          </cell>
          <cell r="T28">
            <v>3118137.97</v>
          </cell>
          <cell r="U28">
            <v>3223489.7</v>
          </cell>
        </row>
        <row r="29">
          <cell r="N29">
            <v>1384031.54</v>
          </cell>
          <cell r="O29">
            <v>1610549.23</v>
          </cell>
          <cell r="P29">
            <v>1857428.22</v>
          </cell>
          <cell r="Q29">
            <v>2044709.86</v>
          </cell>
          <cell r="R29">
            <v>2093218.33</v>
          </cell>
          <cell r="S29">
            <v>2765381.68</v>
          </cell>
          <cell r="T29">
            <v>2438705.38</v>
          </cell>
          <cell r="U29">
            <v>2269206.14</v>
          </cell>
        </row>
        <row r="31">
          <cell r="E31">
            <v>11015000.199999999</v>
          </cell>
          <cell r="F31">
            <v>13236791</v>
          </cell>
          <cell r="G31">
            <v>16464513.689999999</v>
          </cell>
          <cell r="H31">
            <v>19278871</v>
          </cell>
          <cell r="I31">
            <v>18611763.02</v>
          </cell>
          <cell r="J31">
            <v>18681497.469999999</v>
          </cell>
          <cell r="K31">
            <v>17431889.41</v>
          </cell>
          <cell r="L31">
            <v>16065212.34</v>
          </cell>
          <cell r="M31">
            <v>15922133.710000001</v>
          </cell>
        </row>
        <row r="32">
          <cell r="N32">
            <v>10211461.76</v>
          </cell>
          <cell r="O32">
            <v>11057550.779999999</v>
          </cell>
          <cell r="P32">
            <v>13015560.32</v>
          </cell>
          <cell r="Q32">
            <v>13074804.300000001</v>
          </cell>
          <cell r="R32">
            <v>10343470.039999999</v>
          </cell>
          <cell r="S32">
            <v>12198854.630000001</v>
          </cell>
          <cell r="T32">
            <v>13401161.57</v>
          </cell>
          <cell r="U32">
            <v>12403053.17</v>
          </cell>
        </row>
        <row r="33">
          <cell r="N33">
            <v>3364035.83</v>
          </cell>
          <cell r="O33">
            <v>3606963.09</v>
          </cell>
          <cell r="P33">
            <v>4046757.98</v>
          </cell>
          <cell r="Q33">
            <v>4547520.5</v>
          </cell>
          <cell r="R33">
            <v>4008037.44</v>
          </cell>
          <cell r="S33">
            <v>4129592.97</v>
          </cell>
          <cell r="T33">
            <v>3466781.9</v>
          </cell>
          <cell r="U33">
            <v>3882675.51</v>
          </cell>
        </row>
        <row r="37">
          <cell r="N37">
            <v>4404.12</v>
          </cell>
          <cell r="O37">
            <v>18218.669999999998</v>
          </cell>
          <cell r="P37">
            <v>24904.799999999999</v>
          </cell>
          <cell r="Q37">
            <v>27352.93</v>
          </cell>
          <cell r="R37">
            <v>48557.63</v>
          </cell>
          <cell r="S37">
            <v>76658.27</v>
          </cell>
          <cell r="T37">
            <v>40052.75</v>
          </cell>
          <cell r="U37">
            <v>46188.89</v>
          </cell>
        </row>
        <row r="38">
          <cell r="N38">
            <v>801548.80000000005</v>
          </cell>
          <cell r="O38">
            <v>3564035.78</v>
          </cell>
          <cell r="P38">
            <v>3542713.94</v>
          </cell>
          <cell r="Q38">
            <v>2950859.75</v>
          </cell>
          <cell r="R38">
            <v>3228235.86</v>
          </cell>
          <cell r="S38">
            <v>3283465.01</v>
          </cell>
          <cell r="T38">
            <v>3118137.97</v>
          </cell>
          <cell r="U38">
            <v>3223489.7</v>
          </cell>
        </row>
        <row r="39">
          <cell r="N39">
            <v>1206549.28</v>
          </cell>
          <cell r="O39">
            <v>1396821.61</v>
          </cell>
          <cell r="P39">
            <v>1409097.42</v>
          </cell>
          <cell r="Q39">
            <v>1744739.64</v>
          </cell>
          <cell r="R39">
            <v>1747973.82</v>
          </cell>
          <cell r="S39">
            <v>2128559.67</v>
          </cell>
          <cell r="T39">
            <v>1824234.71</v>
          </cell>
          <cell r="U39">
            <v>1858554.71</v>
          </cell>
        </row>
        <row r="41">
          <cell r="E41">
            <v>9820940.6699999999</v>
          </cell>
          <cell r="F41">
            <v>12068722.76</v>
          </cell>
          <cell r="G41">
            <v>15656944.85</v>
          </cell>
          <cell r="H41">
            <v>17624172.050000001</v>
          </cell>
          <cell r="I41">
            <v>16938924.329999998</v>
          </cell>
          <cell r="J41">
            <v>16558989.789999999</v>
          </cell>
          <cell r="K41">
            <v>16224907.689999999</v>
          </cell>
          <cell r="L41">
            <v>14603926.32</v>
          </cell>
          <cell r="M41">
            <v>13612498.52</v>
          </cell>
        </row>
        <row r="42">
          <cell r="L42">
            <v>13164315.039999999</v>
          </cell>
          <cell r="M42">
            <v>17511915.43</v>
          </cell>
          <cell r="N42">
            <v>29546938.920000002</v>
          </cell>
          <cell r="O42">
            <v>34449410.969999999</v>
          </cell>
          <cell r="P42">
            <v>36342492.759999998</v>
          </cell>
          <cell r="Q42">
            <v>39296066.68</v>
          </cell>
          <cell r="R42">
            <v>27253049.440000001</v>
          </cell>
          <cell r="S42">
            <v>34818655.32</v>
          </cell>
          <cell r="T42">
            <v>38475279.259999998</v>
          </cell>
          <cell r="U42">
            <v>37702782.299999997</v>
          </cell>
        </row>
        <row r="43">
          <cell r="L43">
            <v>1968982.94</v>
          </cell>
          <cell r="M43">
            <v>2308895.9300000002</v>
          </cell>
          <cell r="N43">
            <v>3257489.33</v>
          </cell>
          <cell r="O43">
            <v>3089389.34</v>
          </cell>
          <cell r="P43">
            <v>3231623.45</v>
          </cell>
          <cell r="Q43">
            <v>2717350.95</v>
          </cell>
          <cell r="R43">
            <v>3232623.87</v>
          </cell>
          <cell r="S43">
            <v>2926387.68</v>
          </cell>
          <cell r="T43">
            <v>2859736.94</v>
          </cell>
          <cell r="U43">
            <v>2924914.5</v>
          </cell>
        </row>
        <row r="44">
          <cell r="L44">
            <v>1006725.6</v>
          </cell>
          <cell r="M44">
            <v>2131288.56</v>
          </cell>
          <cell r="N44">
            <v>2680600.12</v>
          </cell>
          <cell r="O44">
            <v>2623464.14</v>
          </cell>
          <cell r="P44">
            <v>2154415.63</v>
          </cell>
          <cell r="Q44">
            <v>2755921.14</v>
          </cell>
          <cell r="R44">
            <v>2954950.47</v>
          </cell>
          <cell r="S44">
            <v>2786451.37</v>
          </cell>
          <cell r="T44">
            <v>3282390.79</v>
          </cell>
          <cell r="U44">
            <v>3489550.78</v>
          </cell>
        </row>
        <row r="48">
          <cell r="S48">
            <v>15468535.289999999</v>
          </cell>
          <cell r="T48">
            <v>5547163.6100000003</v>
          </cell>
          <cell r="U48">
            <v>3821519.53</v>
          </cell>
        </row>
        <row r="49">
          <cell r="L49">
            <v>11365620.789999999</v>
          </cell>
          <cell r="M49">
            <v>17511915.43</v>
          </cell>
          <cell r="N49">
            <v>27240681.390000001</v>
          </cell>
          <cell r="O49">
            <v>30325318</v>
          </cell>
          <cell r="P49">
            <v>40321976.380000003</v>
          </cell>
          <cell r="Q49">
            <v>39296067</v>
          </cell>
          <cell r="R49">
            <v>27253049</v>
          </cell>
          <cell r="S49">
            <v>34975977.859999999</v>
          </cell>
          <cell r="T49">
            <v>37703312.479999997</v>
          </cell>
          <cell r="U49">
            <v>37743500.850000001</v>
          </cell>
        </row>
        <row r="50">
          <cell r="L50">
            <v>1866897.34</v>
          </cell>
          <cell r="M50">
            <v>2185497.54</v>
          </cell>
          <cell r="N50">
            <v>2873676.76</v>
          </cell>
          <cell r="O50">
            <v>2035667</v>
          </cell>
          <cell r="P50">
            <v>2344300.9500000002</v>
          </cell>
          <cell r="Q50">
            <v>2121208</v>
          </cell>
          <cell r="R50">
            <v>2441073</v>
          </cell>
          <cell r="S50">
            <v>1953375.3670000001</v>
          </cell>
          <cell r="T50">
            <v>2906674.0359999998</v>
          </cell>
          <cell r="U50">
            <v>3344360.83</v>
          </cell>
        </row>
        <row r="51">
          <cell r="L51">
            <v>830958.1</v>
          </cell>
          <cell r="M51">
            <v>2017382.34</v>
          </cell>
          <cell r="N51">
            <v>2652624.7000000002</v>
          </cell>
          <cell r="O51">
            <v>1298614</v>
          </cell>
          <cell r="P51">
            <v>1406580.57</v>
          </cell>
          <cell r="Q51">
            <v>1949552</v>
          </cell>
          <cell r="R51">
            <v>2018910</v>
          </cell>
          <cell r="S51">
            <v>2116156.648</v>
          </cell>
          <cell r="T51">
            <v>3025313.7930000001</v>
          </cell>
          <cell r="U51">
            <v>1911063.33</v>
          </cell>
        </row>
        <row r="55">
          <cell r="O55">
            <v>1867177.95</v>
          </cell>
          <cell r="P55">
            <v>2813161.14</v>
          </cell>
          <cell r="Q55">
            <v>8899614.0199999996</v>
          </cell>
          <cell r="R55">
            <v>5296534.95</v>
          </cell>
          <cell r="S55">
            <v>15948166.01</v>
          </cell>
          <cell r="T55">
            <v>6635783</v>
          </cell>
          <cell r="U55">
            <v>4777658.34</v>
          </cell>
        </row>
        <row r="56">
          <cell r="R56">
            <v>5074005.5</v>
          </cell>
          <cell r="S56">
            <v>2685146.69</v>
          </cell>
          <cell r="T56">
            <v>10087927.300000001</v>
          </cell>
          <cell r="U56">
            <v>8508047.9299999997</v>
          </cell>
        </row>
        <row r="57">
          <cell r="R57">
            <v>1281760.83</v>
          </cell>
          <cell r="S57">
            <v>853738.16</v>
          </cell>
          <cell r="T57">
            <v>1230491.7</v>
          </cell>
          <cell r="U57">
            <v>2340750.08</v>
          </cell>
        </row>
        <row r="58">
          <cell r="R58">
            <v>156.04</v>
          </cell>
          <cell r="S58">
            <v>89.23</v>
          </cell>
          <cell r="T58">
            <v>156.04</v>
          </cell>
          <cell r="U58">
            <v>156.04</v>
          </cell>
        </row>
        <row r="59">
          <cell r="S59">
            <v>0</v>
          </cell>
          <cell r="T59">
            <v>0</v>
          </cell>
          <cell r="U59">
            <v>0</v>
          </cell>
        </row>
        <row r="60">
          <cell r="S60">
            <v>0</v>
          </cell>
          <cell r="T60">
            <v>0</v>
          </cell>
          <cell r="U60">
            <v>0</v>
          </cell>
        </row>
        <row r="61">
          <cell r="R61">
            <v>247046.78</v>
          </cell>
          <cell r="S61">
            <v>84055.81</v>
          </cell>
          <cell r="T61">
            <v>213169.89</v>
          </cell>
          <cell r="U61">
            <v>111355.66</v>
          </cell>
        </row>
        <row r="64">
          <cell r="R64">
            <v>5090917.29</v>
          </cell>
          <cell r="S64">
            <v>2685146.69</v>
          </cell>
          <cell r="T64">
            <v>10087927.300000001</v>
          </cell>
          <cell r="U64">
            <v>8508047.9299999997</v>
          </cell>
        </row>
        <row r="65">
          <cell r="R65">
            <v>1274655.33</v>
          </cell>
          <cell r="S65">
            <v>849157.81</v>
          </cell>
          <cell r="T65">
            <v>1227989.49</v>
          </cell>
          <cell r="U65">
            <v>2344454.02</v>
          </cell>
        </row>
        <row r="66">
          <cell r="R66">
            <v>156.04</v>
          </cell>
          <cell r="S66">
            <v>89.2</v>
          </cell>
          <cell r="T66">
            <v>156.04</v>
          </cell>
          <cell r="U66">
            <v>156.04</v>
          </cell>
        </row>
        <row r="67">
          <cell r="S67">
            <v>0</v>
          </cell>
          <cell r="T67">
            <v>0</v>
          </cell>
          <cell r="U67">
            <v>0</v>
          </cell>
        </row>
        <row r="68">
          <cell r="S68">
            <v>0</v>
          </cell>
          <cell r="T68">
            <v>0</v>
          </cell>
          <cell r="U68">
            <v>0</v>
          </cell>
        </row>
        <row r="69">
          <cell r="R69">
            <v>246435.81</v>
          </cell>
          <cell r="S69">
            <v>83641.490000000005</v>
          </cell>
          <cell r="T69">
            <v>213643.2</v>
          </cell>
          <cell r="U69">
            <v>109815.64</v>
          </cell>
        </row>
        <row r="71">
          <cell r="O71">
            <v>242744.84</v>
          </cell>
          <cell r="P71">
            <v>1293388.23</v>
          </cell>
          <cell r="Q71">
            <v>1543464.83</v>
          </cell>
          <cell r="R71">
            <v>1804403.22</v>
          </cell>
          <cell r="S71">
            <v>2260275</v>
          </cell>
          <cell r="T71">
            <v>1606762.93</v>
          </cell>
          <cell r="U71">
            <v>1474548.54</v>
          </cell>
        </row>
        <row r="72">
          <cell r="O72">
            <v>67429.119999999995</v>
          </cell>
          <cell r="P72">
            <v>359274.51</v>
          </cell>
          <cell r="Q72">
            <v>428740.23</v>
          </cell>
          <cell r="R72">
            <v>501223.12</v>
          </cell>
          <cell r="S72">
            <v>627854.17000000004</v>
          </cell>
          <cell r="T72">
            <v>441612.03</v>
          </cell>
          <cell r="U72">
            <v>367256.77</v>
          </cell>
        </row>
        <row r="73">
          <cell r="O73">
            <v>26971.65</v>
          </cell>
          <cell r="P73">
            <v>143709.79999999999</v>
          </cell>
          <cell r="Q73">
            <v>171496.09</v>
          </cell>
          <cell r="R73">
            <v>200489.24</v>
          </cell>
          <cell r="S73">
            <v>251141.67</v>
          </cell>
          <cell r="T73">
            <v>154178.76</v>
          </cell>
          <cell r="U73">
            <v>152751.35999999999</v>
          </cell>
        </row>
        <row r="75">
          <cell r="O75">
            <v>189209.41</v>
          </cell>
          <cell r="P75">
            <v>914935.84</v>
          </cell>
          <cell r="Q75">
            <v>1059412.46</v>
          </cell>
          <cell r="R75">
            <v>1651625.65</v>
          </cell>
          <cell r="S75">
            <v>1617395.33</v>
          </cell>
          <cell r="T75">
            <v>1430677.58</v>
          </cell>
          <cell r="U75">
            <v>1369641.4</v>
          </cell>
        </row>
        <row r="76">
          <cell r="O76">
            <v>52558.17</v>
          </cell>
          <cell r="P76">
            <v>254148.84</v>
          </cell>
          <cell r="Q76">
            <v>294281.24</v>
          </cell>
          <cell r="R76">
            <v>458784.9</v>
          </cell>
          <cell r="S76">
            <v>449276.48</v>
          </cell>
          <cell r="T76">
            <v>391966.46</v>
          </cell>
          <cell r="U76">
            <v>287735.05</v>
          </cell>
        </row>
        <row r="77">
          <cell r="O77">
            <v>21023.27</v>
          </cell>
          <cell r="P77">
            <v>101659.54</v>
          </cell>
          <cell r="Q77">
            <v>117712.49</v>
          </cell>
          <cell r="R77">
            <v>183513.97</v>
          </cell>
          <cell r="S77">
            <v>179710.59</v>
          </cell>
          <cell r="T77">
            <v>137188.26</v>
          </cell>
          <cell r="U77">
            <v>81047.39</v>
          </cell>
        </row>
        <row r="79">
          <cell r="O79">
            <v>449349.16</v>
          </cell>
          <cell r="P79">
            <v>3405649.55</v>
          </cell>
          <cell r="Q79">
            <v>4378064.4000000004</v>
          </cell>
          <cell r="R79">
            <v>4634735.5999999996</v>
          </cell>
          <cell r="S79">
            <v>5117422.3499999996</v>
          </cell>
          <cell r="T79">
            <v>3451675.88</v>
          </cell>
          <cell r="U79">
            <v>3253579.84</v>
          </cell>
        </row>
        <row r="80">
          <cell r="O80">
            <v>192578.21</v>
          </cell>
          <cell r="P80">
            <v>1459564.09</v>
          </cell>
          <cell r="Q80">
            <v>1876313.31</v>
          </cell>
          <cell r="R80">
            <v>1986315.26</v>
          </cell>
          <cell r="S80">
            <v>2193181.0099999998</v>
          </cell>
          <cell r="T80">
            <v>1499125.1</v>
          </cell>
          <cell r="U80">
            <v>1932569.1</v>
          </cell>
        </row>
        <row r="81">
          <cell r="O81">
            <v>71325.27</v>
          </cell>
          <cell r="P81">
            <v>540579.29</v>
          </cell>
          <cell r="Q81">
            <v>694930.86</v>
          </cell>
          <cell r="R81">
            <v>735672.31</v>
          </cell>
          <cell r="S81">
            <v>812289.26</v>
          </cell>
          <cell r="T81">
            <v>472951.2</v>
          </cell>
          <cell r="U81">
            <v>865127.6</v>
          </cell>
        </row>
        <row r="83">
          <cell r="O83">
            <v>342036.37</v>
          </cell>
          <cell r="P83">
            <v>2514486.37</v>
          </cell>
          <cell r="Q83">
            <v>3150365.19</v>
          </cell>
          <cell r="R83">
            <v>3251120.85</v>
          </cell>
          <cell r="S83">
            <v>4368580.68</v>
          </cell>
          <cell r="T83">
            <v>3024457.77</v>
          </cell>
          <cell r="U83">
            <v>2904167.67</v>
          </cell>
        </row>
        <row r="84">
          <cell r="O84">
            <v>146587.01999999999</v>
          </cell>
          <cell r="P84">
            <v>1077637.02</v>
          </cell>
          <cell r="Q84">
            <v>1350156.51</v>
          </cell>
          <cell r="R84">
            <v>1393337.51</v>
          </cell>
          <cell r="S84">
            <v>1872248.86</v>
          </cell>
          <cell r="T84">
            <v>1323200.28</v>
          </cell>
          <cell r="U84">
            <v>1289889.1299999999</v>
          </cell>
        </row>
        <row r="85">
          <cell r="O85">
            <v>54291.49</v>
          </cell>
          <cell r="P85">
            <v>399124.82</v>
          </cell>
          <cell r="Q85">
            <v>500057.96</v>
          </cell>
          <cell r="R85">
            <v>516050.93</v>
          </cell>
          <cell r="S85">
            <v>693425.5</v>
          </cell>
          <cell r="T85">
            <v>378057.22</v>
          </cell>
          <cell r="U85">
            <v>212767.24</v>
          </cell>
        </row>
        <row r="87">
          <cell r="R87">
            <v>5923216.7999999998</v>
          </cell>
          <cell r="S87">
            <v>7173832.79</v>
          </cell>
          <cell r="T87">
            <v>7584549.2400000002</v>
          </cell>
          <cell r="U87">
            <v>7719035.7999999998</v>
          </cell>
        </row>
        <row r="88">
          <cell r="R88">
            <v>2575763.29</v>
          </cell>
          <cell r="S88">
            <v>2622432.63</v>
          </cell>
          <cell r="T88">
            <v>2048216.41</v>
          </cell>
          <cell r="U88">
            <v>2026490.81</v>
          </cell>
        </row>
        <row r="94">
          <cell r="R94">
            <v>817983.76</v>
          </cell>
          <cell r="S94">
            <v>925360.31</v>
          </cell>
          <cell r="T94">
            <v>1022989.16</v>
          </cell>
          <cell r="U94">
            <v>960973.49</v>
          </cell>
        </row>
        <row r="97">
          <cell r="R97">
            <v>5914282.0099999998</v>
          </cell>
          <cell r="S97">
            <v>7175062.9100000001</v>
          </cell>
          <cell r="T97">
            <v>7684970.3300000001</v>
          </cell>
          <cell r="U97">
            <v>7482666.1600000001</v>
          </cell>
        </row>
        <row r="98">
          <cell r="R98">
            <v>2135596.54</v>
          </cell>
          <cell r="S98">
            <v>2157107.4900000002</v>
          </cell>
          <cell r="T98">
            <v>1510878.35</v>
          </cell>
          <cell r="U98">
            <v>1506115.26</v>
          </cell>
        </row>
        <row r="104">
          <cell r="R104">
            <v>482296.62</v>
          </cell>
          <cell r="S104">
            <v>685306.96</v>
          </cell>
          <cell r="T104">
            <v>689391.44</v>
          </cell>
          <cell r="U104">
            <v>698545.85</v>
          </cell>
        </row>
        <row r="107">
          <cell r="S107">
            <v>6388896.9500000002</v>
          </cell>
          <cell r="T107">
            <v>6651878.2999999998</v>
          </cell>
          <cell r="U107">
            <v>5047050.8899999997</v>
          </cell>
        </row>
        <row r="108">
          <cell r="S108">
            <v>391298.38</v>
          </cell>
          <cell r="T108">
            <v>402119.61</v>
          </cell>
          <cell r="U108">
            <v>421334</v>
          </cell>
        </row>
        <row r="112">
          <cell r="S112">
            <v>59488.19</v>
          </cell>
          <cell r="T112">
            <v>58442.02</v>
          </cell>
          <cell r="U112">
            <v>58153.82</v>
          </cell>
        </row>
        <row r="114">
          <cell r="S114">
            <v>6388896.9500000002</v>
          </cell>
          <cell r="T114">
            <v>6651878.2999999998</v>
          </cell>
          <cell r="U114">
            <v>5047050.8899999997</v>
          </cell>
        </row>
        <row r="115">
          <cell r="S115">
            <v>376520.37</v>
          </cell>
          <cell r="T115">
            <v>390217.28</v>
          </cell>
          <cell r="U115">
            <v>416018.5</v>
          </cell>
        </row>
        <row r="119">
          <cell r="U119">
            <v>57063.66</v>
          </cell>
        </row>
        <row r="121">
          <cell r="O121">
            <v>336444.67</v>
          </cell>
          <cell r="P121">
            <v>1850831.99</v>
          </cell>
          <cell r="Q121">
            <v>2445604.08</v>
          </cell>
          <cell r="R121">
            <v>2943054.12</v>
          </cell>
          <cell r="S121">
            <v>2772646.98</v>
          </cell>
          <cell r="T121">
            <v>1769258.55</v>
          </cell>
          <cell r="U121">
            <v>1610668.59</v>
          </cell>
        </row>
        <row r="122">
          <cell r="O122">
            <v>88784.01</v>
          </cell>
          <cell r="P122">
            <v>488414</v>
          </cell>
          <cell r="Q122">
            <v>645367.74</v>
          </cell>
          <cell r="R122">
            <v>776639.28</v>
          </cell>
          <cell r="S122">
            <v>731670.73</v>
          </cell>
          <cell r="T122">
            <v>486967.59</v>
          </cell>
          <cell r="U122">
            <v>873252.61</v>
          </cell>
        </row>
        <row r="123">
          <cell r="O123">
            <v>42055.58</v>
          </cell>
          <cell r="P123">
            <v>231354</v>
          </cell>
          <cell r="Q123">
            <v>305700.52</v>
          </cell>
          <cell r="R123">
            <v>367881.76</v>
          </cell>
          <cell r="S123">
            <v>346580.88</v>
          </cell>
          <cell r="T123">
            <v>187163.66</v>
          </cell>
          <cell r="U123">
            <v>97171.520000000004</v>
          </cell>
        </row>
        <row r="125">
          <cell r="O125">
            <v>271355.08</v>
          </cell>
          <cell r="P125">
            <v>1153426.18</v>
          </cell>
          <cell r="Q125">
            <v>1324426.8</v>
          </cell>
          <cell r="R125">
            <v>2258929.46</v>
          </cell>
          <cell r="S125">
            <v>2344271.5499999998</v>
          </cell>
          <cell r="T125">
            <v>1143506.43</v>
          </cell>
          <cell r="U125">
            <v>1265692.17</v>
          </cell>
        </row>
        <row r="126">
          <cell r="O126">
            <v>71607.59</v>
          </cell>
          <cell r="P126">
            <v>304376.34999999998</v>
          </cell>
          <cell r="Q126">
            <v>349501.52</v>
          </cell>
          <cell r="R126">
            <v>596106.39</v>
          </cell>
          <cell r="S126">
            <v>618627.21</v>
          </cell>
          <cell r="T126">
            <v>317640.67</v>
          </cell>
          <cell r="U126">
            <v>517333.92</v>
          </cell>
        </row>
        <row r="127">
          <cell r="O127">
            <v>33919.39</v>
          </cell>
          <cell r="P127">
            <v>144178.26999999999</v>
          </cell>
          <cell r="Q127">
            <v>165553.34</v>
          </cell>
          <cell r="R127">
            <v>282366.18</v>
          </cell>
          <cell r="S127">
            <v>293033.95</v>
          </cell>
          <cell r="T127">
            <v>127056.27</v>
          </cell>
          <cell r="U127">
            <v>48873.74</v>
          </cell>
        </row>
        <row r="129">
          <cell r="N129">
            <v>2372402.02</v>
          </cell>
          <cell r="O129">
            <v>2850903.46</v>
          </cell>
          <cell r="P129">
            <v>2245962.14</v>
          </cell>
          <cell r="Q129">
            <v>2908120.15</v>
          </cell>
          <cell r="R129">
            <v>3042928.12</v>
          </cell>
          <cell r="S129">
            <v>4312447.21</v>
          </cell>
          <cell r="T129">
            <v>4617040.46</v>
          </cell>
          <cell r="U129">
            <v>4638702.5599999996</v>
          </cell>
        </row>
        <row r="130">
          <cell r="N130">
            <v>1075437.1000000001</v>
          </cell>
          <cell r="O130">
            <v>1292347.3</v>
          </cell>
          <cell r="P130">
            <v>1018120.45</v>
          </cell>
          <cell r="Q130">
            <v>1318284.28</v>
          </cell>
          <cell r="R130">
            <v>1379394.28</v>
          </cell>
          <cell r="S130">
            <v>1954881.87</v>
          </cell>
          <cell r="T130">
            <v>2092957.49</v>
          </cell>
          <cell r="U130">
            <v>2102777.17</v>
          </cell>
        </row>
        <row r="131">
          <cell r="N131">
            <v>2104236.7599999998</v>
          </cell>
          <cell r="O131">
            <v>2528650.62</v>
          </cell>
          <cell r="P131">
            <v>1992089.05</v>
          </cell>
          <cell r="Q131">
            <v>2579399.81</v>
          </cell>
          <cell r="R131">
            <v>2698969.71</v>
          </cell>
          <cell r="S131">
            <v>3824988.28</v>
          </cell>
          <cell r="T131">
            <v>4095151.73</v>
          </cell>
          <cell r="U131">
            <v>4114365.24</v>
          </cell>
        </row>
        <row r="133">
          <cell r="N133">
            <v>2351332.66</v>
          </cell>
          <cell r="O133">
            <v>2825693.3</v>
          </cell>
          <cell r="P133">
            <v>2222839.9</v>
          </cell>
          <cell r="Q133">
            <v>2820597.9</v>
          </cell>
          <cell r="R133">
            <v>2945388.75</v>
          </cell>
          <cell r="S133">
            <v>4226187.0599999996</v>
          </cell>
          <cell r="T133">
            <v>4583140.13</v>
          </cell>
          <cell r="U133">
            <v>4415255.0999999996</v>
          </cell>
        </row>
        <row r="134">
          <cell r="N134">
            <v>1065886.1100000001</v>
          </cell>
          <cell r="O134">
            <v>1280919.24</v>
          </cell>
          <cell r="P134">
            <v>1007638.87</v>
          </cell>
          <cell r="Q134">
            <v>1278609.44</v>
          </cell>
          <cell r="R134">
            <v>1335178.56</v>
          </cell>
          <cell r="S134">
            <v>1915779.16</v>
          </cell>
          <cell r="T134">
            <v>2077590.09</v>
          </cell>
          <cell r="U134">
            <v>2001485.87</v>
          </cell>
        </row>
        <row r="135">
          <cell r="N135">
            <v>2085548.97</v>
          </cell>
          <cell r="O135">
            <v>2506290.1</v>
          </cell>
          <cell r="P135">
            <v>1971580.44</v>
          </cell>
          <cell r="Q135">
            <v>2501770.66</v>
          </cell>
          <cell r="R135">
            <v>2612455.7400000002</v>
          </cell>
          <cell r="S135">
            <v>3748478.58</v>
          </cell>
          <cell r="T135">
            <v>4065083.34</v>
          </cell>
          <cell r="U135">
            <v>3916175.25</v>
          </cell>
        </row>
        <row r="137">
          <cell r="Q137">
            <v>122811.29</v>
          </cell>
          <cell r="R137">
            <v>894346.28</v>
          </cell>
          <cell r="S137">
            <v>1296155.51</v>
          </cell>
          <cell r="T137">
            <v>999292.64</v>
          </cell>
          <cell r="U137">
            <v>1016120.03</v>
          </cell>
        </row>
        <row r="139">
          <cell r="Q139">
            <v>107638.52</v>
          </cell>
          <cell r="R139">
            <v>356918.42</v>
          </cell>
          <cell r="S139">
            <v>624913.05000000005</v>
          </cell>
          <cell r="T139">
            <v>600266.69999999995</v>
          </cell>
          <cell r="U139">
            <v>559071.98</v>
          </cell>
        </row>
        <row r="141">
          <cell r="Q141">
            <v>15301.64</v>
          </cell>
          <cell r="R141">
            <v>88137.05</v>
          </cell>
          <cell r="S141">
            <v>204473.34</v>
          </cell>
          <cell r="T141">
            <v>90287.64</v>
          </cell>
          <cell r="U141">
            <v>81051.83</v>
          </cell>
        </row>
        <row r="145">
          <cell r="Q145">
            <v>122698.17</v>
          </cell>
          <cell r="R145">
            <v>873162.63</v>
          </cell>
          <cell r="S145">
            <v>1005050.35</v>
          </cell>
          <cell r="T145">
            <v>994758.75</v>
          </cell>
          <cell r="U145">
            <v>1012976.58</v>
          </cell>
        </row>
        <row r="147">
          <cell r="Q147">
            <v>92483.88</v>
          </cell>
          <cell r="R147">
            <v>322202.94</v>
          </cell>
          <cell r="S147">
            <v>481872.89</v>
          </cell>
          <cell r="T147">
            <v>481399.77</v>
          </cell>
          <cell r="U147">
            <v>517401.88</v>
          </cell>
        </row>
        <row r="149">
          <cell r="Q149">
            <v>9693.74</v>
          </cell>
          <cell r="R149">
            <v>35139.53</v>
          </cell>
          <cell r="S149">
            <v>75915.28</v>
          </cell>
          <cell r="T149">
            <v>70167.429999999993</v>
          </cell>
          <cell r="U149">
            <v>92063.66</v>
          </cell>
        </row>
        <row r="153">
          <cell r="P153">
            <v>1914473.48</v>
          </cell>
          <cell r="Q153">
            <v>1865351.76</v>
          </cell>
          <cell r="R153">
            <v>2522669.14</v>
          </cell>
          <cell r="S153">
            <v>3187584.86</v>
          </cell>
          <cell r="T153">
            <v>3287447.77</v>
          </cell>
          <cell r="U153">
            <v>2496779.5699999998</v>
          </cell>
        </row>
        <row r="154">
          <cell r="P154">
            <v>1094354.78</v>
          </cell>
          <cell r="Q154">
            <v>1346377.67</v>
          </cell>
          <cell r="R154">
            <v>2390301.44</v>
          </cell>
          <cell r="S154">
            <v>1775590.43</v>
          </cell>
          <cell r="T154">
            <v>1746026.06</v>
          </cell>
          <cell r="U154">
            <v>2131707.2599999998</v>
          </cell>
        </row>
        <row r="155">
          <cell r="P155">
            <v>272074.27</v>
          </cell>
          <cell r="Q155">
            <v>304792.05</v>
          </cell>
          <cell r="R155">
            <v>489318.83</v>
          </cell>
          <cell r="S155">
            <v>566673.49</v>
          </cell>
          <cell r="T155">
            <v>553751.98</v>
          </cell>
          <cell r="U155">
            <v>689784.36</v>
          </cell>
        </row>
        <row r="157">
          <cell r="P157">
            <v>1619154.38</v>
          </cell>
          <cell r="Q157">
            <v>1615788.96</v>
          </cell>
          <cell r="R157">
            <v>2153437.1</v>
          </cell>
          <cell r="S157">
            <v>3021548.76</v>
          </cell>
          <cell r="T157">
            <v>3254929.83</v>
          </cell>
          <cell r="U157">
            <v>2379980.62</v>
          </cell>
        </row>
        <row r="158">
          <cell r="P158">
            <v>974906.46</v>
          </cell>
          <cell r="Q158">
            <v>1123814.97</v>
          </cell>
          <cell r="R158">
            <v>1734738.29</v>
          </cell>
          <cell r="S158">
            <v>1514479.51</v>
          </cell>
          <cell r="T158">
            <v>1699154.53</v>
          </cell>
          <cell r="U158">
            <v>2035474.13</v>
          </cell>
        </row>
        <row r="159">
          <cell r="P159">
            <v>201022</v>
          </cell>
          <cell r="Q159">
            <v>242807.52</v>
          </cell>
          <cell r="R159">
            <v>378802.57</v>
          </cell>
          <cell r="S159">
            <v>433128.08</v>
          </cell>
          <cell r="T159">
            <v>440895.26</v>
          </cell>
          <cell r="U159">
            <v>569810.31000000006</v>
          </cell>
        </row>
        <row r="161">
          <cell r="N161">
            <v>1384540.23</v>
          </cell>
          <cell r="O161">
            <v>1834815.92</v>
          </cell>
          <cell r="P161">
            <v>1833297.7</v>
          </cell>
          <cell r="Q161">
            <v>3592718.45</v>
          </cell>
          <cell r="R161">
            <v>2548406.41</v>
          </cell>
          <cell r="S161">
            <v>2875999.63</v>
          </cell>
          <cell r="T161">
            <v>4338433.05</v>
          </cell>
          <cell r="U161">
            <v>2488951.0099999998</v>
          </cell>
        </row>
        <row r="162">
          <cell r="N162">
            <v>376835.73</v>
          </cell>
          <cell r="O162">
            <v>499389.03</v>
          </cell>
          <cell r="P162">
            <v>498975.81</v>
          </cell>
          <cell r="Q162">
            <v>977844.24</v>
          </cell>
          <cell r="R162">
            <v>693609.75</v>
          </cell>
          <cell r="S162">
            <v>782772.07</v>
          </cell>
          <cell r="T162">
            <v>1180808.3</v>
          </cell>
          <cell r="U162">
            <v>677427.54</v>
          </cell>
        </row>
        <row r="163">
          <cell r="N163">
            <v>245204.08</v>
          </cell>
          <cell r="O163">
            <v>324948.56</v>
          </cell>
          <cell r="P163">
            <v>324679.67999999999</v>
          </cell>
          <cell r="Q163">
            <v>636275.64</v>
          </cell>
          <cell r="R163">
            <v>451326.47</v>
          </cell>
          <cell r="S163">
            <v>509343.7</v>
          </cell>
          <cell r="T163">
            <v>768342.78</v>
          </cell>
          <cell r="U163">
            <v>440796.83</v>
          </cell>
        </row>
        <row r="165">
          <cell r="N165">
            <v>1280440.23</v>
          </cell>
          <cell r="O165">
            <v>1798212.94</v>
          </cell>
          <cell r="P165">
            <v>1690009.58</v>
          </cell>
          <cell r="Q165">
            <v>1738547.62</v>
          </cell>
          <cell r="R165">
            <v>2011779.57</v>
          </cell>
          <cell r="S165">
            <v>2382414.61</v>
          </cell>
          <cell r="T165">
            <v>3823978.11</v>
          </cell>
          <cell r="U165">
            <v>2404961.0499999998</v>
          </cell>
        </row>
        <row r="166">
          <cell r="N166">
            <v>348502.43</v>
          </cell>
          <cell r="O166">
            <v>489426.65</v>
          </cell>
          <cell r="P166">
            <v>459976.52</v>
          </cell>
          <cell r="Q166">
            <v>473187.31</v>
          </cell>
          <cell r="R166">
            <v>547553.92000000004</v>
          </cell>
          <cell r="S166">
            <v>648431.11</v>
          </cell>
          <cell r="T166">
            <v>1040787.09</v>
          </cell>
          <cell r="U166">
            <v>654567.66</v>
          </cell>
        </row>
        <row r="167">
          <cell r="N167">
            <v>226767.82</v>
          </cell>
          <cell r="O167">
            <v>318466.12</v>
          </cell>
          <cell r="P167">
            <v>299303.15000000002</v>
          </cell>
          <cell r="Q167">
            <v>307899.3</v>
          </cell>
          <cell r="R167">
            <v>356289.08</v>
          </cell>
          <cell r="S167">
            <v>421929.08</v>
          </cell>
          <cell r="T167">
            <v>677232.07</v>
          </cell>
          <cell r="U167">
            <v>425922.09</v>
          </cell>
        </row>
        <row r="169">
          <cell r="Q169">
            <v>1367450.78</v>
          </cell>
          <cell r="R169">
            <v>1586638.84</v>
          </cell>
          <cell r="S169">
            <v>2347534.9</v>
          </cell>
          <cell r="T169">
            <v>1723770.15</v>
          </cell>
          <cell r="U169">
            <v>2276453.2400000002</v>
          </cell>
        </row>
        <row r="170">
          <cell r="P170">
            <v>372795.05</v>
          </cell>
          <cell r="Q170">
            <v>681347.35</v>
          </cell>
          <cell r="R170">
            <v>853928.12</v>
          </cell>
          <cell r="S170">
            <v>1062221.82</v>
          </cell>
          <cell r="T170">
            <v>1099985.83</v>
          </cell>
          <cell r="U170">
            <v>1156484.3500000001</v>
          </cell>
        </row>
        <row r="174">
          <cell r="P174">
            <v>19925.759999999998</v>
          </cell>
          <cell r="Q174">
            <v>121474.28</v>
          </cell>
          <cell r="R174">
            <v>149251.37</v>
          </cell>
          <cell r="S174">
            <v>192236.17</v>
          </cell>
          <cell r="T174">
            <v>242260.5</v>
          </cell>
          <cell r="U174">
            <v>173533.17</v>
          </cell>
        </row>
        <row r="176">
          <cell r="P176">
            <v>567474.61</v>
          </cell>
          <cell r="Q176">
            <v>1364594.17</v>
          </cell>
          <cell r="R176">
            <v>1581768.13</v>
          </cell>
          <cell r="S176">
            <v>2338018.25</v>
          </cell>
          <cell r="T176">
            <v>1687184.52</v>
          </cell>
          <cell r="U176">
            <v>1882818.25</v>
          </cell>
        </row>
        <row r="177">
          <cell r="P177">
            <v>317555.96000000002</v>
          </cell>
          <cell r="Q177">
            <v>636402.9</v>
          </cell>
          <cell r="R177">
            <v>847236.67</v>
          </cell>
          <cell r="S177">
            <v>1049118.21</v>
          </cell>
          <cell r="T177">
            <v>1093158.94</v>
          </cell>
          <cell r="U177">
            <v>1129648.97</v>
          </cell>
        </row>
        <row r="181">
          <cell r="P181">
            <v>19258.150000000001</v>
          </cell>
          <cell r="Q181">
            <v>112798.95</v>
          </cell>
          <cell r="R181">
            <v>141665.45000000001</v>
          </cell>
          <cell r="S181">
            <v>183000.25</v>
          </cell>
          <cell r="T181">
            <v>231590.87</v>
          </cell>
          <cell r="U181">
            <v>157243.25</v>
          </cell>
        </row>
        <row r="183">
          <cell r="S183">
            <v>330102.99</v>
          </cell>
          <cell r="T183">
            <v>616701.32999999996</v>
          </cell>
          <cell r="U183">
            <v>870408.64</v>
          </cell>
        </row>
        <row r="184">
          <cell r="S184">
            <v>260456.05</v>
          </cell>
          <cell r="T184">
            <v>487051.02</v>
          </cell>
          <cell r="U184">
            <v>453800.89</v>
          </cell>
        </row>
        <row r="188">
          <cell r="S188">
            <v>16783.95</v>
          </cell>
          <cell r="T188">
            <v>18633.59</v>
          </cell>
          <cell r="U188">
            <v>24156.29</v>
          </cell>
        </row>
        <row r="190">
          <cell r="S190">
            <v>292781.40000000002</v>
          </cell>
          <cell r="T190">
            <v>615207.31000000006</v>
          </cell>
          <cell r="U190">
            <v>847071.66</v>
          </cell>
        </row>
        <row r="191">
          <cell r="S191">
            <v>208756.17</v>
          </cell>
          <cell r="T191">
            <v>407186.64</v>
          </cell>
          <cell r="U191">
            <v>385687.13</v>
          </cell>
        </row>
        <row r="195">
          <cell r="S195">
            <v>7646.55</v>
          </cell>
          <cell r="T195">
            <v>12841.78</v>
          </cell>
          <cell r="U195">
            <v>20678.919999999998</v>
          </cell>
        </row>
        <row r="198">
          <cell r="P198">
            <v>270303.87</v>
          </cell>
          <cell r="Q198">
            <v>851309.68</v>
          </cell>
          <cell r="R198">
            <v>2488261.2799999998</v>
          </cell>
          <cell r="S198">
            <v>2506779.14</v>
          </cell>
          <cell r="T198">
            <v>2568084.25</v>
          </cell>
          <cell r="U198">
            <v>2205778.08</v>
          </cell>
        </row>
        <row r="199">
          <cell r="P199">
            <v>173430.1</v>
          </cell>
          <cell r="Q199">
            <v>1100495.3</v>
          </cell>
          <cell r="R199">
            <v>1186812.07</v>
          </cell>
          <cell r="S199">
            <v>1507933.2</v>
          </cell>
          <cell r="T199">
            <v>1742114.38</v>
          </cell>
          <cell r="U199">
            <v>5433692.2199999997</v>
          </cell>
        </row>
        <row r="200">
          <cell r="S200">
            <v>0</v>
          </cell>
          <cell r="T200">
            <v>0</v>
          </cell>
          <cell r="U200">
            <v>0</v>
          </cell>
        </row>
        <row r="201">
          <cell r="S201">
            <v>0</v>
          </cell>
          <cell r="T201">
            <v>0</v>
          </cell>
          <cell r="U201">
            <v>0</v>
          </cell>
        </row>
        <row r="202">
          <cell r="S202">
            <v>0</v>
          </cell>
          <cell r="T202">
            <v>0</v>
          </cell>
          <cell r="U202">
            <v>0</v>
          </cell>
        </row>
        <row r="203">
          <cell r="P203">
            <v>37480.959999999999</v>
          </cell>
          <cell r="Q203">
            <v>332026.03999999998</v>
          </cell>
          <cell r="R203">
            <v>432297.46</v>
          </cell>
          <cell r="S203">
            <v>644625.61</v>
          </cell>
          <cell r="T203">
            <v>678522.84</v>
          </cell>
          <cell r="U203">
            <v>570671.57999999996</v>
          </cell>
        </row>
        <row r="205">
          <cell r="P205">
            <v>270358.46999999997</v>
          </cell>
          <cell r="Q205">
            <v>850076.11</v>
          </cell>
          <cell r="R205">
            <v>2492467.7799999998</v>
          </cell>
          <cell r="S205">
            <v>2507469.85</v>
          </cell>
          <cell r="T205">
            <v>2568290.85</v>
          </cell>
          <cell r="U205">
            <v>2202835.4900000002</v>
          </cell>
        </row>
        <row r="206">
          <cell r="P206">
            <v>165300.04</v>
          </cell>
          <cell r="Q206">
            <v>821917.98</v>
          </cell>
          <cell r="R206">
            <v>1082506.47</v>
          </cell>
          <cell r="S206">
            <v>1509512.71</v>
          </cell>
          <cell r="T206">
            <v>1741918.09</v>
          </cell>
          <cell r="U206">
            <v>2055637.92</v>
          </cell>
        </row>
        <row r="207">
          <cell r="S207">
            <v>0</v>
          </cell>
          <cell r="T207">
            <v>0</v>
          </cell>
          <cell r="U207">
            <v>0</v>
          </cell>
        </row>
        <row r="208">
          <cell r="S208">
            <v>0</v>
          </cell>
          <cell r="T208">
            <v>0</v>
          </cell>
          <cell r="U208">
            <v>0</v>
          </cell>
        </row>
        <row r="209">
          <cell r="S209">
            <v>0</v>
          </cell>
          <cell r="T209">
            <v>0</v>
          </cell>
          <cell r="U209">
            <v>0</v>
          </cell>
        </row>
        <row r="210">
          <cell r="P210">
            <v>36620.230000000003</v>
          </cell>
          <cell r="Q210">
            <v>294759.95</v>
          </cell>
          <cell r="R210">
            <v>415191.17</v>
          </cell>
          <cell r="S210">
            <v>611241.87</v>
          </cell>
          <cell r="T210">
            <v>658864.02</v>
          </cell>
          <cell r="U210">
            <v>462352.51</v>
          </cell>
        </row>
        <row r="212">
          <cell r="Q212">
            <v>186800.13</v>
          </cell>
          <cell r="R212">
            <v>478945.48</v>
          </cell>
          <cell r="S212">
            <v>839866.55</v>
          </cell>
          <cell r="T212">
            <v>508754.49</v>
          </cell>
          <cell r="U212">
            <v>512174.93</v>
          </cell>
        </row>
        <row r="213">
          <cell r="Q213">
            <v>815702.46</v>
          </cell>
          <cell r="R213">
            <v>713223.93</v>
          </cell>
          <cell r="S213">
            <v>1524949.41</v>
          </cell>
          <cell r="T213">
            <v>959933.57</v>
          </cell>
          <cell r="U213">
            <v>1365949.69</v>
          </cell>
        </row>
        <row r="214">
          <cell r="Q214">
            <v>82792.12</v>
          </cell>
          <cell r="R214">
            <v>115387.08</v>
          </cell>
          <cell r="T214">
            <v>121170.82</v>
          </cell>
          <cell r="U214">
            <v>113858.73</v>
          </cell>
        </row>
        <row r="216">
          <cell r="Q216">
            <v>185315.13</v>
          </cell>
          <cell r="R216">
            <v>403628.55</v>
          </cell>
          <cell r="S216">
            <v>837738.13</v>
          </cell>
          <cell r="T216">
            <v>508467.64</v>
          </cell>
          <cell r="U216">
            <v>507310.61</v>
          </cell>
        </row>
        <row r="217">
          <cell r="Q217">
            <v>561579.11</v>
          </cell>
          <cell r="R217">
            <v>478306.5</v>
          </cell>
          <cell r="S217">
            <v>1124869.3799999999</v>
          </cell>
          <cell r="T217">
            <v>637221.92000000004</v>
          </cell>
          <cell r="U217">
            <v>1001216.72</v>
          </cell>
        </row>
        <row r="218">
          <cell r="Q218">
            <v>69996.69</v>
          </cell>
          <cell r="R218">
            <v>95467.5</v>
          </cell>
          <cell r="S218">
            <v>80804.62</v>
          </cell>
          <cell r="T218">
            <v>111571.15</v>
          </cell>
          <cell r="U218">
            <v>94215.24</v>
          </cell>
        </row>
      </sheetData>
      <sheetData sheetId="7">
        <row r="4">
          <cell r="E4">
            <v>755801.67</v>
          </cell>
        </row>
        <row r="5">
          <cell r="E5">
            <v>0</v>
          </cell>
        </row>
        <row r="6">
          <cell r="E6">
            <v>18915.21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302772.08</v>
          </cell>
        </row>
        <row r="11">
          <cell r="E11">
            <v>719732.14</v>
          </cell>
        </row>
        <row r="12">
          <cell r="E12">
            <v>0</v>
          </cell>
        </row>
        <row r="13">
          <cell r="E13">
            <v>18689.54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300954.73</v>
          </cell>
        </row>
        <row r="18">
          <cell r="E18">
            <v>54325893.210000001</v>
          </cell>
        </row>
        <row r="19">
          <cell r="E19">
            <v>4419107.34</v>
          </cell>
        </row>
        <row r="20">
          <cell r="E20">
            <v>11776.79</v>
          </cell>
        </row>
        <row r="21">
          <cell r="E21">
            <v>2006.71</v>
          </cell>
        </row>
        <row r="22">
          <cell r="E22">
            <v>1989576.61</v>
          </cell>
        </row>
        <row r="23">
          <cell r="E23">
            <v>455481.69</v>
          </cell>
        </row>
        <row r="25">
          <cell r="E25">
            <v>52540721.329999998</v>
          </cell>
        </row>
        <row r="26">
          <cell r="E26">
            <v>4382310.58</v>
          </cell>
        </row>
        <row r="27">
          <cell r="E27">
            <v>11479.97</v>
          </cell>
        </row>
        <row r="28">
          <cell r="E28">
            <v>1073.1500000000001</v>
          </cell>
        </row>
        <row r="29">
          <cell r="E29">
            <v>1916502.09</v>
          </cell>
        </row>
        <row r="30">
          <cell r="E30">
            <v>418544.09</v>
          </cell>
        </row>
        <row r="32">
          <cell r="E32">
            <v>1671921.2</v>
          </cell>
        </row>
        <row r="33">
          <cell r="E33">
            <v>516536.64</v>
          </cell>
        </row>
        <row r="34">
          <cell r="E34">
            <v>340.55</v>
          </cell>
        </row>
        <row r="35">
          <cell r="E35">
            <v>1163.33</v>
          </cell>
        </row>
        <row r="36">
          <cell r="E36">
            <v>0</v>
          </cell>
        </row>
        <row r="37">
          <cell r="E37">
            <v>107716.89</v>
          </cell>
        </row>
        <row r="39">
          <cell r="E39">
            <v>1325426.94</v>
          </cell>
        </row>
        <row r="40">
          <cell r="E40">
            <v>451916.85</v>
          </cell>
        </row>
        <row r="41">
          <cell r="E41">
            <v>340.55</v>
          </cell>
        </row>
        <row r="42">
          <cell r="E42">
            <v>1163.33</v>
          </cell>
        </row>
        <row r="43">
          <cell r="E43">
            <v>0</v>
          </cell>
        </row>
        <row r="44">
          <cell r="E44">
            <v>102307.45</v>
          </cell>
        </row>
        <row r="46">
          <cell r="E46">
            <v>1195348.49</v>
          </cell>
        </row>
        <row r="47">
          <cell r="E47">
            <v>459814.11</v>
          </cell>
        </row>
        <row r="48">
          <cell r="E48">
            <v>15010.18</v>
          </cell>
        </row>
        <row r="49">
          <cell r="E49">
            <v>323.57</v>
          </cell>
        </row>
        <row r="50">
          <cell r="E50">
            <v>0</v>
          </cell>
        </row>
        <row r="51">
          <cell r="E51">
            <v>79711.38</v>
          </cell>
        </row>
        <row r="53">
          <cell r="E53">
            <v>1065890.71</v>
          </cell>
        </row>
        <row r="54">
          <cell r="E54">
            <v>445616.02</v>
          </cell>
        </row>
        <row r="55">
          <cell r="E55">
            <v>5160.8900000000003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73941.86</v>
          </cell>
        </row>
        <row r="60">
          <cell r="E60">
            <v>13109466.119999999</v>
          </cell>
        </row>
        <row r="61">
          <cell r="E61">
            <v>1327932.31</v>
          </cell>
        </row>
        <row r="62">
          <cell r="E62">
            <v>2003.29</v>
          </cell>
        </row>
        <row r="63">
          <cell r="E63">
            <v>48208.3</v>
          </cell>
        </row>
        <row r="64">
          <cell r="E64">
            <v>0</v>
          </cell>
        </row>
        <row r="65">
          <cell r="E65">
            <v>1049499.18</v>
          </cell>
        </row>
        <row r="67">
          <cell r="E67">
            <v>12923069.199999999</v>
          </cell>
        </row>
        <row r="68">
          <cell r="E68">
            <v>1290558.6000000001</v>
          </cell>
        </row>
        <row r="69">
          <cell r="E69">
            <v>1774.36</v>
          </cell>
        </row>
        <row r="70">
          <cell r="E70">
            <v>48208.3</v>
          </cell>
        </row>
        <row r="71">
          <cell r="E71">
            <v>0</v>
          </cell>
        </row>
        <row r="72">
          <cell r="E72">
            <v>875500.56</v>
          </cell>
        </row>
        <row r="74">
          <cell r="E74">
            <v>3051797.37</v>
          </cell>
        </row>
        <row r="75">
          <cell r="E75">
            <v>19224.96</v>
          </cell>
        </row>
        <row r="76">
          <cell r="E76">
            <v>3302.23</v>
          </cell>
        </row>
        <row r="77">
          <cell r="E77">
            <v>5338.4</v>
          </cell>
        </row>
        <row r="78">
          <cell r="E78">
            <v>0</v>
          </cell>
        </row>
        <row r="79">
          <cell r="E79">
            <v>59503.79</v>
          </cell>
        </row>
        <row r="81">
          <cell r="E81">
            <v>3034663.63</v>
          </cell>
        </row>
        <row r="82">
          <cell r="E82">
            <v>16899.59</v>
          </cell>
        </row>
        <row r="83">
          <cell r="E83">
            <v>3302.23</v>
          </cell>
        </row>
        <row r="84">
          <cell r="E84">
            <v>4061.81</v>
          </cell>
        </row>
        <row r="85">
          <cell r="E85">
            <v>0</v>
          </cell>
        </row>
        <row r="86">
          <cell r="E86">
            <v>53253.87</v>
          </cell>
        </row>
        <row r="88">
          <cell r="E88">
            <v>1849488.16</v>
          </cell>
        </row>
        <row r="89">
          <cell r="E89">
            <v>151077.99</v>
          </cell>
        </row>
        <row r="90">
          <cell r="E90">
            <v>15774.98</v>
          </cell>
        </row>
        <row r="91">
          <cell r="E91">
            <v>2774.82</v>
          </cell>
        </row>
        <row r="92">
          <cell r="E92">
            <v>0</v>
          </cell>
        </row>
        <row r="93">
          <cell r="E93">
            <v>22827.41</v>
          </cell>
        </row>
        <row r="95">
          <cell r="E95">
            <v>1844629.25</v>
          </cell>
        </row>
        <row r="96">
          <cell r="E96">
            <v>144215.14000000001</v>
          </cell>
        </row>
        <row r="97">
          <cell r="E97">
            <v>14670.48</v>
          </cell>
        </row>
        <row r="98">
          <cell r="E98">
            <v>2707.34</v>
          </cell>
        </row>
        <row r="99">
          <cell r="E99">
            <v>0</v>
          </cell>
        </row>
        <row r="100">
          <cell r="E100">
            <v>21988.26</v>
          </cell>
        </row>
        <row r="102">
          <cell r="E102">
            <v>1116323.3600000001</v>
          </cell>
        </row>
        <row r="103">
          <cell r="E103">
            <v>542471.03</v>
          </cell>
        </row>
        <row r="104">
          <cell r="E104">
            <v>0</v>
          </cell>
        </row>
        <row r="105">
          <cell r="E105">
            <v>0</v>
          </cell>
        </row>
        <row r="106">
          <cell r="E106">
            <v>1236146.42</v>
          </cell>
        </row>
        <row r="107">
          <cell r="E107">
            <v>107720.5</v>
          </cell>
        </row>
        <row r="109">
          <cell r="E109">
            <v>1065874.46</v>
          </cell>
        </row>
        <row r="110">
          <cell r="E110">
            <v>541817.99</v>
          </cell>
        </row>
        <row r="111">
          <cell r="E111">
            <v>0</v>
          </cell>
        </row>
        <row r="112">
          <cell r="E112">
            <v>0</v>
          </cell>
        </row>
        <row r="113">
          <cell r="E113">
            <v>1177757.02</v>
          </cell>
        </row>
        <row r="114">
          <cell r="E114">
            <v>95056.05</v>
          </cell>
        </row>
        <row r="116">
          <cell r="E116">
            <v>651005.35</v>
          </cell>
        </row>
        <row r="117">
          <cell r="E117">
            <v>369676.86</v>
          </cell>
        </row>
        <row r="118">
          <cell r="E118">
            <v>0</v>
          </cell>
        </row>
        <row r="119">
          <cell r="E119">
            <v>14711.53</v>
          </cell>
        </row>
        <row r="120">
          <cell r="E120">
            <v>0</v>
          </cell>
        </row>
        <row r="121">
          <cell r="E121">
            <v>299517.06</v>
          </cell>
        </row>
        <row r="123">
          <cell r="E123">
            <v>652100.28</v>
          </cell>
        </row>
        <row r="124">
          <cell r="E124">
            <v>240226.7</v>
          </cell>
        </row>
        <row r="125">
          <cell r="E125">
            <v>0</v>
          </cell>
        </row>
        <row r="126">
          <cell r="E126">
            <v>4942.12</v>
          </cell>
        </row>
        <row r="127">
          <cell r="E127">
            <v>0</v>
          </cell>
        </row>
        <row r="128">
          <cell r="E128">
            <v>296328.2</v>
          </cell>
        </row>
        <row r="130">
          <cell r="E130">
            <v>127617.82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0</v>
          </cell>
        </row>
        <row r="134">
          <cell r="E134">
            <v>0</v>
          </cell>
        </row>
        <row r="135">
          <cell r="E135">
            <v>0</v>
          </cell>
        </row>
        <row r="137">
          <cell r="E137">
            <v>126783.84</v>
          </cell>
        </row>
        <row r="138">
          <cell r="E138">
            <v>0</v>
          </cell>
        </row>
        <row r="139">
          <cell r="E139">
            <v>0</v>
          </cell>
        </row>
        <row r="140">
          <cell r="E140">
            <v>0</v>
          </cell>
        </row>
        <row r="141">
          <cell r="E141">
            <v>0</v>
          </cell>
        </row>
        <row r="142">
          <cell r="E142">
            <v>0</v>
          </cell>
        </row>
      </sheetData>
      <sheetData sheetId="8" refreshError="1"/>
      <sheetData sheetId="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"/>
      <sheetName val="AL"/>
      <sheetName val="AM"/>
      <sheetName val="BA"/>
      <sheetName val="CE"/>
      <sheetName val="ES"/>
      <sheetName val="GO"/>
      <sheetName val="MA"/>
      <sheetName val="MG"/>
      <sheetName val="MT"/>
      <sheetName val="MS"/>
      <sheetName val="PA"/>
      <sheetName val="PB"/>
      <sheetName val="PE"/>
      <sheetName val="PI"/>
      <sheetName val="PR"/>
      <sheetName val="RN"/>
      <sheetName val="RO"/>
      <sheetName val="RS"/>
      <sheetName val="SE"/>
      <sheetName val="SC"/>
      <sheetName val="TO"/>
      <sheetName val="AP"/>
      <sheetName val="DF1"/>
      <sheetName val="DF2"/>
      <sheetName val="DF3"/>
      <sheetName val="DF4"/>
      <sheetName val="DF5"/>
      <sheetName val="RJ1"/>
      <sheetName val="RJ2"/>
      <sheetName val="RJ3"/>
      <sheetName val="RJ4"/>
      <sheetName val="RJ5"/>
      <sheetName val="SP1"/>
      <sheetName val="SP2"/>
      <sheetName val="SP3"/>
      <sheetName val="SP4"/>
      <sheetName val="SP5"/>
    </sheetNames>
    <sheetDataSet>
      <sheetData sheetId="0"/>
      <sheetData sheetId="1"/>
      <sheetData sheetId="2"/>
      <sheetData sheetId="3"/>
      <sheetData sheetId="4">
        <row r="14">
          <cell r="Q14">
            <v>27255.41</v>
          </cell>
          <cell r="R14">
            <v>123688995.43000001</v>
          </cell>
          <cell r="S14">
            <v>75284564.400000006</v>
          </cell>
          <cell r="T14">
            <v>3383822</v>
          </cell>
          <cell r="U14">
            <v>21154.19</v>
          </cell>
          <cell r="V14">
            <v>122634073.27</v>
          </cell>
          <cell r="W14">
            <v>71007955.450000003</v>
          </cell>
          <cell r="X14">
            <v>3260566.13</v>
          </cell>
        </row>
        <row r="15">
          <cell r="Q15">
            <v>254305.6</v>
          </cell>
          <cell r="R15">
            <v>3998960.51</v>
          </cell>
          <cell r="S15">
            <v>962518.14</v>
          </cell>
          <cell r="T15">
            <v>326251.43</v>
          </cell>
          <cell r="U15">
            <v>253847.79</v>
          </cell>
          <cell r="V15">
            <v>4206394.07</v>
          </cell>
          <cell r="W15">
            <v>960840.98999999801</v>
          </cell>
          <cell r="X15">
            <v>344402.05</v>
          </cell>
        </row>
        <row r="16">
          <cell r="Q16">
            <v>3960.27</v>
          </cell>
          <cell r="R16">
            <v>486046.98</v>
          </cell>
          <cell r="S16">
            <v>9043.57</v>
          </cell>
          <cell r="T16">
            <v>167362.28</v>
          </cell>
          <cell r="U16">
            <v>4215.6400000000003</v>
          </cell>
          <cell r="V16">
            <v>503989.63</v>
          </cell>
          <cell r="W16">
            <v>8039.42</v>
          </cell>
          <cell r="X16">
            <v>165126.45000000001</v>
          </cell>
        </row>
        <row r="17">
          <cell r="Q17">
            <v>10863.59</v>
          </cell>
          <cell r="R17">
            <v>1545808.4</v>
          </cell>
          <cell r="S17">
            <v>80119.13</v>
          </cell>
          <cell r="T17">
            <v>303789.96000000002</v>
          </cell>
          <cell r="U17">
            <v>7654.25</v>
          </cell>
          <cell r="V17">
            <v>1666783.64</v>
          </cell>
          <cell r="W17">
            <v>60567.56</v>
          </cell>
          <cell r="X17">
            <v>242942.5</v>
          </cell>
        </row>
        <row r="18">
          <cell r="Q18">
            <v>9363.7900000000009</v>
          </cell>
          <cell r="R18">
            <v>803932.09</v>
          </cell>
          <cell r="S18">
            <v>19815.63</v>
          </cell>
          <cell r="T18">
            <v>49268.959999999999</v>
          </cell>
          <cell r="U18">
            <v>9831.93</v>
          </cell>
          <cell r="V18">
            <v>797117.58</v>
          </cell>
          <cell r="W18">
            <v>9646.4</v>
          </cell>
          <cell r="X18">
            <v>32461.77</v>
          </cell>
        </row>
        <row r="19">
          <cell r="Q19">
            <v>2195694.9700000002</v>
          </cell>
          <cell r="R19">
            <v>1612993.21</v>
          </cell>
          <cell r="S19">
            <v>1204249.3400000001</v>
          </cell>
          <cell r="T19">
            <v>571835.74</v>
          </cell>
          <cell r="U19">
            <v>2160475.3199999998</v>
          </cell>
          <cell r="V19">
            <v>1662930.86</v>
          </cell>
          <cell r="W19">
            <v>1143356</v>
          </cell>
          <cell r="X19">
            <v>421715.11</v>
          </cell>
        </row>
        <row r="20">
          <cell r="Q20">
            <v>168522.82</v>
          </cell>
          <cell r="R20">
            <v>1242283.71</v>
          </cell>
          <cell r="S20">
            <v>984503.72</v>
          </cell>
          <cell r="T20">
            <v>454733.56</v>
          </cell>
          <cell r="U20">
            <v>138110.16</v>
          </cell>
          <cell r="V20">
            <v>1239205.98</v>
          </cell>
          <cell r="W20">
            <v>996354.39</v>
          </cell>
          <cell r="X20">
            <v>374357.28</v>
          </cell>
        </row>
        <row r="21">
          <cell r="Q21">
            <v>163299.95000000001</v>
          </cell>
          <cell r="R21">
            <v>6002435.2599999998</v>
          </cell>
          <cell r="S21">
            <v>1822550.88</v>
          </cell>
          <cell r="T21">
            <v>892291.2</v>
          </cell>
          <cell r="U21">
            <v>147032.15</v>
          </cell>
          <cell r="V21">
            <v>7068630.2800000096</v>
          </cell>
          <cell r="W21">
            <v>1603868.86</v>
          </cell>
          <cell r="X21">
            <v>674871.27999999898</v>
          </cell>
        </row>
        <row r="22">
          <cell r="Q22">
            <v>3160.1</v>
          </cell>
          <cell r="R22">
            <v>3062639.74</v>
          </cell>
          <cell r="S22">
            <v>163904.56</v>
          </cell>
          <cell r="T22">
            <v>206793.84</v>
          </cell>
          <cell r="U22">
            <v>3326.5</v>
          </cell>
          <cell r="V22">
            <v>3057219.89</v>
          </cell>
          <cell r="W22">
            <v>171241.96</v>
          </cell>
          <cell r="X22">
            <v>207737.27</v>
          </cell>
        </row>
        <row r="23">
          <cell r="Q23">
            <v>5669.23</v>
          </cell>
          <cell r="R23">
            <v>1832233</v>
          </cell>
          <cell r="S23">
            <v>219594.89</v>
          </cell>
          <cell r="T23">
            <v>116136.68</v>
          </cell>
          <cell r="U23">
            <v>4942.25</v>
          </cell>
          <cell r="V23">
            <v>2042936.26</v>
          </cell>
          <cell r="W23">
            <v>159476.64000000001</v>
          </cell>
          <cell r="X23">
            <v>97192.350000000093</v>
          </cell>
        </row>
        <row r="24">
          <cell r="Q24">
            <v>33232.230000000003</v>
          </cell>
          <cell r="R24">
            <v>1217938.44</v>
          </cell>
          <cell r="S24">
            <v>737337.58</v>
          </cell>
          <cell r="T24">
            <v>136081.32999999999</v>
          </cell>
          <cell r="U24">
            <v>28906.15</v>
          </cell>
          <cell r="V24">
            <v>1212789.3700000001</v>
          </cell>
          <cell r="W24">
            <v>573721.61</v>
          </cell>
          <cell r="X24">
            <v>118722.46</v>
          </cell>
        </row>
        <row r="25">
          <cell r="Q25">
            <v>51400.21</v>
          </cell>
          <cell r="R25">
            <v>913065.79</v>
          </cell>
          <cell r="S25">
            <v>105118.66</v>
          </cell>
          <cell r="T25">
            <v>64223.47</v>
          </cell>
          <cell r="U25">
            <v>55470.81</v>
          </cell>
          <cell r="V25">
            <v>913065.79</v>
          </cell>
          <cell r="W25">
            <v>108956.99</v>
          </cell>
          <cell r="X25">
            <v>45216.59</v>
          </cell>
        </row>
      </sheetData>
      <sheetData sheetId="5">
        <row r="14">
          <cell r="Q14">
            <v>49259</v>
          </cell>
          <cell r="R14">
            <v>5471045</v>
          </cell>
          <cell r="S14">
            <v>93740</v>
          </cell>
          <cell r="T14">
            <v>3169.58</v>
          </cell>
        </row>
        <row r="15">
          <cell r="Q15">
            <v>104.06</v>
          </cell>
          <cell r="R15">
            <v>25122.83</v>
          </cell>
          <cell r="S15">
            <v>982.42</v>
          </cell>
          <cell r="T15">
            <v>687.99</v>
          </cell>
        </row>
      </sheetData>
      <sheetData sheetId="6"/>
      <sheetData sheetId="7"/>
      <sheetData sheetId="8">
        <row r="14">
          <cell r="Q14">
            <v>454619.67</v>
          </cell>
          <cell r="R14">
            <v>686559.62</v>
          </cell>
          <cell r="S14">
            <v>486871.03999999998</v>
          </cell>
          <cell r="T14">
            <v>225967.62</v>
          </cell>
          <cell r="U14">
            <v>162452.68</v>
          </cell>
          <cell r="V14">
            <v>384149.79</v>
          </cell>
          <cell r="W14">
            <v>353697.5</v>
          </cell>
          <cell r="X14">
            <v>122357.65</v>
          </cell>
        </row>
        <row r="15">
          <cell r="T15">
            <v>367638.64</v>
          </cell>
          <cell r="U15">
            <v>483402.22</v>
          </cell>
          <cell r="V15">
            <v>2706754.89</v>
          </cell>
          <cell r="W15">
            <v>1229107.21</v>
          </cell>
          <cell r="X15">
            <v>190097.43</v>
          </cell>
        </row>
        <row r="16">
          <cell r="Q16">
            <v>411088.65</v>
          </cell>
          <cell r="R16">
            <v>10767815.42</v>
          </cell>
          <cell r="S16">
            <v>7846909.6500000004</v>
          </cell>
          <cell r="T16">
            <v>1009337.82</v>
          </cell>
          <cell r="U16">
            <v>258756.58</v>
          </cell>
          <cell r="V16">
            <v>10672074.26</v>
          </cell>
          <cell r="W16">
            <v>8113869.5599999996</v>
          </cell>
          <cell r="X16">
            <v>631233.88</v>
          </cell>
        </row>
        <row r="17">
          <cell r="Q17">
            <v>572344.25</v>
          </cell>
          <cell r="R17">
            <v>355727.28</v>
          </cell>
          <cell r="S17">
            <v>122302.88</v>
          </cell>
          <cell r="T17">
            <v>165866.76</v>
          </cell>
          <cell r="U17">
            <v>132991.31</v>
          </cell>
          <cell r="V17">
            <v>326584.59000000003</v>
          </cell>
          <cell r="W17">
            <v>44097.54</v>
          </cell>
          <cell r="X17">
            <v>16539.78</v>
          </cell>
        </row>
        <row r="18">
          <cell r="Q18">
            <v>892258.57</v>
          </cell>
          <cell r="R18">
            <v>10824365.85</v>
          </cell>
          <cell r="S18">
            <v>4139581.16</v>
          </cell>
          <cell r="T18">
            <v>5060105.8600000003</v>
          </cell>
          <cell r="U18">
            <v>274737.83</v>
          </cell>
          <cell r="V18">
            <v>9145243.5999999996</v>
          </cell>
          <cell r="W18">
            <v>2901591.27</v>
          </cell>
          <cell r="X18">
            <v>1144534.94</v>
          </cell>
        </row>
        <row r="19">
          <cell r="Q19">
            <v>540013.18000000005</v>
          </cell>
          <cell r="R19">
            <v>472960.04</v>
          </cell>
          <cell r="S19">
            <v>51283.56</v>
          </cell>
          <cell r="T19">
            <v>343511.78</v>
          </cell>
          <cell r="U19">
            <v>195469.45</v>
          </cell>
          <cell r="V19">
            <v>452011.55</v>
          </cell>
          <cell r="W19">
            <v>42757.26</v>
          </cell>
          <cell r="X19">
            <v>54253.1</v>
          </cell>
        </row>
        <row r="20">
          <cell r="Q20">
            <v>6930158.9500000002</v>
          </cell>
          <cell r="R20">
            <v>611916.28</v>
          </cell>
          <cell r="S20">
            <v>2394246.02</v>
          </cell>
          <cell r="T20">
            <v>1571512.66</v>
          </cell>
          <cell r="U20">
            <v>4510697.5999999996</v>
          </cell>
          <cell r="V20">
            <v>583290.67000000004</v>
          </cell>
          <cell r="W20">
            <v>2172791.67</v>
          </cell>
          <cell r="X20">
            <v>518340.24</v>
          </cell>
        </row>
        <row r="21">
          <cell r="Q21">
            <v>1590276.44</v>
          </cell>
          <cell r="R21">
            <v>43643.79</v>
          </cell>
          <cell r="S21">
            <v>14001.94</v>
          </cell>
          <cell r="T21">
            <v>500474.95</v>
          </cell>
          <cell r="U21">
            <v>846819.6</v>
          </cell>
          <cell r="V21">
            <v>34570.519999999997</v>
          </cell>
          <cell r="W21">
            <v>6905.27</v>
          </cell>
          <cell r="X21">
            <v>52921.96</v>
          </cell>
        </row>
        <row r="22">
          <cell r="Q22">
            <v>294430.84999999998</v>
          </cell>
          <cell r="R22">
            <v>122133.81</v>
          </cell>
          <cell r="S22">
            <v>7084.14</v>
          </cell>
          <cell r="T22">
            <v>515062.95</v>
          </cell>
          <cell r="U22">
            <v>55048.02</v>
          </cell>
          <cell r="V22">
            <v>60496.59</v>
          </cell>
          <cell r="W22">
            <v>2121.7399999999998</v>
          </cell>
          <cell r="X22">
            <v>2078.36</v>
          </cell>
        </row>
        <row r="23">
          <cell r="Q23">
            <v>601706.17000000004</v>
          </cell>
          <cell r="R23">
            <v>939177.08</v>
          </cell>
          <cell r="S23">
            <v>307970.96000000002</v>
          </cell>
          <cell r="T23">
            <v>1295918.67</v>
          </cell>
          <cell r="U23">
            <v>221796.39</v>
          </cell>
          <cell r="V23">
            <v>902260.69</v>
          </cell>
          <cell r="W23">
            <v>177005.49</v>
          </cell>
          <cell r="X23">
            <v>65083.13</v>
          </cell>
        </row>
        <row r="24">
          <cell r="Q24">
            <v>146358.32999999999</v>
          </cell>
          <cell r="R24">
            <v>3577656.97</v>
          </cell>
          <cell r="S24">
            <v>1427274.99</v>
          </cell>
          <cell r="T24">
            <v>1104922.96</v>
          </cell>
          <cell r="U24">
            <v>100273.84</v>
          </cell>
          <cell r="V24">
            <v>1382228.58</v>
          </cell>
          <cell r="W24">
            <v>1424759.85</v>
          </cell>
          <cell r="X24">
            <v>1070577.56</v>
          </cell>
        </row>
        <row r="25">
          <cell r="Q25">
            <v>7076.18</v>
          </cell>
          <cell r="R25">
            <v>3923621.09</v>
          </cell>
          <cell r="S25">
            <v>9102668.4000000004</v>
          </cell>
          <cell r="T25">
            <v>826667.93</v>
          </cell>
          <cell r="U25">
            <v>6438.29</v>
          </cell>
          <cell r="V25">
            <v>3741534.31</v>
          </cell>
          <cell r="W25">
            <v>9219700.8900000006</v>
          </cell>
          <cell r="X25">
            <v>609533.81000000006</v>
          </cell>
        </row>
        <row r="26">
          <cell r="Q26">
            <v>9920.81</v>
          </cell>
          <cell r="R26">
            <v>528636.02</v>
          </cell>
          <cell r="S26">
            <v>3230076.21</v>
          </cell>
          <cell r="T26">
            <v>67430.48</v>
          </cell>
          <cell r="U26">
            <v>1053.6400000000001</v>
          </cell>
          <cell r="V26">
            <v>423644.36</v>
          </cell>
          <cell r="W26">
            <v>3277997.22</v>
          </cell>
          <cell r="X26">
            <v>29333.81</v>
          </cell>
        </row>
        <row r="27">
          <cell r="Q27">
            <v>47377.8</v>
          </cell>
          <cell r="R27">
            <v>1712963.5</v>
          </cell>
          <cell r="S27">
            <v>350839.92</v>
          </cell>
          <cell r="T27">
            <v>280507.28000000003</v>
          </cell>
          <cell r="U27">
            <v>21484.799999999999</v>
          </cell>
          <cell r="V27">
            <v>728449.32</v>
          </cell>
          <cell r="W27">
            <v>81964.899999999994</v>
          </cell>
          <cell r="X27">
            <v>95398.59</v>
          </cell>
        </row>
        <row r="28">
          <cell r="Q28">
            <v>11753.83</v>
          </cell>
          <cell r="R28">
            <v>932641.53</v>
          </cell>
          <cell r="S28">
            <v>22740.400000000001</v>
          </cell>
          <cell r="T28">
            <v>72602.710000000006</v>
          </cell>
          <cell r="U28">
            <v>5514.06</v>
          </cell>
          <cell r="V28">
            <v>855442.4</v>
          </cell>
          <cell r="W28">
            <v>3934.92</v>
          </cell>
          <cell r="X28">
            <v>23489.64</v>
          </cell>
        </row>
        <row r="29">
          <cell r="Q29">
            <v>86336.98</v>
          </cell>
          <cell r="R29">
            <v>777695.89</v>
          </cell>
          <cell r="S29">
            <v>40035.08</v>
          </cell>
          <cell r="T29">
            <v>132332.60999999999</v>
          </cell>
          <cell r="U29">
            <v>1688.04</v>
          </cell>
          <cell r="V29">
            <v>624329.34</v>
          </cell>
          <cell r="W29">
            <v>42450.15</v>
          </cell>
          <cell r="X29">
            <v>82763.740000000005</v>
          </cell>
        </row>
        <row r="30">
          <cell r="Q30">
            <v>5882425.7000000002</v>
          </cell>
          <cell r="R30">
            <v>960884.95</v>
          </cell>
          <cell r="S30">
            <v>1301198.52</v>
          </cell>
          <cell r="T30">
            <v>431132.69</v>
          </cell>
          <cell r="U30">
            <v>3619614.79</v>
          </cell>
          <cell r="V30">
            <v>824045.44</v>
          </cell>
          <cell r="W30">
            <v>941276.05</v>
          </cell>
          <cell r="X30">
            <v>184043.75</v>
          </cell>
        </row>
        <row r="31">
          <cell r="Q31">
            <v>7037147.6699999999</v>
          </cell>
          <cell r="R31">
            <v>4416510.13</v>
          </cell>
          <cell r="S31">
            <v>5488182.9000000004</v>
          </cell>
          <cell r="T31">
            <v>1146252.9099999999</v>
          </cell>
          <cell r="U31">
            <v>5088080.3600000003</v>
          </cell>
          <cell r="V31">
            <v>4337555.66</v>
          </cell>
          <cell r="W31">
            <v>5970154.8200000003</v>
          </cell>
          <cell r="X31">
            <v>420182.07</v>
          </cell>
        </row>
        <row r="32">
          <cell r="Q32">
            <v>4363573.1399999997</v>
          </cell>
          <cell r="R32">
            <v>1470720.06</v>
          </cell>
          <cell r="S32">
            <v>2356145.12</v>
          </cell>
          <cell r="T32">
            <v>763426.7</v>
          </cell>
          <cell r="U32">
            <v>2126735</v>
          </cell>
          <cell r="V32">
            <v>374345</v>
          </cell>
          <cell r="W32">
            <v>2158001.17</v>
          </cell>
          <cell r="X32">
            <v>185952.32</v>
          </cell>
        </row>
        <row r="33">
          <cell r="Q33">
            <v>136214.67000000001</v>
          </cell>
          <cell r="R33">
            <v>199078.43</v>
          </cell>
          <cell r="S33">
            <v>233960.7</v>
          </cell>
          <cell r="T33">
            <v>397715.91</v>
          </cell>
          <cell r="U33">
            <v>2132.13</v>
          </cell>
          <cell r="V33">
            <v>165931.32999999999</v>
          </cell>
          <cell r="W33">
            <v>42440.86</v>
          </cell>
          <cell r="X33">
            <v>50221.05</v>
          </cell>
        </row>
        <row r="34">
          <cell r="Q34">
            <v>148576.82999999999</v>
          </cell>
          <cell r="R34">
            <v>1371308.7</v>
          </cell>
          <cell r="S34">
            <v>540568.76</v>
          </cell>
          <cell r="T34">
            <v>388952.07</v>
          </cell>
          <cell r="U34">
            <v>19739.5</v>
          </cell>
          <cell r="V34">
            <v>641767.69999999995</v>
          </cell>
          <cell r="W34">
            <v>616867.93000000005</v>
          </cell>
          <cell r="X34">
            <v>342688.74</v>
          </cell>
        </row>
        <row r="35">
          <cell r="Q35">
            <v>334887.92</v>
          </cell>
          <cell r="R35">
            <v>1355947.4</v>
          </cell>
          <cell r="S35">
            <v>249058.24</v>
          </cell>
          <cell r="T35">
            <v>359597.19</v>
          </cell>
          <cell r="U35">
            <v>96078.5</v>
          </cell>
          <cell r="V35">
            <v>1423661.22</v>
          </cell>
          <cell r="W35">
            <v>196403.1</v>
          </cell>
          <cell r="X35">
            <v>60859.18</v>
          </cell>
        </row>
        <row r="36">
          <cell r="Q36">
            <v>408340.53</v>
          </cell>
          <cell r="R36">
            <v>1563505.56</v>
          </cell>
          <cell r="S36">
            <v>213298.44</v>
          </cell>
          <cell r="T36">
            <v>123823.79</v>
          </cell>
          <cell r="U36">
            <v>12906.78</v>
          </cell>
          <cell r="V36">
            <v>1436590.55</v>
          </cell>
          <cell r="W36">
            <v>141478.31</v>
          </cell>
          <cell r="X36">
            <v>55597.59</v>
          </cell>
        </row>
        <row r="37">
          <cell r="Q37">
            <v>180453.57</v>
          </cell>
          <cell r="R37">
            <v>754427.01</v>
          </cell>
          <cell r="S37">
            <v>193313.5</v>
          </cell>
          <cell r="T37">
            <v>1010802.03</v>
          </cell>
          <cell r="U37">
            <v>7878.85</v>
          </cell>
          <cell r="V37">
            <v>568234.34</v>
          </cell>
          <cell r="W37">
            <v>84127.03</v>
          </cell>
          <cell r="X37">
            <v>25635.07</v>
          </cell>
        </row>
        <row r="38">
          <cell r="Q38">
            <v>92214.3</v>
          </cell>
          <cell r="R38">
            <v>878976.75</v>
          </cell>
          <cell r="S38">
            <v>189570.97</v>
          </cell>
          <cell r="T38">
            <v>94130.09</v>
          </cell>
          <cell r="U38">
            <v>18975.3</v>
          </cell>
          <cell r="V38">
            <v>875448.76</v>
          </cell>
          <cell r="W38">
            <v>16893.330000000002</v>
          </cell>
          <cell r="X38">
            <v>8174.73</v>
          </cell>
        </row>
        <row r="39">
          <cell r="Q39">
            <v>249916.14</v>
          </cell>
          <cell r="R39">
            <v>400528.22</v>
          </cell>
          <cell r="S39">
            <v>235726.65</v>
          </cell>
          <cell r="T39">
            <v>446722.1</v>
          </cell>
          <cell r="U39">
            <v>78390.92</v>
          </cell>
          <cell r="V39">
            <v>398939.43</v>
          </cell>
          <cell r="W39">
            <v>84789.56</v>
          </cell>
          <cell r="X39">
            <v>144172.84</v>
          </cell>
        </row>
        <row r="40">
          <cell r="Q40">
            <v>1405047.18</v>
          </cell>
          <cell r="R40">
            <v>2203575.2999999998</v>
          </cell>
          <cell r="S40">
            <v>2352191.7400000002</v>
          </cell>
          <cell r="T40">
            <v>2836535.23</v>
          </cell>
          <cell r="U40">
            <v>481883.59</v>
          </cell>
          <cell r="V40">
            <v>2088414.82</v>
          </cell>
          <cell r="W40">
            <v>1765336.52</v>
          </cell>
          <cell r="X40">
            <v>313010.3</v>
          </cell>
        </row>
        <row r="41">
          <cell r="Q41">
            <v>22918.12</v>
          </cell>
          <cell r="R41">
            <v>662920.43000000005</v>
          </cell>
          <cell r="S41">
            <v>256856.4</v>
          </cell>
          <cell r="T41">
            <v>266012.90000000002</v>
          </cell>
          <cell r="U41">
            <v>12056.87</v>
          </cell>
          <cell r="V41">
            <v>657153.38</v>
          </cell>
          <cell r="W41">
            <v>142884.13</v>
          </cell>
          <cell r="X41">
            <v>23403.75</v>
          </cell>
        </row>
        <row r="42">
          <cell r="Q42">
            <v>33549.81</v>
          </cell>
          <cell r="R42">
            <v>1223037.56</v>
          </cell>
          <cell r="S42">
            <v>302930.49</v>
          </cell>
          <cell r="T42">
            <v>66905.240000000005</v>
          </cell>
          <cell r="U42">
            <v>4448.5600000000004</v>
          </cell>
          <cell r="V42">
            <v>1005676.79</v>
          </cell>
          <cell r="W42">
            <v>228454.72</v>
          </cell>
          <cell r="X42">
            <v>23740.78</v>
          </cell>
        </row>
        <row r="43">
          <cell r="Q43">
            <v>53820.03</v>
          </cell>
          <cell r="R43">
            <v>141923.75</v>
          </cell>
          <cell r="S43">
            <v>24678.5</v>
          </cell>
          <cell r="T43">
            <v>14039.73</v>
          </cell>
          <cell r="U43">
            <v>11035.06</v>
          </cell>
          <cell r="V43">
            <v>101252.5</v>
          </cell>
          <cell r="W43">
            <v>17670.29</v>
          </cell>
          <cell r="X43">
            <v>3421.56</v>
          </cell>
        </row>
        <row r="44">
          <cell r="Q44">
            <v>215124.4</v>
          </cell>
          <cell r="R44">
            <v>515143.23</v>
          </cell>
          <cell r="S44">
            <v>32943.919999999998</v>
          </cell>
          <cell r="T44">
            <v>46119.24</v>
          </cell>
          <cell r="U44">
            <v>20631.43</v>
          </cell>
          <cell r="V44">
            <v>506538.13</v>
          </cell>
          <cell r="W44">
            <v>16776.41</v>
          </cell>
          <cell r="X44">
            <v>0</v>
          </cell>
        </row>
        <row r="45">
          <cell r="Q45">
            <v>21578.81</v>
          </cell>
          <cell r="R45">
            <v>53026.35</v>
          </cell>
          <cell r="S45">
            <v>38597.46</v>
          </cell>
          <cell r="T45">
            <v>12084.12</v>
          </cell>
          <cell r="U45">
            <v>0</v>
          </cell>
          <cell r="V45">
            <v>52535.37</v>
          </cell>
          <cell r="W45">
            <v>28591.759999999998</v>
          </cell>
          <cell r="X45">
            <v>2221.08</v>
          </cell>
        </row>
        <row r="46">
          <cell r="Q46">
            <v>5314.53</v>
          </cell>
          <cell r="R46">
            <v>541845.89</v>
          </cell>
          <cell r="S46">
            <v>31005.1</v>
          </cell>
          <cell r="T46">
            <v>18201.3</v>
          </cell>
          <cell r="U46">
            <v>0</v>
          </cell>
          <cell r="V46">
            <v>535314.07999999996</v>
          </cell>
          <cell r="W46">
            <v>12085.61</v>
          </cell>
          <cell r="X46">
            <v>3527.61</v>
          </cell>
        </row>
        <row r="47">
          <cell r="Q47">
            <v>1043.92</v>
          </cell>
          <cell r="R47">
            <v>159262.14000000001</v>
          </cell>
          <cell r="S47">
            <v>9691.35</v>
          </cell>
          <cell r="T47">
            <v>2553.9699999999998</v>
          </cell>
          <cell r="U47">
            <v>287.44</v>
          </cell>
          <cell r="V47">
            <v>154932.84</v>
          </cell>
          <cell r="W47">
            <v>0</v>
          </cell>
          <cell r="X47">
            <v>0</v>
          </cell>
        </row>
      </sheetData>
      <sheetData sheetId="9"/>
      <sheetData sheetId="10"/>
      <sheetData sheetId="11"/>
      <sheetData sheetId="12">
        <row r="14">
          <cell r="Q14">
            <v>3810.6</v>
          </cell>
          <cell r="R14">
            <v>418149.13</v>
          </cell>
          <cell r="S14">
            <v>46931.64</v>
          </cell>
          <cell r="T14">
            <v>26679.61</v>
          </cell>
          <cell r="U14">
            <v>4204.45</v>
          </cell>
          <cell r="V14">
            <v>380982.1</v>
          </cell>
          <cell r="W14">
            <v>29243.58</v>
          </cell>
          <cell r="X14">
            <v>27156.7</v>
          </cell>
        </row>
        <row r="15">
          <cell r="Q15">
            <v>383978.01</v>
          </cell>
          <cell r="R15">
            <v>448684.34</v>
          </cell>
          <cell r="S15">
            <v>39716.53</v>
          </cell>
          <cell r="T15">
            <v>1101342.6399999999</v>
          </cell>
          <cell r="U15">
            <v>318697.5</v>
          </cell>
          <cell r="V15">
            <v>1197571.3400000001</v>
          </cell>
          <cell r="W15">
            <v>34607.879999999997</v>
          </cell>
          <cell r="X15">
            <v>1122801.05</v>
          </cell>
        </row>
        <row r="16">
          <cell r="Q16">
            <v>82595.5</v>
          </cell>
          <cell r="R16">
            <v>260914.56</v>
          </cell>
          <cell r="S16">
            <v>28468.29</v>
          </cell>
          <cell r="T16">
            <v>16982.73</v>
          </cell>
          <cell r="U16">
            <v>92388.74</v>
          </cell>
          <cell r="V16">
            <v>259813.48</v>
          </cell>
          <cell r="W16">
            <v>32746.76</v>
          </cell>
          <cell r="X16">
            <v>7840.93</v>
          </cell>
        </row>
        <row r="17">
          <cell r="D17" t="str">
            <v>GRAMAME</v>
          </cell>
          <cell r="Q17">
            <v>51947.78</v>
          </cell>
          <cell r="R17">
            <v>1159173.48</v>
          </cell>
          <cell r="S17">
            <v>46392.27</v>
          </cell>
          <cell r="T17">
            <v>53236.53</v>
          </cell>
          <cell r="U17">
            <v>35797.800000000003</v>
          </cell>
          <cell r="V17">
            <v>1162755.22</v>
          </cell>
          <cell r="W17">
            <v>63813.56</v>
          </cell>
          <cell r="X17">
            <v>70228.58</v>
          </cell>
        </row>
        <row r="18">
          <cell r="Q18">
            <v>264535.28999999998</v>
          </cell>
          <cell r="R18">
            <v>20544.07</v>
          </cell>
          <cell r="S18">
            <v>52270.8</v>
          </cell>
          <cell r="T18">
            <v>1440</v>
          </cell>
          <cell r="U18">
            <v>177633.64</v>
          </cell>
          <cell r="V18">
            <v>2991.84</v>
          </cell>
          <cell r="W18">
            <v>93399.6</v>
          </cell>
          <cell r="X18">
            <v>1115.3399999999999</v>
          </cell>
        </row>
        <row r="19">
          <cell r="D19" t="str">
            <v>MAMANGUAPE</v>
          </cell>
          <cell r="Q19">
            <v>122981.16</v>
          </cell>
          <cell r="R19">
            <v>268897.11</v>
          </cell>
          <cell r="S19">
            <v>5110.45</v>
          </cell>
          <cell r="T19">
            <v>118193.35</v>
          </cell>
          <cell r="U19">
            <v>149009.19</v>
          </cell>
          <cell r="V19">
            <v>281333.83</v>
          </cell>
          <cell r="W19">
            <v>2278.09</v>
          </cell>
          <cell r="X19">
            <v>80306.48</v>
          </cell>
        </row>
        <row r="20">
          <cell r="D20" t="str">
            <v>CAMARATUBA</v>
          </cell>
          <cell r="Q20">
            <v>0</v>
          </cell>
          <cell r="R20">
            <v>14560.03</v>
          </cell>
          <cell r="S20">
            <v>0</v>
          </cell>
          <cell r="T20">
            <v>17722.39</v>
          </cell>
          <cell r="U20">
            <v>26114</v>
          </cell>
          <cell r="V20">
            <v>14489.96</v>
          </cell>
          <cell r="W20">
            <v>0</v>
          </cell>
          <cell r="X20">
            <v>17197.07</v>
          </cell>
        </row>
        <row r="21">
          <cell r="Q21">
            <v>19438.47</v>
          </cell>
          <cell r="R21">
            <v>330.5</v>
          </cell>
          <cell r="S21">
            <v>0</v>
          </cell>
          <cell r="T21">
            <v>0</v>
          </cell>
          <cell r="U21">
            <v>26817.45</v>
          </cell>
          <cell r="V21">
            <v>633.49</v>
          </cell>
          <cell r="W21">
            <v>0</v>
          </cell>
          <cell r="X21">
            <v>0</v>
          </cell>
        </row>
        <row r="22">
          <cell r="D22" t="str">
            <v>CURIMATAÚ</v>
          </cell>
          <cell r="Q22">
            <v>0</v>
          </cell>
          <cell r="R22">
            <v>14617.28</v>
          </cell>
          <cell r="S22">
            <v>805.92</v>
          </cell>
          <cell r="T22">
            <v>5325.84</v>
          </cell>
          <cell r="U22">
            <v>0</v>
          </cell>
          <cell r="V22">
            <v>19344.41</v>
          </cell>
          <cell r="W22">
            <v>0</v>
          </cell>
          <cell r="X22">
            <v>8652.35</v>
          </cell>
        </row>
        <row r="23">
          <cell r="D23" t="str">
            <v>JACU</v>
          </cell>
          <cell r="Q23">
            <v>0</v>
          </cell>
          <cell r="R23">
            <v>543.12</v>
          </cell>
          <cell r="S23">
            <v>0</v>
          </cell>
          <cell r="T23">
            <v>0</v>
          </cell>
          <cell r="U23">
            <v>0</v>
          </cell>
          <cell r="V23">
            <v>681.68</v>
          </cell>
          <cell r="W23">
            <v>0</v>
          </cell>
          <cell r="X23">
            <v>0</v>
          </cell>
        </row>
        <row r="24">
          <cell r="D24" t="str">
            <v>TRAIRÍ</v>
          </cell>
          <cell r="Q24">
            <v>274.05</v>
          </cell>
          <cell r="R24">
            <v>261.05</v>
          </cell>
          <cell r="S24">
            <v>0</v>
          </cell>
          <cell r="T24">
            <v>0</v>
          </cell>
          <cell r="U24">
            <v>0</v>
          </cell>
          <cell r="V24">
            <v>261.05</v>
          </cell>
          <cell r="W24">
            <v>274.05</v>
          </cell>
          <cell r="X24">
            <v>0</v>
          </cell>
        </row>
      </sheetData>
      <sheetData sheetId="13"/>
      <sheetData sheetId="14"/>
      <sheetData sheetId="15">
        <row r="14">
          <cell r="R14">
            <v>3502764.5</v>
          </cell>
          <cell r="S14">
            <v>585534.49</v>
          </cell>
          <cell r="V14">
            <v>305750.78999999998</v>
          </cell>
          <cell r="W14">
            <v>321323.14</v>
          </cell>
        </row>
      </sheetData>
      <sheetData sheetId="16">
        <row r="14">
          <cell r="R14">
            <v>87694.38</v>
          </cell>
          <cell r="V14">
            <v>87694.38</v>
          </cell>
        </row>
        <row r="15">
          <cell r="R15">
            <v>14401.81</v>
          </cell>
          <cell r="V15">
            <v>14401.81</v>
          </cell>
        </row>
        <row r="16">
          <cell r="R16">
            <v>3672.86</v>
          </cell>
          <cell r="V16">
            <v>3672.86</v>
          </cell>
        </row>
        <row r="17">
          <cell r="R17">
            <v>0</v>
          </cell>
          <cell r="V17">
            <v>0</v>
          </cell>
        </row>
        <row r="18">
          <cell r="R18">
            <v>15673.07</v>
          </cell>
          <cell r="V18">
            <v>15673.07</v>
          </cell>
        </row>
        <row r="19">
          <cell r="R19">
            <v>0</v>
          </cell>
          <cell r="V19">
            <v>0</v>
          </cell>
        </row>
        <row r="20">
          <cell r="R20">
            <v>83436.2</v>
          </cell>
          <cell r="V20">
            <v>83436.2</v>
          </cell>
        </row>
        <row r="21">
          <cell r="R21">
            <v>2373.3000000000002</v>
          </cell>
          <cell r="V21">
            <v>2373.3000000000002</v>
          </cell>
        </row>
        <row r="22">
          <cell r="R22">
            <v>136795.51999999999</v>
          </cell>
          <cell r="V22">
            <v>136795.51999999999</v>
          </cell>
        </row>
        <row r="23">
          <cell r="R23">
            <v>2004.29</v>
          </cell>
          <cell r="V23">
            <v>2004.29</v>
          </cell>
        </row>
        <row r="24">
          <cell r="R24">
            <v>6052.44</v>
          </cell>
          <cell r="V24">
            <v>6052.44</v>
          </cell>
        </row>
        <row r="25">
          <cell r="R25">
            <v>3842.63</v>
          </cell>
          <cell r="V25">
            <v>3842.63</v>
          </cell>
        </row>
        <row r="26">
          <cell r="R26">
            <v>23617.71</v>
          </cell>
          <cell r="V26">
            <v>23617.71</v>
          </cell>
        </row>
        <row r="27">
          <cell r="R27">
            <v>0</v>
          </cell>
          <cell r="V27">
            <v>0</v>
          </cell>
        </row>
        <row r="28">
          <cell r="R28">
            <v>0</v>
          </cell>
          <cell r="V28">
            <v>0</v>
          </cell>
        </row>
        <row r="29">
          <cell r="R29">
            <v>3143.38</v>
          </cell>
          <cell r="V29">
            <v>3143.38</v>
          </cell>
        </row>
        <row r="30">
          <cell r="R30">
            <v>313.39</v>
          </cell>
          <cell r="V30">
            <v>313.39</v>
          </cell>
        </row>
        <row r="31">
          <cell r="R31">
            <v>1289.8800000000001</v>
          </cell>
          <cell r="V31">
            <v>1289.8800000000001</v>
          </cell>
        </row>
        <row r="32">
          <cell r="R32">
            <v>0</v>
          </cell>
          <cell r="V32">
            <v>0</v>
          </cell>
        </row>
        <row r="33">
          <cell r="R33">
            <v>0</v>
          </cell>
          <cell r="V33">
            <v>0</v>
          </cell>
        </row>
        <row r="34">
          <cell r="R34">
            <v>0</v>
          </cell>
          <cell r="V34">
            <v>0</v>
          </cell>
        </row>
        <row r="35">
          <cell r="R35">
            <v>0</v>
          </cell>
          <cell r="V35">
            <v>0</v>
          </cell>
        </row>
        <row r="36">
          <cell r="R36">
            <v>83372.05</v>
          </cell>
          <cell r="V36">
            <v>83372.05</v>
          </cell>
        </row>
        <row r="37">
          <cell r="R37">
            <v>87946.21</v>
          </cell>
          <cell r="V37">
            <v>87946.21</v>
          </cell>
        </row>
        <row r="38">
          <cell r="R38">
            <v>0</v>
          </cell>
          <cell r="V38">
            <v>0</v>
          </cell>
        </row>
        <row r="39">
          <cell r="R39">
            <v>1834.68</v>
          </cell>
          <cell r="V39">
            <v>1834.68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">
          <cell r="D2">
            <v>804277.63</v>
          </cell>
        </row>
        <row r="4">
          <cell r="D4">
            <v>12925.97</v>
          </cell>
        </row>
        <row r="5">
          <cell r="D5" t="str">
            <v>-</v>
          </cell>
        </row>
        <row r="6">
          <cell r="D6" t="str">
            <v>-</v>
          </cell>
        </row>
        <row r="7">
          <cell r="D7">
            <v>323879.55</v>
          </cell>
        </row>
        <row r="9">
          <cell r="D9">
            <v>833439.99</v>
          </cell>
        </row>
        <row r="10">
          <cell r="D10" t="str">
            <v>-</v>
          </cell>
        </row>
        <row r="11">
          <cell r="D11">
            <v>13472.3</v>
          </cell>
        </row>
        <row r="12">
          <cell r="D12" t="str">
            <v>-</v>
          </cell>
        </row>
        <row r="13">
          <cell r="D13" t="str">
            <v>-</v>
          </cell>
        </row>
        <row r="14">
          <cell r="D14">
            <v>323735.11</v>
          </cell>
        </row>
        <row r="16">
          <cell r="D16">
            <v>55460796.43</v>
          </cell>
        </row>
        <row r="17">
          <cell r="D17">
            <v>4629959.93</v>
          </cell>
        </row>
        <row r="18">
          <cell r="D18">
            <v>12387.48</v>
          </cell>
        </row>
        <row r="19">
          <cell r="D19">
            <v>1934.16</v>
          </cell>
        </row>
        <row r="20">
          <cell r="D20">
            <v>2126407.4</v>
          </cell>
        </row>
        <row r="21">
          <cell r="D21">
            <v>418763.69</v>
          </cell>
        </row>
        <row r="23">
          <cell r="D23">
            <v>56750200.18</v>
          </cell>
        </row>
        <row r="24">
          <cell r="D24">
            <v>4600071.13</v>
          </cell>
        </row>
        <row r="25">
          <cell r="D25">
            <v>12162.42</v>
          </cell>
        </row>
        <row r="26">
          <cell r="D26">
            <v>952.2</v>
          </cell>
        </row>
        <row r="27">
          <cell r="D27">
            <v>1930803.59</v>
          </cell>
        </row>
        <row r="28">
          <cell r="D28">
            <v>369120.4</v>
          </cell>
        </row>
        <row r="30">
          <cell r="D30">
            <v>1675521.81</v>
          </cell>
        </row>
        <row r="31">
          <cell r="D31">
            <v>557778.14</v>
          </cell>
        </row>
        <row r="32">
          <cell r="D32">
            <v>358.21</v>
          </cell>
        </row>
        <row r="33">
          <cell r="D33">
            <v>1223.6500000000001</v>
          </cell>
        </row>
        <row r="34">
          <cell r="D34" t="str">
            <v>-</v>
          </cell>
        </row>
        <row r="35">
          <cell r="D35">
            <v>83335.16</v>
          </cell>
        </row>
        <row r="37">
          <cell r="D37">
            <v>1256157</v>
          </cell>
        </row>
        <row r="38">
          <cell r="D38">
            <v>487786.68</v>
          </cell>
        </row>
        <row r="39">
          <cell r="D39">
            <v>358.21</v>
          </cell>
        </row>
        <row r="40">
          <cell r="D40">
            <v>1223.6500000000001</v>
          </cell>
        </row>
        <row r="41">
          <cell r="D41" t="str">
            <v>-</v>
          </cell>
        </row>
        <row r="42">
          <cell r="D42">
            <v>53194.11</v>
          </cell>
        </row>
        <row r="44">
          <cell r="D44">
            <v>1587107.55</v>
          </cell>
        </row>
        <row r="45">
          <cell r="D45">
            <v>497387.61</v>
          </cell>
        </row>
        <row r="46">
          <cell r="D46">
            <v>14519.66</v>
          </cell>
        </row>
        <row r="47">
          <cell r="D47">
            <v>340.35</v>
          </cell>
        </row>
        <row r="48">
          <cell r="D48" t="str">
            <v>-</v>
          </cell>
        </row>
        <row r="49">
          <cell r="D49">
            <v>134980.48000000001</v>
          </cell>
        </row>
        <row r="51">
          <cell r="D51">
            <v>1622960.74</v>
          </cell>
        </row>
        <row r="52">
          <cell r="D52">
            <v>488536.49</v>
          </cell>
        </row>
        <row r="53">
          <cell r="D53">
            <v>2077.25</v>
          </cell>
        </row>
        <row r="54">
          <cell r="D54">
            <v>340.35</v>
          </cell>
        </row>
        <row r="55">
          <cell r="D55" t="str">
            <v>-</v>
          </cell>
        </row>
        <row r="56">
          <cell r="D56">
            <v>121633.62</v>
          </cell>
        </row>
        <row r="58">
          <cell r="D58">
            <v>13912625.68</v>
          </cell>
        </row>
        <row r="59">
          <cell r="D59">
            <v>1379827.28</v>
          </cell>
        </row>
        <row r="60">
          <cell r="D60">
            <v>2107.19</v>
          </cell>
        </row>
        <row r="61">
          <cell r="D61">
            <v>121699.23</v>
          </cell>
        </row>
        <row r="62">
          <cell r="D62" t="str">
            <v>-</v>
          </cell>
        </row>
        <row r="63">
          <cell r="D63">
            <v>1213163.6599999999</v>
          </cell>
        </row>
        <row r="65">
          <cell r="D65">
            <v>14049268.869999999</v>
          </cell>
        </row>
        <row r="66">
          <cell r="D66">
            <v>1317728.6100000001</v>
          </cell>
        </row>
        <row r="67">
          <cell r="D67">
            <v>1866.38</v>
          </cell>
        </row>
        <row r="68">
          <cell r="D68">
            <v>121699.23</v>
          </cell>
        </row>
        <row r="69">
          <cell r="D69" t="str">
            <v>-</v>
          </cell>
        </row>
        <row r="70">
          <cell r="D70">
            <v>1053079.05</v>
          </cell>
        </row>
        <row r="72">
          <cell r="D72">
            <v>3294974.23</v>
          </cell>
        </row>
        <row r="73">
          <cell r="D73">
            <v>23352.39</v>
          </cell>
        </row>
        <row r="74">
          <cell r="D74">
            <v>3473.46</v>
          </cell>
        </row>
        <row r="75">
          <cell r="D75">
            <v>5625.84</v>
          </cell>
        </row>
        <row r="76">
          <cell r="D76" t="str">
            <v>-</v>
          </cell>
        </row>
        <row r="77">
          <cell r="D77">
            <v>53579.3</v>
          </cell>
        </row>
        <row r="79">
          <cell r="D79">
            <v>3275342.53</v>
          </cell>
        </row>
        <row r="80">
          <cell r="D80">
            <v>21149.96</v>
          </cell>
        </row>
        <row r="81">
          <cell r="D81">
            <v>3473.46</v>
          </cell>
        </row>
        <row r="82">
          <cell r="D82">
            <v>4453.09</v>
          </cell>
        </row>
        <row r="83">
          <cell r="D83" t="str">
            <v>-</v>
          </cell>
        </row>
        <row r="84">
          <cell r="D84">
            <v>47987.39</v>
          </cell>
        </row>
        <row r="86">
          <cell r="D86">
            <v>1970104.34</v>
          </cell>
        </row>
        <row r="87">
          <cell r="D87">
            <v>152829.22</v>
          </cell>
        </row>
        <row r="88">
          <cell r="D88">
            <v>12768.6</v>
          </cell>
        </row>
        <row r="89">
          <cell r="D89">
            <v>408.67</v>
          </cell>
        </row>
        <row r="90">
          <cell r="D90" t="str">
            <v>-</v>
          </cell>
        </row>
        <row r="91">
          <cell r="D91">
            <v>24251.599999999999</v>
          </cell>
        </row>
        <row r="93">
          <cell r="D93">
            <v>1981524.17</v>
          </cell>
        </row>
        <row r="94">
          <cell r="D94">
            <v>134107.26999999999</v>
          </cell>
        </row>
        <row r="95">
          <cell r="D95">
            <v>11155.56</v>
          </cell>
        </row>
        <row r="96">
          <cell r="D96">
            <v>337.69</v>
          </cell>
        </row>
        <row r="97">
          <cell r="D97" t="str">
            <v>-</v>
          </cell>
        </row>
        <row r="98">
          <cell r="D98">
            <v>23448.23</v>
          </cell>
        </row>
        <row r="100">
          <cell r="D100">
            <v>1448664.02</v>
          </cell>
        </row>
        <row r="101">
          <cell r="D101">
            <v>571521.64</v>
          </cell>
        </row>
        <row r="102">
          <cell r="D102" t="str">
            <v>-</v>
          </cell>
        </row>
        <row r="103">
          <cell r="D103" t="str">
            <v>-</v>
          </cell>
        </row>
        <row r="104">
          <cell r="D104">
            <v>1347428.66</v>
          </cell>
        </row>
        <row r="105">
          <cell r="D105">
            <v>131894.49</v>
          </cell>
        </row>
        <row r="107">
          <cell r="D107">
            <v>1485856.55</v>
          </cell>
        </row>
        <row r="108">
          <cell r="D108">
            <v>570941.98</v>
          </cell>
        </row>
        <row r="109">
          <cell r="D109" t="str">
            <v>-</v>
          </cell>
        </row>
        <row r="110">
          <cell r="D110" t="str">
            <v>-</v>
          </cell>
        </row>
        <row r="111">
          <cell r="D111">
            <v>1298172.8</v>
          </cell>
        </row>
        <row r="112">
          <cell r="D112">
            <v>112378.31</v>
          </cell>
        </row>
        <row r="114">
          <cell r="D114">
            <v>754088.28</v>
          </cell>
        </row>
        <row r="115">
          <cell r="D115">
            <v>389265.03</v>
          </cell>
        </row>
        <row r="116">
          <cell r="D116">
            <v>382.71</v>
          </cell>
        </row>
        <row r="117">
          <cell r="D117">
            <v>16782.98</v>
          </cell>
        </row>
        <row r="118">
          <cell r="D118" t="str">
            <v>-</v>
          </cell>
        </row>
        <row r="119">
          <cell r="D119">
            <v>324488.68</v>
          </cell>
        </row>
        <row r="121">
          <cell r="D121">
            <v>714381.09</v>
          </cell>
        </row>
        <row r="122">
          <cell r="D122">
            <v>228163.41</v>
          </cell>
        </row>
        <row r="123">
          <cell r="D123">
            <v>382.71</v>
          </cell>
        </row>
        <row r="124">
          <cell r="D124">
            <v>6530.72</v>
          </cell>
        </row>
        <row r="125">
          <cell r="D125" t="str">
            <v>-</v>
          </cell>
        </row>
        <row r="126">
          <cell r="D126">
            <v>324317.98</v>
          </cell>
        </row>
        <row r="128">
          <cell r="D128">
            <v>141750.87</v>
          </cell>
        </row>
        <row r="129">
          <cell r="D129" t="str">
            <v>-</v>
          </cell>
        </row>
        <row r="130">
          <cell r="D130" t="str">
            <v>-</v>
          </cell>
        </row>
        <row r="131">
          <cell r="D131" t="str">
            <v>-</v>
          </cell>
        </row>
        <row r="132">
          <cell r="D132" t="str">
            <v>-</v>
          </cell>
        </row>
        <row r="133">
          <cell r="D133" t="str">
            <v>-</v>
          </cell>
        </row>
        <row r="135">
          <cell r="D135">
            <v>140626.21</v>
          </cell>
        </row>
        <row r="136">
          <cell r="D136" t="str">
            <v>-</v>
          </cell>
        </row>
        <row r="137">
          <cell r="D137" t="str">
            <v>-</v>
          </cell>
        </row>
        <row r="138">
          <cell r="D138" t="str">
            <v>-</v>
          </cell>
        </row>
        <row r="139">
          <cell r="D139" t="str">
            <v>-</v>
          </cell>
        </row>
        <row r="140">
          <cell r="D140" t="str">
            <v>-</v>
          </cell>
        </row>
      </sheetData>
      <sheetData sheetId="29"/>
      <sheetData sheetId="30"/>
      <sheetData sheetId="31"/>
      <sheetData sheetId="32"/>
      <sheetData sheetId="33">
        <row r="3">
          <cell r="J3">
            <v>316187.5</v>
          </cell>
        </row>
        <row r="6">
          <cell r="J6">
            <v>264374.46000000002</v>
          </cell>
        </row>
        <row r="7">
          <cell r="J7">
            <v>6369.74</v>
          </cell>
        </row>
        <row r="8">
          <cell r="J8">
            <v>45443.3</v>
          </cell>
        </row>
        <row r="30">
          <cell r="B30">
            <v>6576866.4900000002</v>
          </cell>
          <cell r="C30">
            <v>1220982.56</v>
          </cell>
          <cell r="D30">
            <v>762238.96</v>
          </cell>
          <cell r="F30">
            <v>6523810.5</v>
          </cell>
          <cell r="G30">
            <v>1087381.03</v>
          </cell>
          <cell r="H30">
            <v>587214.23</v>
          </cell>
        </row>
        <row r="36">
          <cell r="D36">
            <v>822857.35</v>
          </cell>
        </row>
        <row r="37">
          <cell r="D37">
            <v>81568.800000000003</v>
          </cell>
        </row>
        <row r="41">
          <cell r="D41">
            <v>214047.6</v>
          </cell>
        </row>
        <row r="49">
          <cell r="D49">
            <v>992354.47</v>
          </cell>
        </row>
        <row r="63">
          <cell r="C63">
            <v>4438834.9800000004</v>
          </cell>
          <cell r="D63">
            <v>475589.47</v>
          </cell>
          <cell r="E63">
            <v>369902.91</v>
          </cell>
        </row>
        <row r="72">
          <cell r="C72">
            <v>4227110.8099999996</v>
          </cell>
          <cell r="D72">
            <v>452904.73</v>
          </cell>
          <cell r="E72">
            <v>352259.23</v>
          </cell>
        </row>
        <row r="95">
          <cell r="C95">
            <v>12789102.01</v>
          </cell>
          <cell r="D95">
            <v>4475290.0999999996</v>
          </cell>
          <cell r="H95">
            <v>29315.4</v>
          </cell>
          <cell r="I95">
            <v>4116581.72</v>
          </cell>
          <cell r="J95">
            <v>2408721.2000000002</v>
          </cell>
        </row>
        <row r="119">
          <cell r="C119">
            <v>12747441.59</v>
          </cell>
          <cell r="D119">
            <v>4091506.92</v>
          </cell>
          <cell r="H119">
            <v>20111.7</v>
          </cell>
          <cell r="I119">
            <v>4116581.72</v>
          </cell>
          <cell r="J119">
            <v>1816129.73</v>
          </cell>
        </row>
        <row r="127">
          <cell r="N127">
            <v>38515376.770000003</v>
          </cell>
        </row>
        <row r="128">
          <cell r="N128">
            <v>3446790.39</v>
          </cell>
        </row>
        <row r="129">
          <cell r="N129">
            <v>2975645.53</v>
          </cell>
        </row>
        <row r="133">
          <cell r="N133">
            <v>159614.28</v>
          </cell>
        </row>
        <row r="136">
          <cell r="N136">
            <v>37581097.520000003</v>
          </cell>
        </row>
        <row r="137">
          <cell r="N137">
            <v>3019049.28</v>
          </cell>
        </row>
        <row r="138">
          <cell r="N138">
            <v>2254173.02</v>
          </cell>
        </row>
        <row r="142">
          <cell r="N142">
            <v>950383.14</v>
          </cell>
        </row>
        <row r="150">
          <cell r="H150">
            <v>7185708.5800000001</v>
          </cell>
        </row>
        <row r="151">
          <cell r="H151">
            <v>2310659.4700000002</v>
          </cell>
        </row>
        <row r="152">
          <cell r="H152">
            <v>156.04</v>
          </cell>
        </row>
        <row r="153">
          <cell r="H153">
            <v>187841.73</v>
          </cell>
        </row>
        <row r="156">
          <cell r="H156">
            <v>7185708.5800000001</v>
          </cell>
        </row>
        <row r="157">
          <cell r="H157">
            <v>2310659.4700000002</v>
          </cell>
        </row>
        <row r="158">
          <cell r="H158">
            <v>156.04</v>
          </cell>
        </row>
        <row r="159">
          <cell r="H159">
            <v>187841.73</v>
          </cell>
        </row>
        <row r="160">
          <cell r="H160">
            <v>117682.21</v>
          </cell>
        </row>
        <row r="173">
          <cell r="C173">
            <v>1797632.5</v>
          </cell>
          <cell r="D173">
            <v>499342.36</v>
          </cell>
          <cell r="E173">
            <v>199736.94399999999</v>
          </cell>
        </row>
        <row r="182">
          <cell r="C182">
            <v>1570218.95</v>
          </cell>
          <cell r="D182">
            <v>436171.93</v>
          </cell>
          <cell r="E182">
            <v>174468.772</v>
          </cell>
        </row>
        <row r="194">
          <cell r="C194">
            <v>3957186.18</v>
          </cell>
          <cell r="D194">
            <v>2344999.23</v>
          </cell>
          <cell r="E194">
            <v>1025937.16</v>
          </cell>
        </row>
        <row r="203">
          <cell r="C203">
            <v>3469956.82</v>
          </cell>
          <cell r="D203">
            <v>2056270.71</v>
          </cell>
          <cell r="E203">
            <v>899618.43</v>
          </cell>
        </row>
        <row r="215">
          <cell r="C215">
            <v>8100295.1399999997</v>
          </cell>
          <cell r="D215">
            <v>2484366.73</v>
          </cell>
          <cell r="J215">
            <v>1233060.05</v>
          </cell>
        </row>
        <row r="223">
          <cell r="C223">
            <v>7825221.7800000003</v>
          </cell>
          <cell r="D223">
            <v>1523719.59</v>
          </cell>
          <cell r="J223">
            <v>731395.63</v>
          </cell>
        </row>
        <row r="228">
          <cell r="G228">
            <v>6072240.0599999996</v>
          </cell>
        </row>
        <row r="229">
          <cell r="G229">
            <v>501056.03</v>
          </cell>
        </row>
        <row r="233">
          <cell r="G233">
            <v>54074.36</v>
          </cell>
        </row>
        <row r="235">
          <cell r="G235">
            <v>6072240.0599999996</v>
          </cell>
        </row>
        <row r="236">
          <cell r="G236">
            <v>498882.28</v>
          </cell>
        </row>
        <row r="240">
          <cell r="D240">
            <v>56234.69</v>
          </cell>
          <cell r="E240">
            <v>46474.71</v>
          </cell>
          <cell r="G240">
            <v>52864.31</v>
          </cell>
        </row>
        <row r="248">
          <cell r="K248">
            <v>1694943.1</v>
          </cell>
        </row>
        <row r="249">
          <cell r="K249">
            <v>447276.65</v>
          </cell>
        </row>
        <row r="250">
          <cell r="K250">
            <v>211867.89</v>
          </cell>
        </row>
        <row r="252">
          <cell r="K252">
            <v>1566569.36</v>
          </cell>
        </row>
        <row r="253">
          <cell r="K253">
            <v>413400.25</v>
          </cell>
        </row>
        <row r="254">
          <cell r="K254">
            <v>195821.17</v>
          </cell>
        </row>
        <row r="277">
          <cell r="I277">
            <v>1068986.6499999999</v>
          </cell>
        </row>
        <row r="279">
          <cell r="I279">
            <v>615567.15</v>
          </cell>
        </row>
        <row r="281">
          <cell r="I281">
            <v>96109.29</v>
          </cell>
        </row>
        <row r="284">
          <cell r="I284">
            <v>1058767.8899999999</v>
          </cell>
        </row>
        <row r="286">
          <cell r="I286">
            <v>487640.22</v>
          </cell>
        </row>
        <row r="288">
          <cell r="I288">
            <v>90731.65</v>
          </cell>
        </row>
        <row r="297">
          <cell r="I297">
            <v>4060918.41</v>
          </cell>
        </row>
        <row r="298">
          <cell r="I298">
            <v>2231985.64</v>
          </cell>
        </row>
        <row r="299">
          <cell r="I299">
            <v>626957.46</v>
          </cell>
        </row>
        <row r="301">
          <cell r="I301">
            <v>3971709.01</v>
          </cell>
        </row>
        <row r="302">
          <cell r="I302">
            <v>2167605.46</v>
          </cell>
        </row>
        <row r="303">
          <cell r="I303">
            <v>534803.93999999994</v>
          </cell>
        </row>
        <row r="310">
          <cell r="L310">
            <v>3601728.83</v>
          </cell>
        </row>
        <row r="311">
          <cell r="L311">
            <v>999246.66</v>
          </cell>
        </row>
        <row r="312">
          <cell r="L312">
            <v>726070.58</v>
          </cell>
        </row>
        <row r="314">
          <cell r="L314">
            <v>3169473.99</v>
          </cell>
        </row>
        <row r="315">
          <cell r="L315">
            <v>961663.46</v>
          </cell>
        </row>
        <row r="316">
          <cell r="L316">
            <v>458444.12</v>
          </cell>
        </row>
        <row r="322">
          <cell r="J322">
            <v>2231076.9700000002</v>
          </cell>
        </row>
        <row r="323">
          <cell r="J323">
            <v>1356716.46</v>
          </cell>
        </row>
        <row r="327">
          <cell r="J327">
            <v>171395.22</v>
          </cell>
        </row>
        <row r="329">
          <cell r="J329">
            <v>2100413.41</v>
          </cell>
        </row>
        <row r="330">
          <cell r="J330">
            <v>1288704</v>
          </cell>
        </row>
        <row r="334">
          <cell r="J334">
            <v>140988</v>
          </cell>
        </row>
        <row r="340">
          <cell r="G340">
            <v>914164</v>
          </cell>
        </row>
        <row r="341">
          <cell r="G341">
            <v>548671.11</v>
          </cell>
        </row>
        <row r="345">
          <cell r="G345">
            <v>36562.47</v>
          </cell>
        </row>
        <row r="347">
          <cell r="G347">
            <v>912663.77</v>
          </cell>
        </row>
        <row r="348">
          <cell r="G348">
            <v>419092.78</v>
          </cell>
        </row>
        <row r="352">
          <cell r="G352">
            <v>23649.83</v>
          </cell>
        </row>
        <row r="359">
          <cell r="K359">
            <v>2878372.45</v>
          </cell>
          <cell r="L359">
            <v>2936068.08</v>
          </cell>
          <cell r="M359">
            <v>2984175.56</v>
          </cell>
          <cell r="N359">
            <v>2050700.09</v>
          </cell>
          <cell r="O359">
            <v>5323023.58</v>
          </cell>
        </row>
        <row r="361">
          <cell r="K361">
            <v>1622443.41</v>
          </cell>
          <cell r="L361">
            <v>1317274.99</v>
          </cell>
          <cell r="M361">
            <v>1176453.83</v>
          </cell>
          <cell r="N361">
            <v>1261442.71</v>
          </cell>
          <cell r="O361">
            <v>1610454.61</v>
          </cell>
        </row>
        <row r="362">
          <cell r="K362">
            <v>992891.02</v>
          </cell>
          <cell r="L362">
            <v>1078829.56</v>
          </cell>
          <cell r="M362">
            <v>1479067.05</v>
          </cell>
          <cell r="N362">
            <v>957059.89</v>
          </cell>
          <cell r="O362">
            <v>1899591.8</v>
          </cell>
        </row>
        <row r="363">
          <cell r="D363">
            <v>3679510.94</v>
          </cell>
          <cell r="E363">
            <v>4582406.0999999996</v>
          </cell>
          <cell r="F363">
            <v>6613088.0499999998</v>
          </cell>
          <cell r="G363">
            <v>7120638.9800000004</v>
          </cell>
          <cell r="H363">
            <v>6635851.6600000001</v>
          </cell>
          <cell r="I363">
            <v>7004343.9000000004</v>
          </cell>
          <cell r="J363">
            <v>7408450.29</v>
          </cell>
        </row>
        <row r="364">
          <cell r="K364">
            <v>2248853.5099999998</v>
          </cell>
          <cell r="L364">
            <v>2421117.41</v>
          </cell>
          <cell r="M364">
            <v>2712657.13</v>
          </cell>
          <cell r="N364">
            <v>1900615.34</v>
          </cell>
          <cell r="O364">
            <v>3714618.12</v>
          </cell>
        </row>
        <row r="365">
          <cell r="K365">
            <v>568768.99</v>
          </cell>
          <cell r="L365">
            <v>558650.52</v>
          </cell>
          <cell r="M365">
            <v>711801.12</v>
          </cell>
          <cell r="N365">
            <v>670307.93999999994</v>
          </cell>
          <cell r="O365">
            <v>845314.1</v>
          </cell>
        </row>
        <row r="366">
          <cell r="K366">
            <v>810410.66</v>
          </cell>
          <cell r="L366">
            <v>727338.29</v>
          </cell>
          <cell r="M366">
            <v>1423522.37</v>
          </cell>
          <cell r="N366">
            <v>752579.2</v>
          </cell>
          <cell r="O366">
            <v>1072495.22</v>
          </cell>
        </row>
        <row r="367">
          <cell r="D367">
            <v>2633404.7200000002</v>
          </cell>
          <cell r="E367">
            <v>3178352.75</v>
          </cell>
          <cell r="F367">
            <v>3801775.01</v>
          </cell>
          <cell r="G367">
            <v>5350442.37</v>
          </cell>
          <cell r="H367">
            <v>4966024.8600000003</v>
          </cell>
          <cell r="I367">
            <v>5046853.9000000004</v>
          </cell>
          <cell r="J367">
            <v>3346627.72</v>
          </cell>
        </row>
        <row r="374">
          <cell r="J374">
            <v>2805866.86</v>
          </cell>
        </row>
        <row r="375">
          <cell r="J375">
            <v>1746601.75</v>
          </cell>
        </row>
        <row r="379">
          <cell r="J379">
            <v>792800.86</v>
          </cell>
        </row>
        <row r="381">
          <cell r="J381">
            <v>2617703.0099999998</v>
          </cell>
        </row>
        <row r="382">
          <cell r="J382">
            <v>1541643.99</v>
          </cell>
        </row>
        <row r="386">
          <cell r="J386">
            <v>606898.62</v>
          </cell>
        </row>
        <row r="394">
          <cell r="I394">
            <v>528913.32999999996</v>
          </cell>
        </row>
        <row r="395">
          <cell r="I395">
            <v>926676.5</v>
          </cell>
        </row>
        <row r="396">
          <cell r="F396">
            <v>96501.08</v>
          </cell>
          <cell r="I396">
            <v>114811.76</v>
          </cell>
        </row>
        <row r="398">
          <cell r="I398">
            <v>528882.49</v>
          </cell>
        </row>
        <row r="399">
          <cell r="I399">
            <v>662560.53</v>
          </cell>
        </row>
        <row r="400">
          <cell r="I400">
            <v>89345.56</v>
          </cell>
        </row>
      </sheetData>
      <sheetData sheetId="34"/>
      <sheetData sheetId="35"/>
      <sheetData sheetId="36"/>
      <sheetData sheetId="3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dos"/>
      <sheetName val="AC"/>
      <sheetName val="AL"/>
      <sheetName val="AM"/>
      <sheetName val="AP"/>
      <sheetName val="BA"/>
      <sheetName val="CE"/>
      <sheetName val="DF"/>
      <sheetName val="ES"/>
      <sheetName val="GO"/>
      <sheetName val="MA"/>
      <sheetName val="MG"/>
      <sheetName val="MS"/>
      <sheetName val="MT"/>
      <sheetName val="PA"/>
      <sheetName val="PB-1"/>
      <sheetName val="PB-2"/>
      <sheetName val="PE"/>
      <sheetName val="PI"/>
      <sheetName val="PR"/>
      <sheetName val="RJ"/>
      <sheetName val="RN"/>
      <sheetName val="RO"/>
      <sheetName val="RS"/>
      <sheetName val="SE"/>
      <sheetName val="SC"/>
      <sheetName val="SP"/>
      <sheetName val="TO"/>
    </sheetNames>
    <sheetDataSet>
      <sheetData sheetId="0"/>
      <sheetData sheetId="1"/>
      <sheetData sheetId="2"/>
      <sheetData sheetId="3"/>
      <sheetData sheetId="4"/>
      <sheetData sheetId="5"/>
      <sheetData sheetId="6">
        <row r="14">
          <cell r="Q14">
            <v>172446.24</v>
          </cell>
          <cell r="R14">
            <v>127732835.84</v>
          </cell>
          <cell r="S14">
            <v>78713277.099999994</v>
          </cell>
          <cell r="T14">
            <v>4414009.3</v>
          </cell>
          <cell r="U14">
            <v>139194.9</v>
          </cell>
          <cell r="V14">
            <v>126949490.41</v>
          </cell>
          <cell r="W14">
            <v>78868535.430000007</v>
          </cell>
          <cell r="X14">
            <v>3842376.32</v>
          </cell>
        </row>
        <row r="15">
          <cell r="Q15">
            <v>292802.09000000003</v>
          </cell>
          <cell r="R15">
            <v>4875106.3899999997</v>
          </cell>
          <cell r="S15">
            <v>1091956.3999999999</v>
          </cell>
          <cell r="T15">
            <v>694736.46</v>
          </cell>
          <cell r="U15">
            <v>281713.58</v>
          </cell>
          <cell r="V15">
            <v>4875541.5</v>
          </cell>
          <cell r="W15">
            <v>1136107.3999999999</v>
          </cell>
          <cell r="X15">
            <v>710989.26</v>
          </cell>
        </row>
        <row r="16">
          <cell r="Q16">
            <v>17828.939999999999</v>
          </cell>
          <cell r="R16">
            <v>2023544.82</v>
          </cell>
          <cell r="S16">
            <v>112075.66</v>
          </cell>
          <cell r="T16">
            <v>379840.73</v>
          </cell>
          <cell r="U16">
            <v>13715.81</v>
          </cell>
          <cell r="V16">
            <v>1988669.33</v>
          </cell>
          <cell r="W16">
            <v>84444.91</v>
          </cell>
          <cell r="X16">
            <v>341450.48</v>
          </cell>
        </row>
        <row r="17">
          <cell r="Q17">
            <v>9708.5499999999993</v>
          </cell>
          <cell r="R17">
            <v>851051.32</v>
          </cell>
          <cell r="S17">
            <v>35982.57</v>
          </cell>
          <cell r="T17">
            <v>73495.53</v>
          </cell>
          <cell r="U17">
            <v>10284.129999999999</v>
          </cell>
          <cell r="V17">
            <v>845943.49</v>
          </cell>
          <cell r="W17">
            <v>35532.410000000003</v>
          </cell>
          <cell r="X17">
            <v>58973.87</v>
          </cell>
        </row>
        <row r="18">
          <cell r="Q18">
            <v>2452771.96</v>
          </cell>
          <cell r="R18">
            <v>3030561.01</v>
          </cell>
          <cell r="S18">
            <v>2349867.33</v>
          </cell>
          <cell r="T18">
            <v>1276046.6299999999</v>
          </cell>
          <cell r="U18">
            <v>2397845.0699999998</v>
          </cell>
          <cell r="V18">
            <v>2951391.97</v>
          </cell>
          <cell r="W18">
            <v>2356492.83</v>
          </cell>
          <cell r="X18">
            <v>945292.29</v>
          </cell>
        </row>
        <row r="19">
          <cell r="Q19">
            <v>250607.26</v>
          </cell>
          <cell r="R19">
            <v>6568956.2599999998</v>
          </cell>
          <cell r="S19">
            <v>2187535.5299999998</v>
          </cell>
          <cell r="T19">
            <v>1502409.75</v>
          </cell>
          <cell r="U19">
            <v>196533.56</v>
          </cell>
          <cell r="V19">
            <v>5881610.4400000004</v>
          </cell>
          <cell r="W19">
            <v>2082003.31</v>
          </cell>
          <cell r="X19">
            <v>1284685.01</v>
          </cell>
        </row>
        <row r="20">
          <cell r="Q20">
            <v>4085.22</v>
          </cell>
          <cell r="R20">
            <v>1989536.71</v>
          </cell>
          <cell r="S20">
            <v>290370.84999999998</v>
          </cell>
          <cell r="T20">
            <v>183536.33</v>
          </cell>
          <cell r="U20">
            <v>4085.22</v>
          </cell>
          <cell r="V20">
            <v>1994518.45</v>
          </cell>
          <cell r="W20">
            <v>282247.98</v>
          </cell>
          <cell r="X20">
            <v>193652.34</v>
          </cell>
        </row>
        <row r="21">
          <cell r="Q21">
            <v>5410.16</v>
          </cell>
          <cell r="R21">
            <v>2858991.13</v>
          </cell>
          <cell r="S21">
            <v>240254.45</v>
          </cell>
          <cell r="T21">
            <v>139630.63</v>
          </cell>
          <cell r="U21">
            <v>4851.84</v>
          </cell>
          <cell r="V21">
            <v>2834196.13</v>
          </cell>
          <cell r="W21">
            <v>208138.48</v>
          </cell>
          <cell r="X21">
            <v>125119.27</v>
          </cell>
        </row>
        <row r="22">
          <cell r="Q22">
            <v>40628.720000000001</v>
          </cell>
          <cell r="R22">
            <v>1333956.03</v>
          </cell>
          <cell r="S22">
            <v>787715.89</v>
          </cell>
          <cell r="T22">
            <v>189058.98</v>
          </cell>
          <cell r="U22">
            <v>40882.69</v>
          </cell>
          <cell r="V22">
            <v>1319404.08</v>
          </cell>
          <cell r="W22">
            <v>1357827.29</v>
          </cell>
          <cell r="X22">
            <v>178495.62</v>
          </cell>
        </row>
        <row r="23">
          <cell r="Q23">
            <v>62544.71</v>
          </cell>
          <cell r="R23">
            <v>1027336.39</v>
          </cell>
          <cell r="S23">
            <v>109543.14</v>
          </cell>
          <cell r="T23">
            <v>62554.22</v>
          </cell>
          <cell r="U23">
            <v>49256.55</v>
          </cell>
          <cell r="V23">
            <v>1027336.39</v>
          </cell>
          <cell r="W23">
            <v>92825</v>
          </cell>
          <cell r="X23">
            <v>60457.11</v>
          </cell>
        </row>
      </sheetData>
      <sheetData sheetId="7">
        <row r="16">
          <cell r="Q16">
            <v>1137681.45</v>
          </cell>
          <cell r="R16">
            <v>671848.92</v>
          </cell>
          <cell r="S16">
            <v>621448.63</v>
          </cell>
          <cell r="T16">
            <v>218658.87</v>
          </cell>
          <cell r="U16">
            <v>312017.09000000003</v>
          </cell>
          <cell r="V16">
            <v>67822.100000000006</v>
          </cell>
          <cell r="W16">
            <v>358597.2</v>
          </cell>
          <cell r="X16">
            <v>12060.84</v>
          </cell>
        </row>
      </sheetData>
      <sheetData sheetId="8">
        <row r="14">
          <cell r="Q14">
            <v>49259</v>
          </cell>
          <cell r="R14">
            <v>8193923.9299999997</v>
          </cell>
          <cell r="S14">
            <v>135651.67000000001</v>
          </cell>
          <cell r="T14">
            <v>359592.5</v>
          </cell>
          <cell r="U14">
            <v>23185.73</v>
          </cell>
          <cell r="V14">
            <v>1746400</v>
          </cell>
          <cell r="W14">
            <v>21097.759999999998</v>
          </cell>
          <cell r="X14">
            <v>214945.89</v>
          </cell>
        </row>
        <row r="15">
          <cell r="Q15">
            <v>103.5</v>
          </cell>
          <cell r="R15">
            <v>21779.03</v>
          </cell>
          <cell r="S15">
            <v>851.6</v>
          </cell>
          <cell r="T15">
            <v>2894.8</v>
          </cell>
          <cell r="U15">
            <v>0</v>
          </cell>
          <cell r="V15">
            <v>21455.599999999999</v>
          </cell>
          <cell r="W15">
            <v>0</v>
          </cell>
          <cell r="X15">
            <v>2643.79</v>
          </cell>
        </row>
      </sheetData>
      <sheetData sheetId="9">
        <row r="14">
          <cell r="R14">
            <v>2224696.64</v>
          </cell>
          <cell r="S14">
            <v>650441.97</v>
          </cell>
          <cell r="T14">
            <v>1286541.94</v>
          </cell>
          <cell r="V14">
            <v>197.76</v>
          </cell>
          <cell r="W14">
            <v>11543.97</v>
          </cell>
          <cell r="X14">
            <v>2660.08</v>
          </cell>
        </row>
        <row r="15">
          <cell r="R15">
            <v>6904626.9699999997</v>
          </cell>
          <cell r="S15">
            <v>1803454.53</v>
          </cell>
          <cell r="T15">
            <v>78815.759999999995</v>
          </cell>
          <cell r="V15">
            <v>1061.9000000000001</v>
          </cell>
          <cell r="W15">
            <v>208513.88</v>
          </cell>
        </row>
        <row r="16">
          <cell r="R16">
            <v>1400400.69</v>
          </cell>
          <cell r="S16">
            <v>1709149.14</v>
          </cell>
          <cell r="T16">
            <v>42629.34</v>
          </cell>
          <cell r="V16">
            <v>812.73</v>
          </cell>
          <cell r="W16">
            <v>61483.46</v>
          </cell>
        </row>
        <row r="17">
          <cell r="R17">
            <v>609649.65</v>
          </cell>
          <cell r="S17">
            <v>28004.65</v>
          </cell>
          <cell r="T17">
            <v>68728.37</v>
          </cell>
          <cell r="V17">
            <v>17115.16</v>
          </cell>
          <cell r="W17">
            <v>3420.48</v>
          </cell>
          <cell r="X17">
            <v>914.58</v>
          </cell>
        </row>
        <row r="18">
          <cell r="R18">
            <v>596899.81000000006</v>
          </cell>
          <cell r="S18">
            <v>451258.7</v>
          </cell>
          <cell r="T18">
            <v>1483549.41</v>
          </cell>
          <cell r="W18">
            <v>1225.45</v>
          </cell>
        </row>
        <row r="19">
          <cell r="R19">
            <v>1651246.84</v>
          </cell>
          <cell r="S19">
            <v>842276.49</v>
          </cell>
          <cell r="T19">
            <v>243757.33</v>
          </cell>
          <cell r="V19">
            <v>318.98</v>
          </cell>
          <cell r="W19">
            <v>8646.58</v>
          </cell>
        </row>
      </sheetData>
      <sheetData sheetId="10"/>
      <sheetData sheetId="11">
        <row r="14">
          <cell r="Q14">
            <v>324571.28999999998</v>
          </cell>
          <cell r="R14">
            <v>1559584.26</v>
          </cell>
          <cell r="S14">
            <v>1101806.1399999999</v>
          </cell>
          <cell r="T14">
            <v>415668.66</v>
          </cell>
          <cell r="U14">
            <v>81693.25</v>
          </cell>
          <cell r="V14">
            <v>1279547.8600000001</v>
          </cell>
          <cell r="W14">
            <v>935345.09</v>
          </cell>
          <cell r="X14">
            <v>329053.11</v>
          </cell>
        </row>
        <row r="15">
          <cell r="Q15">
            <v>17404.87</v>
          </cell>
          <cell r="R15">
            <v>5573462.2400000002</v>
          </cell>
          <cell r="S15">
            <v>9169361.8000000007</v>
          </cell>
          <cell r="T15">
            <v>490733.12</v>
          </cell>
          <cell r="U15">
            <v>11139.63</v>
          </cell>
          <cell r="V15">
            <v>2257530.58</v>
          </cell>
          <cell r="W15">
            <v>9635551.0800000001</v>
          </cell>
          <cell r="X15">
            <v>512345.21</v>
          </cell>
        </row>
        <row r="16">
          <cell r="Q16">
            <v>33568.19</v>
          </cell>
          <cell r="R16">
            <v>406985.33</v>
          </cell>
          <cell r="S16">
            <v>1835679.86</v>
          </cell>
          <cell r="T16">
            <v>81597.77</v>
          </cell>
          <cell r="U16">
            <v>12801.33</v>
          </cell>
          <cell r="V16">
            <v>254501.14</v>
          </cell>
          <cell r="W16">
            <v>1927886.47</v>
          </cell>
          <cell r="X16">
            <v>66618.34</v>
          </cell>
        </row>
        <row r="17">
          <cell r="Q17">
            <v>173515.82</v>
          </cell>
          <cell r="R17">
            <v>691446.99</v>
          </cell>
          <cell r="S17">
            <v>379908.22</v>
          </cell>
          <cell r="T17">
            <v>245298.87</v>
          </cell>
          <cell r="U17">
            <v>76898.59</v>
          </cell>
          <cell r="V17">
            <v>410231.9</v>
          </cell>
          <cell r="W17">
            <v>190647.5</v>
          </cell>
          <cell r="X17">
            <v>37590.31</v>
          </cell>
        </row>
        <row r="18">
          <cell r="Q18">
            <v>22049.59</v>
          </cell>
          <cell r="R18">
            <v>785112.98</v>
          </cell>
          <cell r="S18">
            <v>19903.03</v>
          </cell>
          <cell r="T18">
            <v>66583.14</v>
          </cell>
          <cell r="U18">
            <v>11403.38</v>
          </cell>
          <cell r="V18">
            <v>438788.78</v>
          </cell>
          <cell r="W18">
            <v>13424.75</v>
          </cell>
          <cell r="X18">
            <v>40179.89</v>
          </cell>
        </row>
        <row r="19">
          <cell r="Q19">
            <v>188884.35</v>
          </cell>
          <cell r="R19">
            <v>823488.72</v>
          </cell>
          <cell r="S19">
            <v>62610.7</v>
          </cell>
          <cell r="T19">
            <v>181680.2</v>
          </cell>
          <cell r="U19">
            <v>6122.21</v>
          </cell>
          <cell r="V19">
            <v>616421.30000000005</v>
          </cell>
          <cell r="W19">
            <v>43686.42</v>
          </cell>
          <cell r="X19">
            <v>56131.02</v>
          </cell>
        </row>
        <row r="20">
          <cell r="Q20">
            <v>251197.95</v>
          </cell>
          <cell r="R20">
            <v>265952.25</v>
          </cell>
          <cell r="S20">
            <v>1081027.6499999999</v>
          </cell>
          <cell r="T20">
            <v>31303.03</v>
          </cell>
          <cell r="U20">
            <v>53500.95</v>
          </cell>
          <cell r="V20">
            <v>223982.15</v>
          </cell>
          <cell r="W20">
            <v>974849.96</v>
          </cell>
          <cell r="X20">
            <v>18104.419999999998</v>
          </cell>
        </row>
        <row r="21">
          <cell r="Q21">
            <v>213576.32000000001</v>
          </cell>
          <cell r="R21">
            <v>1860369.54</v>
          </cell>
          <cell r="S21">
            <v>559260.52</v>
          </cell>
          <cell r="T21">
            <v>116748.34</v>
          </cell>
          <cell r="U21">
            <v>98977.36</v>
          </cell>
          <cell r="V21">
            <v>1627360.74</v>
          </cell>
          <cell r="W21">
            <v>505678.52</v>
          </cell>
          <cell r="X21">
            <v>99798.399999999994</v>
          </cell>
        </row>
        <row r="22">
          <cell r="Q22">
            <v>365803.1</v>
          </cell>
          <cell r="R22">
            <v>1578887.28</v>
          </cell>
          <cell r="S22">
            <v>328345.51</v>
          </cell>
          <cell r="T22">
            <v>126861.99</v>
          </cell>
          <cell r="U22">
            <v>201859.35</v>
          </cell>
          <cell r="V22">
            <v>1205620.3799999999</v>
          </cell>
          <cell r="W22">
            <v>215136.84</v>
          </cell>
          <cell r="X22">
            <v>45805.99</v>
          </cell>
        </row>
        <row r="23">
          <cell r="Q23">
            <v>218547.43</v>
          </cell>
          <cell r="R23">
            <v>2013129.93</v>
          </cell>
          <cell r="S23">
            <v>165362.18</v>
          </cell>
          <cell r="T23">
            <v>45546.41</v>
          </cell>
          <cell r="U23">
            <v>110081.36</v>
          </cell>
          <cell r="V23">
            <v>1655630.57</v>
          </cell>
          <cell r="W23">
            <v>117781.04</v>
          </cell>
          <cell r="X23">
            <v>53591.07</v>
          </cell>
        </row>
        <row r="24">
          <cell r="Q24">
            <v>194665.27</v>
          </cell>
          <cell r="R24">
            <v>1025397.91</v>
          </cell>
          <cell r="S24">
            <v>249395.46</v>
          </cell>
          <cell r="T24">
            <v>952584.53</v>
          </cell>
          <cell r="U24">
            <v>89642.02</v>
          </cell>
          <cell r="V24">
            <v>879423.93</v>
          </cell>
          <cell r="W24">
            <v>182308.7</v>
          </cell>
          <cell r="X24">
            <v>29819.14</v>
          </cell>
        </row>
        <row r="25">
          <cell r="Q25">
            <v>89492.03</v>
          </cell>
          <cell r="R25">
            <v>1076248.04</v>
          </cell>
          <cell r="S25">
            <v>185918.11</v>
          </cell>
          <cell r="T25">
            <v>34686.22</v>
          </cell>
          <cell r="U25">
            <v>32187.56</v>
          </cell>
          <cell r="V25">
            <v>251786.12</v>
          </cell>
          <cell r="W25">
            <v>136586.26999999999</v>
          </cell>
          <cell r="X25">
            <v>3640.51</v>
          </cell>
        </row>
        <row r="26">
          <cell r="Q26">
            <v>326519.53000000003</v>
          </cell>
          <cell r="R26">
            <v>632898.4</v>
          </cell>
          <cell r="S26">
            <v>721113.47</v>
          </cell>
          <cell r="T26">
            <v>136419.54999999999</v>
          </cell>
          <cell r="U26">
            <v>130760.53</v>
          </cell>
          <cell r="V26">
            <v>458536.78</v>
          </cell>
          <cell r="W26">
            <v>234500.73</v>
          </cell>
          <cell r="X26">
            <v>166820.94</v>
          </cell>
        </row>
        <row r="27">
          <cell r="Q27">
            <v>1763833.1</v>
          </cell>
          <cell r="R27">
            <v>2492378.52</v>
          </cell>
          <cell r="S27">
            <v>2091294.82</v>
          </cell>
          <cell r="T27">
            <v>2537654.69</v>
          </cell>
          <cell r="U27">
            <v>1076273.1100000001</v>
          </cell>
          <cell r="V27">
            <v>2091959.45</v>
          </cell>
          <cell r="W27">
            <v>1890942.21</v>
          </cell>
          <cell r="X27">
            <v>209718.3</v>
          </cell>
        </row>
        <row r="28">
          <cell r="Q28">
            <v>46554.9</v>
          </cell>
          <cell r="R28">
            <v>240891.41</v>
          </cell>
          <cell r="S28">
            <v>17894.36</v>
          </cell>
          <cell r="T28">
            <v>20611.080000000002</v>
          </cell>
          <cell r="U28">
            <v>26787.73</v>
          </cell>
          <cell r="V28">
            <v>156558.35999999999</v>
          </cell>
          <cell r="W28">
            <v>8233.01</v>
          </cell>
          <cell r="X28">
            <v>15060.32</v>
          </cell>
        </row>
        <row r="29">
          <cell r="Q29">
            <v>133756.14000000001</v>
          </cell>
          <cell r="R29">
            <v>722219.61</v>
          </cell>
          <cell r="S29">
            <v>26870.34</v>
          </cell>
          <cell r="T29">
            <v>37568.33</v>
          </cell>
          <cell r="U29">
            <v>67085.05</v>
          </cell>
          <cell r="V29">
            <v>402739.66</v>
          </cell>
          <cell r="W29">
            <v>16421.11</v>
          </cell>
          <cell r="X29">
            <v>25312.14</v>
          </cell>
        </row>
        <row r="30">
          <cell r="Q30">
            <v>93210.34</v>
          </cell>
          <cell r="R30">
            <v>798235.25</v>
          </cell>
          <cell r="S30">
            <v>310032.3</v>
          </cell>
          <cell r="T30">
            <v>25670.06</v>
          </cell>
          <cell r="U30">
            <v>17509.240000000002</v>
          </cell>
          <cell r="V30">
            <v>542304.47</v>
          </cell>
          <cell r="W30">
            <v>306651.31</v>
          </cell>
          <cell r="X30">
            <v>8642.7099999999991</v>
          </cell>
        </row>
        <row r="31">
          <cell r="Q31">
            <v>17814.009999999998</v>
          </cell>
          <cell r="R31">
            <v>574704.32999999996</v>
          </cell>
          <cell r="S31">
            <v>35972.47</v>
          </cell>
          <cell r="T31">
            <v>14618.13</v>
          </cell>
          <cell r="U31">
            <v>2622.17</v>
          </cell>
          <cell r="V31">
            <v>550958.96</v>
          </cell>
          <cell r="W31">
            <v>26132.89</v>
          </cell>
          <cell r="X31">
            <v>2056.96</v>
          </cell>
        </row>
        <row r="32">
          <cell r="Q32">
            <v>31081.7</v>
          </cell>
          <cell r="R32">
            <v>144085.59</v>
          </cell>
          <cell r="S32">
            <v>14331.35</v>
          </cell>
          <cell r="T32">
            <v>11419.25</v>
          </cell>
          <cell r="U32">
            <v>15482.18</v>
          </cell>
          <cell r="V32">
            <v>25744.5</v>
          </cell>
          <cell r="W32">
            <v>11785.4</v>
          </cell>
          <cell r="X32">
            <v>2266.27</v>
          </cell>
        </row>
        <row r="33">
          <cell r="Q33">
            <v>1154.04</v>
          </cell>
          <cell r="R33">
            <v>70782.98</v>
          </cell>
          <cell r="S33">
            <v>47081.75</v>
          </cell>
          <cell r="T33">
            <v>19313.96</v>
          </cell>
          <cell r="U33">
            <v>235.73</v>
          </cell>
          <cell r="V33">
            <v>23214.44</v>
          </cell>
          <cell r="W33">
            <v>32751.59</v>
          </cell>
          <cell r="X33">
            <v>8900.6</v>
          </cell>
        </row>
        <row r="34">
          <cell r="Q34">
            <v>5469293.0899999999</v>
          </cell>
          <cell r="R34">
            <v>861684.07</v>
          </cell>
          <cell r="S34">
            <v>1467175.52</v>
          </cell>
          <cell r="T34">
            <v>483318.27</v>
          </cell>
          <cell r="U34">
            <v>3022701.97</v>
          </cell>
          <cell r="V34">
            <v>461225.47</v>
          </cell>
          <cell r="W34">
            <v>1145419.94</v>
          </cell>
          <cell r="X34">
            <v>241344.52</v>
          </cell>
        </row>
        <row r="35">
          <cell r="Q35">
            <v>7619761.3200000003</v>
          </cell>
          <cell r="R35">
            <v>4618088.2699999996</v>
          </cell>
          <cell r="S35">
            <v>5015582.3899999997</v>
          </cell>
          <cell r="T35">
            <v>914480.5</v>
          </cell>
          <cell r="U35">
            <v>4455774.82</v>
          </cell>
          <cell r="V35">
            <v>1497959.5</v>
          </cell>
          <cell r="W35">
            <v>4327611.04</v>
          </cell>
          <cell r="X35">
            <v>482192.34</v>
          </cell>
        </row>
        <row r="36">
          <cell r="Q36">
            <v>4736978.97</v>
          </cell>
          <cell r="R36">
            <v>1067986.72</v>
          </cell>
          <cell r="S36">
            <v>2113578.77</v>
          </cell>
          <cell r="T36">
            <v>425949.64</v>
          </cell>
          <cell r="U36">
            <v>3390113.21</v>
          </cell>
          <cell r="V36">
            <v>942626.51</v>
          </cell>
          <cell r="W36">
            <v>2536552.17</v>
          </cell>
          <cell r="X36">
            <v>180550.5</v>
          </cell>
        </row>
        <row r="37">
          <cell r="Q37">
            <v>80999.05</v>
          </cell>
          <cell r="R37">
            <v>1694190.73</v>
          </cell>
          <cell r="S37">
            <v>353436.04</v>
          </cell>
          <cell r="T37">
            <v>115416.2</v>
          </cell>
          <cell r="U37">
            <v>12966.51</v>
          </cell>
          <cell r="V37">
            <v>1415127.86</v>
          </cell>
          <cell r="W37">
            <v>229034.94</v>
          </cell>
          <cell r="X37">
            <v>59443.68</v>
          </cell>
        </row>
        <row r="38">
          <cell r="Q38">
            <v>34880.65</v>
          </cell>
          <cell r="R38">
            <v>2557870.5499999998</v>
          </cell>
          <cell r="S38">
            <v>2111596.75</v>
          </cell>
          <cell r="T38">
            <v>151083.16</v>
          </cell>
          <cell r="U38">
            <v>10748.47</v>
          </cell>
          <cell r="V38">
            <v>1010809.07</v>
          </cell>
          <cell r="W38">
            <v>470186.45</v>
          </cell>
          <cell r="X38">
            <v>74135.789999999994</v>
          </cell>
        </row>
        <row r="39">
          <cell r="Q39">
            <v>525303.62</v>
          </cell>
          <cell r="R39">
            <v>660749.38</v>
          </cell>
          <cell r="S39">
            <v>565797.23</v>
          </cell>
          <cell r="T39">
            <v>194520.27</v>
          </cell>
          <cell r="U39">
            <v>200722.67</v>
          </cell>
          <cell r="V39">
            <v>584161.85</v>
          </cell>
          <cell r="W39">
            <v>312588.52</v>
          </cell>
          <cell r="X39">
            <v>163476.5</v>
          </cell>
        </row>
        <row r="40">
          <cell r="Q40">
            <v>1049401.1599999999</v>
          </cell>
          <cell r="R40">
            <v>4299823.91</v>
          </cell>
          <cell r="S40">
            <v>1262501.8899999999</v>
          </cell>
          <cell r="T40">
            <v>254301.89</v>
          </cell>
          <cell r="U40">
            <v>389351.38</v>
          </cell>
          <cell r="V40">
            <v>3544872.78</v>
          </cell>
          <cell r="W40">
            <v>1023461.56</v>
          </cell>
          <cell r="X40">
            <v>183838.49</v>
          </cell>
        </row>
        <row r="41">
          <cell r="Q41">
            <v>582574.9</v>
          </cell>
          <cell r="R41">
            <v>17032216.09</v>
          </cell>
          <cell r="S41">
            <v>7688644.8099999996</v>
          </cell>
          <cell r="T41">
            <v>1340784.8700000001</v>
          </cell>
          <cell r="U41">
            <v>363965.27</v>
          </cell>
          <cell r="V41">
            <v>12152248.800000001</v>
          </cell>
          <cell r="W41">
            <v>6792698.2300000004</v>
          </cell>
          <cell r="X41">
            <v>1190743.6200000001</v>
          </cell>
        </row>
        <row r="42">
          <cell r="Q42">
            <v>777411.61</v>
          </cell>
          <cell r="R42">
            <v>259307.64</v>
          </cell>
          <cell r="S42">
            <v>119061.99</v>
          </cell>
          <cell r="T42">
            <v>314408.76</v>
          </cell>
          <cell r="U42">
            <v>356091.71</v>
          </cell>
          <cell r="V42">
            <v>136942.31</v>
          </cell>
          <cell r="W42">
            <v>88484.39</v>
          </cell>
          <cell r="X42">
            <v>27129.34</v>
          </cell>
        </row>
        <row r="43">
          <cell r="Q43">
            <v>1820284.67</v>
          </cell>
          <cell r="R43">
            <v>23346823.780000001</v>
          </cell>
          <cell r="S43">
            <v>3763526.58</v>
          </cell>
          <cell r="T43">
            <v>3192745.91</v>
          </cell>
          <cell r="U43">
            <v>596787.75</v>
          </cell>
          <cell r="V43">
            <v>17923917.390000001</v>
          </cell>
          <cell r="W43">
            <v>3864359.73</v>
          </cell>
          <cell r="X43">
            <v>1996855.84</v>
          </cell>
        </row>
        <row r="44">
          <cell r="Q44">
            <v>514799.38</v>
          </cell>
          <cell r="R44">
            <v>445311.5</v>
          </cell>
          <cell r="S44">
            <v>38814.660000000003</v>
          </cell>
          <cell r="T44">
            <v>580088.22</v>
          </cell>
          <cell r="U44">
            <v>261925.68</v>
          </cell>
          <cell r="V44">
            <v>399994.23</v>
          </cell>
          <cell r="W44">
            <v>35250.339999999997</v>
          </cell>
          <cell r="X44">
            <v>26467.18</v>
          </cell>
        </row>
        <row r="45">
          <cell r="Q45">
            <v>20972933.550000001</v>
          </cell>
          <cell r="R45">
            <v>632509.32999999996</v>
          </cell>
          <cell r="S45">
            <v>1213548.46</v>
          </cell>
          <cell r="T45">
            <v>560727.55000000005</v>
          </cell>
          <cell r="U45">
            <v>4097262.13</v>
          </cell>
          <cell r="V45">
            <v>413005.82</v>
          </cell>
          <cell r="W45">
            <v>1086518.05</v>
          </cell>
          <cell r="X45">
            <v>370958.83</v>
          </cell>
        </row>
        <row r="46">
          <cell r="Q46">
            <v>2237197.54</v>
          </cell>
          <cell r="R46">
            <v>45736.78</v>
          </cell>
          <cell r="S46">
            <v>21019.99</v>
          </cell>
          <cell r="T46">
            <v>71583.520000000004</v>
          </cell>
          <cell r="U46">
            <v>598892.14</v>
          </cell>
          <cell r="V46">
            <v>18798.650000000001</v>
          </cell>
          <cell r="W46">
            <v>17500.490000000002</v>
          </cell>
          <cell r="X46">
            <v>27664.94</v>
          </cell>
        </row>
        <row r="47">
          <cell r="Q47">
            <v>409777.52</v>
          </cell>
          <cell r="R47">
            <v>173127.29</v>
          </cell>
          <cell r="S47">
            <v>6568.45</v>
          </cell>
          <cell r="T47">
            <v>7955.89</v>
          </cell>
          <cell r="U47">
            <v>62856.78</v>
          </cell>
          <cell r="V47">
            <v>93235.58</v>
          </cell>
          <cell r="W47">
            <v>9610.9500000000007</v>
          </cell>
          <cell r="X47">
            <v>11208.95</v>
          </cell>
        </row>
        <row r="48">
          <cell r="Q48">
            <v>783699.16</v>
          </cell>
          <cell r="R48">
            <v>1155224.92</v>
          </cell>
          <cell r="S48">
            <v>349130.48</v>
          </cell>
          <cell r="T48">
            <v>275311.98</v>
          </cell>
          <cell r="U48">
            <v>461671.16</v>
          </cell>
          <cell r="V48">
            <v>1048887.54</v>
          </cell>
          <cell r="W48">
            <v>230944.75</v>
          </cell>
          <cell r="X48">
            <v>59185.7</v>
          </cell>
        </row>
        <row r="49">
          <cell r="Q49">
            <v>1659.89</v>
          </cell>
          <cell r="R49">
            <v>178840.97</v>
          </cell>
          <cell r="S49">
            <v>11247.87</v>
          </cell>
          <cell r="T49">
            <v>286.68</v>
          </cell>
          <cell r="U49">
            <v>0</v>
          </cell>
          <cell r="V49">
            <v>127311.06</v>
          </cell>
          <cell r="W49">
            <v>1811.14</v>
          </cell>
          <cell r="X49">
            <v>595.03</v>
          </cell>
        </row>
      </sheetData>
      <sheetData sheetId="12"/>
      <sheetData sheetId="13"/>
      <sheetData sheetId="14"/>
      <sheetData sheetId="15">
        <row r="7">
          <cell r="Q7">
            <v>909433.99</v>
          </cell>
          <cell r="U7">
            <v>911666.28</v>
          </cell>
          <cell r="W7">
            <v>268.24</v>
          </cell>
        </row>
      </sheetData>
      <sheetData sheetId="16">
        <row r="14">
          <cell r="Q14">
            <v>1866.6</v>
          </cell>
          <cell r="R14">
            <v>441064.83</v>
          </cell>
          <cell r="S14">
            <v>35909.35</v>
          </cell>
          <cell r="T14">
            <v>31145.52</v>
          </cell>
          <cell r="U14">
            <v>2072.94</v>
          </cell>
          <cell r="V14">
            <v>418191.63</v>
          </cell>
          <cell r="W14">
            <v>45017.1</v>
          </cell>
          <cell r="X14">
            <v>28615.13</v>
          </cell>
        </row>
        <row r="15">
          <cell r="Q15">
            <v>383632.49</v>
          </cell>
          <cell r="R15">
            <v>925256.77</v>
          </cell>
          <cell r="S15">
            <v>45230.02</v>
          </cell>
          <cell r="T15">
            <v>1122467.6599999999</v>
          </cell>
          <cell r="U15">
            <v>380955.65</v>
          </cell>
          <cell r="V15">
            <v>401664.69</v>
          </cell>
          <cell r="W15">
            <v>46036.15</v>
          </cell>
          <cell r="X15">
            <v>528947.79</v>
          </cell>
        </row>
        <row r="16">
          <cell r="Q16">
            <v>82595.5</v>
          </cell>
          <cell r="R16">
            <v>276332.09000000003</v>
          </cell>
          <cell r="S16">
            <v>27581.94</v>
          </cell>
          <cell r="T16">
            <v>9153.5400000000009</v>
          </cell>
          <cell r="U16">
            <v>84690.83</v>
          </cell>
          <cell r="V16">
            <v>265653.33</v>
          </cell>
          <cell r="W16">
            <v>31965.5</v>
          </cell>
          <cell r="X16">
            <v>14517.58</v>
          </cell>
        </row>
        <row r="17">
          <cell r="Q17">
            <v>35797.800000000003</v>
          </cell>
          <cell r="R17">
            <v>1166596.99</v>
          </cell>
          <cell r="S17">
            <v>90661.61</v>
          </cell>
          <cell r="T17">
            <v>52514.18</v>
          </cell>
          <cell r="U17">
            <v>52179.92</v>
          </cell>
          <cell r="V17">
            <v>1162985.1299999999</v>
          </cell>
          <cell r="W17">
            <v>90032.1</v>
          </cell>
          <cell r="X17">
            <v>50957.48</v>
          </cell>
        </row>
        <row r="18">
          <cell r="Q18">
            <v>246434.85</v>
          </cell>
          <cell r="R18">
            <v>28878.560000000001</v>
          </cell>
          <cell r="S18">
            <v>1115.3399999999999</v>
          </cell>
          <cell r="T18">
            <v>52270.8</v>
          </cell>
          <cell r="U18">
            <v>340348.25</v>
          </cell>
          <cell r="V18">
            <v>20894.02</v>
          </cell>
          <cell r="W18">
            <v>52270.8</v>
          </cell>
          <cell r="X18">
            <v>1134.75</v>
          </cell>
        </row>
        <row r="19">
          <cell r="Q19">
            <v>141514.44</v>
          </cell>
          <cell r="R19">
            <v>295948.88</v>
          </cell>
          <cell r="S19">
            <v>127956.09</v>
          </cell>
          <cell r="T19">
            <v>4687.7700000000004</v>
          </cell>
          <cell r="U19">
            <v>113969.52</v>
          </cell>
          <cell r="V19">
            <v>278750.58</v>
          </cell>
          <cell r="W19">
            <v>833.83</v>
          </cell>
          <cell r="X19">
            <v>124968.49</v>
          </cell>
        </row>
        <row r="20">
          <cell r="Q20">
            <v>30618.880000000001</v>
          </cell>
          <cell r="R20">
            <v>8546.4599999999991</v>
          </cell>
          <cell r="S20">
            <v>18043.330000000002</v>
          </cell>
          <cell r="T20">
            <v>0</v>
          </cell>
          <cell r="U20">
            <v>34708.71</v>
          </cell>
          <cell r="V20">
            <v>14777.38</v>
          </cell>
          <cell r="W20">
            <v>0</v>
          </cell>
          <cell r="X20">
            <v>17924.71</v>
          </cell>
        </row>
        <row r="21">
          <cell r="Q21">
            <v>14929.47</v>
          </cell>
          <cell r="R21">
            <v>330.5</v>
          </cell>
          <cell r="S21">
            <v>0</v>
          </cell>
          <cell r="T21">
            <v>0</v>
          </cell>
          <cell r="U21">
            <v>15542.61</v>
          </cell>
          <cell r="V21">
            <v>56.78</v>
          </cell>
          <cell r="W21">
            <v>0</v>
          </cell>
          <cell r="X21">
            <v>0</v>
          </cell>
        </row>
        <row r="22">
          <cell r="Q22">
            <v>800</v>
          </cell>
          <cell r="R22">
            <v>64018.07</v>
          </cell>
          <cell r="S22">
            <v>6533.83</v>
          </cell>
          <cell r="T22">
            <v>959.22</v>
          </cell>
          <cell r="U22">
            <v>400</v>
          </cell>
          <cell r="V22">
            <v>13502.22</v>
          </cell>
          <cell r="W22">
            <v>658.41</v>
          </cell>
          <cell r="X22">
            <v>6623.83</v>
          </cell>
        </row>
        <row r="23">
          <cell r="Q23">
            <v>0</v>
          </cell>
          <cell r="R23">
            <v>651.75</v>
          </cell>
          <cell r="S23">
            <v>0</v>
          </cell>
          <cell r="T23">
            <v>201.48</v>
          </cell>
          <cell r="U23">
            <v>0</v>
          </cell>
          <cell r="V23">
            <v>1850.15</v>
          </cell>
          <cell r="W23">
            <v>201.48</v>
          </cell>
          <cell r="X23">
            <v>0</v>
          </cell>
        </row>
        <row r="24">
          <cell r="Q24">
            <v>0</v>
          </cell>
          <cell r="R24">
            <v>432.75</v>
          </cell>
          <cell r="S24">
            <v>0</v>
          </cell>
          <cell r="T24">
            <v>274.05</v>
          </cell>
          <cell r="U24">
            <v>0</v>
          </cell>
          <cell r="V24">
            <v>292.58999999999997</v>
          </cell>
          <cell r="W24">
            <v>274.05</v>
          </cell>
          <cell r="X24">
            <v>0</v>
          </cell>
        </row>
      </sheetData>
      <sheetData sheetId="17"/>
      <sheetData sheetId="18">
        <row r="14">
          <cell r="Q14">
            <v>0</v>
          </cell>
          <cell r="R14">
            <v>774.75</v>
          </cell>
          <cell r="S14">
            <v>0</v>
          </cell>
          <cell r="T14">
            <v>0</v>
          </cell>
          <cell r="U14">
            <v>0</v>
          </cell>
          <cell r="V14">
            <v>774.75</v>
          </cell>
          <cell r="W14">
            <v>0</v>
          </cell>
          <cell r="X14">
            <v>0</v>
          </cell>
        </row>
        <row r="15"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Q16">
            <v>0</v>
          </cell>
          <cell r="R16">
            <v>0</v>
          </cell>
          <cell r="S16">
            <v>572.54999999999995</v>
          </cell>
          <cell r="T16">
            <v>0</v>
          </cell>
          <cell r="U16">
            <v>0</v>
          </cell>
          <cell r="V16">
            <v>0</v>
          </cell>
          <cell r="W16">
            <v>572.54999999999995</v>
          </cell>
          <cell r="X16">
            <v>0</v>
          </cell>
        </row>
        <row r="17"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Q18">
            <v>0</v>
          </cell>
          <cell r="R18">
            <v>502.85</v>
          </cell>
          <cell r="S18">
            <v>12302.5</v>
          </cell>
          <cell r="T18">
            <v>53.5</v>
          </cell>
          <cell r="U18">
            <v>0</v>
          </cell>
          <cell r="V18">
            <v>502.85</v>
          </cell>
          <cell r="W18">
            <v>12302.5</v>
          </cell>
          <cell r="X18">
            <v>53.5</v>
          </cell>
        </row>
        <row r="19">
          <cell r="Q19">
            <v>0</v>
          </cell>
          <cell r="R19">
            <v>3922.65</v>
          </cell>
          <cell r="S19">
            <v>388</v>
          </cell>
          <cell r="T19">
            <v>869.45</v>
          </cell>
          <cell r="U19">
            <v>0</v>
          </cell>
          <cell r="V19">
            <v>3922.65</v>
          </cell>
          <cell r="W19">
            <v>388</v>
          </cell>
          <cell r="X19">
            <v>869.45</v>
          </cell>
        </row>
        <row r="20">
          <cell r="Q20">
            <v>84.34</v>
          </cell>
          <cell r="R20">
            <v>57.35</v>
          </cell>
          <cell r="S20">
            <v>0</v>
          </cell>
          <cell r="T20">
            <v>0</v>
          </cell>
          <cell r="U20">
            <v>84.34</v>
          </cell>
          <cell r="V20">
            <v>57.35</v>
          </cell>
          <cell r="W20">
            <v>0</v>
          </cell>
          <cell r="X20">
            <v>0</v>
          </cell>
        </row>
        <row r="21">
          <cell r="Q21">
            <v>0</v>
          </cell>
          <cell r="R21">
            <v>614.65</v>
          </cell>
          <cell r="S21">
            <v>1035</v>
          </cell>
          <cell r="T21">
            <v>1775.4</v>
          </cell>
          <cell r="U21">
            <v>0</v>
          </cell>
          <cell r="V21">
            <v>614.65</v>
          </cell>
          <cell r="W21">
            <v>1035</v>
          </cell>
          <cell r="X21">
            <v>1775.4</v>
          </cell>
        </row>
        <row r="22"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</row>
        <row r="23">
          <cell r="Q23">
            <v>0.51</v>
          </cell>
          <cell r="R23">
            <v>94.8</v>
          </cell>
          <cell r="S23">
            <v>39217.5</v>
          </cell>
          <cell r="T23">
            <v>1016.03</v>
          </cell>
          <cell r="U23">
            <v>0.51</v>
          </cell>
          <cell r="V23">
            <v>94.8</v>
          </cell>
          <cell r="W23">
            <v>39217.5</v>
          </cell>
          <cell r="X23">
            <v>1016.03</v>
          </cell>
        </row>
        <row r="24">
          <cell r="Q24">
            <v>0</v>
          </cell>
          <cell r="R24">
            <v>0</v>
          </cell>
          <cell r="S24">
            <v>0</v>
          </cell>
          <cell r="T24">
            <v>18</v>
          </cell>
          <cell r="U24">
            <v>0</v>
          </cell>
          <cell r="V24">
            <v>0</v>
          </cell>
          <cell r="W24">
            <v>0</v>
          </cell>
          <cell r="X24">
            <v>18</v>
          </cell>
        </row>
        <row r="25">
          <cell r="Q25">
            <v>0</v>
          </cell>
          <cell r="R25">
            <v>0</v>
          </cell>
          <cell r="S25">
            <v>4916</v>
          </cell>
          <cell r="T25">
            <v>0</v>
          </cell>
          <cell r="U25">
            <v>0</v>
          </cell>
          <cell r="V25">
            <v>0</v>
          </cell>
          <cell r="W25">
            <v>4916</v>
          </cell>
          <cell r="X25">
            <v>0</v>
          </cell>
        </row>
      </sheetData>
      <sheetData sheetId="19">
        <row r="14">
          <cell r="Q14">
            <v>0</v>
          </cell>
          <cell r="R14">
            <v>3359518.63</v>
          </cell>
          <cell r="S14">
            <v>576943.98</v>
          </cell>
          <cell r="T14">
            <v>0</v>
          </cell>
          <cell r="U14">
            <v>0</v>
          </cell>
          <cell r="V14">
            <v>839879.62</v>
          </cell>
          <cell r="W14">
            <v>350090.46</v>
          </cell>
          <cell r="X14">
            <v>0</v>
          </cell>
        </row>
      </sheetData>
      <sheetData sheetId="20">
        <row r="14">
          <cell r="Q14">
            <v>4594.18</v>
          </cell>
          <cell r="R14">
            <v>13225632.260000004</v>
          </cell>
          <cell r="S14">
            <v>1517903.67</v>
          </cell>
          <cell r="T14">
            <v>2413663.9199999981</v>
          </cell>
          <cell r="U14">
            <v>4594.18</v>
          </cell>
          <cell r="V14">
            <v>13142450.179999983</v>
          </cell>
          <cell r="W14">
            <v>1458558.0699999991</v>
          </cell>
          <cell r="X14">
            <v>2119459.830000001</v>
          </cell>
        </row>
        <row r="15">
          <cell r="Q15">
            <v>0</v>
          </cell>
          <cell r="R15">
            <v>874739.08999999927</v>
          </cell>
          <cell r="S15">
            <v>0</v>
          </cell>
          <cell r="T15">
            <v>339133.27000000014</v>
          </cell>
          <cell r="U15">
            <v>0</v>
          </cell>
          <cell r="V15">
            <v>923264.24999999988</v>
          </cell>
          <cell r="W15">
            <v>0</v>
          </cell>
          <cell r="X15">
            <v>341216.0900000002</v>
          </cell>
        </row>
        <row r="16">
          <cell r="Q16">
            <v>6365.14</v>
          </cell>
          <cell r="R16">
            <v>1069190.6199999999</v>
          </cell>
          <cell r="S16">
            <v>406035.34999999963</v>
          </cell>
          <cell r="T16">
            <v>331234.27000000014</v>
          </cell>
          <cell r="U16">
            <v>6365.14</v>
          </cell>
          <cell r="V16">
            <v>1102907.7099999997</v>
          </cell>
          <cell r="W16">
            <v>246247.87999999983</v>
          </cell>
          <cell r="X16">
            <v>330536.42000000033</v>
          </cell>
        </row>
        <row r="17">
          <cell r="Q17">
            <v>2019.72</v>
          </cell>
          <cell r="R17">
            <v>57869390.040000036</v>
          </cell>
          <cell r="S17">
            <v>4750754.0399999972</v>
          </cell>
          <cell r="T17">
            <v>3141926.5000000019</v>
          </cell>
          <cell r="U17">
            <v>994.31</v>
          </cell>
          <cell r="V17">
            <v>57615313.520000055</v>
          </cell>
          <cell r="W17">
            <v>4758782.0699999956</v>
          </cell>
          <cell r="X17">
            <v>2838728.1299999924</v>
          </cell>
        </row>
        <row r="18">
          <cell r="Q18">
            <v>3151.4300000000003</v>
          </cell>
          <cell r="R18">
            <v>2824817.71</v>
          </cell>
          <cell r="S18">
            <v>27082.839999999993</v>
          </cell>
          <cell r="T18">
            <v>44154.780000000115</v>
          </cell>
          <cell r="U18">
            <v>3151.4300000000003</v>
          </cell>
          <cell r="V18">
            <v>3029115.9199999981</v>
          </cell>
          <cell r="W18">
            <v>21392.529999999988</v>
          </cell>
          <cell r="X18">
            <v>42250.369999999923</v>
          </cell>
        </row>
        <row r="19">
          <cell r="Q19">
            <v>0</v>
          </cell>
          <cell r="R19">
            <v>2009299.1399999987</v>
          </cell>
          <cell r="S19">
            <v>600067.75000000047</v>
          </cell>
          <cell r="T19">
            <v>146277.31000000006</v>
          </cell>
          <cell r="U19">
            <v>0</v>
          </cell>
          <cell r="V19">
            <v>952675.11999999965</v>
          </cell>
          <cell r="W19">
            <v>580831.00000000035</v>
          </cell>
          <cell r="X19">
            <v>139622.6599999998</v>
          </cell>
        </row>
        <row r="20">
          <cell r="Q20">
            <v>932.27</v>
          </cell>
          <cell r="R20">
            <v>1763762.4200000004</v>
          </cell>
          <cell r="S20">
            <v>534800.09999999963</v>
          </cell>
          <cell r="T20">
            <v>150052.41999999993</v>
          </cell>
          <cell r="U20">
            <v>739.98</v>
          </cell>
          <cell r="V20">
            <v>1700757.4399999995</v>
          </cell>
          <cell r="W20">
            <v>516249.66999999876</v>
          </cell>
          <cell r="X20">
            <v>125656.59000000008</v>
          </cell>
        </row>
        <row r="21">
          <cell r="Q21">
            <v>74.12</v>
          </cell>
          <cell r="R21">
            <v>2175506.0399999996</v>
          </cell>
          <cell r="S21">
            <v>161337.73000000001</v>
          </cell>
          <cell r="T21">
            <v>54992.089999999822</v>
          </cell>
          <cell r="U21">
            <v>0</v>
          </cell>
          <cell r="V21">
            <v>2173366.9599999976</v>
          </cell>
          <cell r="W21">
            <v>156708.68000000005</v>
          </cell>
          <cell r="X21">
            <v>53432.9099999998</v>
          </cell>
        </row>
        <row r="22">
          <cell r="Q22">
            <v>0</v>
          </cell>
          <cell r="R22">
            <v>1987092.7100000004</v>
          </cell>
          <cell r="S22">
            <v>598189.44999999995</v>
          </cell>
          <cell r="T22">
            <v>1290010.0500000005</v>
          </cell>
          <cell r="U22">
            <v>0</v>
          </cell>
          <cell r="V22">
            <v>1975114.8200000015</v>
          </cell>
          <cell r="W22">
            <v>598042.73000000033</v>
          </cell>
          <cell r="X22">
            <v>1268146.1500000004</v>
          </cell>
        </row>
      </sheetData>
      <sheetData sheetId="21">
        <row r="15">
          <cell r="Q15">
            <v>173330.7</v>
          </cell>
          <cell r="R15">
            <v>354106.55</v>
          </cell>
          <cell r="S15">
            <v>0</v>
          </cell>
          <cell r="T15">
            <v>3272.85</v>
          </cell>
        </row>
        <row r="16">
          <cell r="Q16">
            <v>21314.75</v>
          </cell>
          <cell r="R16">
            <v>76300</v>
          </cell>
          <cell r="S16">
            <v>0</v>
          </cell>
          <cell r="T16">
            <v>165499.68</v>
          </cell>
        </row>
        <row r="17">
          <cell r="Q17">
            <v>21577.57</v>
          </cell>
          <cell r="R17">
            <v>11190.95</v>
          </cell>
          <cell r="S17">
            <v>0</v>
          </cell>
          <cell r="T17">
            <v>0</v>
          </cell>
        </row>
        <row r="18">
          <cell r="Q18">
            <v>8084.5</v>
          </cell>
          <cell r="R18">
            <v>57259.13</v>
          </cell>
          <cell r="S18">
            <v>0</v>
          </cell>
          <cell r="T18">
            <v>0</v>
          </cell>
        </row>
        <row r="19">
          <cell r="Q19">
            <v>1453.91</v>
          </cell>
          <cell r="R19">
            <v>0</v>
          </cell>
          <cell r="S19">
            <v>0</v>
          </cell>
          <cell r="T19">
            <v>0</v>
          </cell>
        </row>
        <row r="20">
          <cell r="Q20">
            <v>12419.95</v>
          </cell>
          <cell r="R20">
            <v>0</v>
          </cell>
          <cell r="S20">
            <v>0</v>
          </cell>
          <cell r="T20">
            <v>1178.3499999999999</v>
          </cell>
        </row>
        <row r="21">
          <cell r="Q21">
            <v>0</v>
          </cell>
          <cell r="R21">
            <v>10389.200000000001</v>
          </cell>
          <cell r="S21">
            <v>0</v>
          </cell>
          <cell r="T21">
            <v>0</v>
          </cell>
        </row>
        <row r="22">
          <cell r="Q22">
            <v>10514.95</v>
          </cell>
          <cell r="R22">
            <v>656016.93000000005</v>
          </cell>
          <cell r="S22">
            <v>0</v>
          </cell>
          <cell r="T22">
            <v>4457.29</v>
          </cell>
        </row>
        <row r="23">
          <cell r="Q23">
            <v>298.32</v>
          </cell>
          <cell r="R23">
            <v>538655.21</v>
          </cell>
          <cell r="S23">
            <v>0</v>
          </cell>
          <cell r="T23">
            <v>2535.8200000000002</v>
          </cell>
        </row>
        <row r="24">
          <cell r="Q24">
            <v>23185.08</v>
          </cell>
          <cell r="R24">
            <v>31709.24</v>
          </cell>
          <cell r="S24">
            <v>0</v>
          </cell>
          <cell r="T24">
            <v>568.52</v>
          </cell>
        </row>
        <row r="25">
          <cell r="Q25">
            <v>16531.48</v>
          </cell>
          <cell r="R25">
            <v>16975.77</v>
          </cell>
          <cell r="S25">
            <v>0</v>
          </cell>
          <cell r="T25">
            <v>0</v>
          </cell>
        </row>
        <row r="26">
          <cell r="Q26">
            <v>439.76</v>
          </cell>
          <cell r="R26">
            <v>2453.23</v>
          </cell>
          <cell r="S26">
            <v>0</v>
          </cell>
          <cell r="T26">
            <v>0</v>
          </cell>
        </row>
        <row r="27">
          <cell r="Q27">
            <v>13167.94</v>
          </cell>
          <cell r="R27">
            <v>40974.14</v>
          </cell>
          <cell r="S27">
            <v>0</v>
          </cell>
          <cell r="T27">
            <v>3142.97</v>
          </cell>
        </row>
        <row r="28">
          <cell r="Q28">
            <v>4803.5200000000004</v>
          </cell>
          <cell r="R28">
            <v>11549.75</v>
          </cell>
          <cell r="S28">
            <v>0</v>
          </cell>
          <cell r="T28">
            <v>0</v>
          </cell>
        </row>
        <row r="29">
          <cell r="Q29">
            <v>0</v>
          </cell>
          <cell r="R29">
            <v>0</v>
          </cell>
          <cell r="S29">
            <v>0</v>
          </cell>
          <cell r="T29">
            <v>0</v>
          </cell>
        </row>
        <row r="30">
          <cell r="Q30">
            <v>0</v>
          </cell>
          <cell r="R30">
            <v>0</v>
          </cell>
          <cell r="S30">
            <v>0</v>
          </cell>
          <cell r="T30">
            <v>0</v>
          </cell>
        </row>
        <row r="31">
          <cell r="Q31">
            <v>0</v>
          </cell>
          <cell r="R31">
            <v>0</v>
          </cell>
          <cell r="S31">
            <v>0</v>
          </cell>
          <cell r="T31">
            <v>0</v>
          </cell>
        </row>
        <row r="32">
          <cell r="Q32">
            <v>23378.05</v>
          </cell>
          <cell r="R32">
            <v>3252.21</v>
          </cell>
          <cell r="S32">
            <v>0</v>
          </cell>
          <cell r="T32">
            <v>0</v>
          </cell>
        </row>
        <row r="33">
          <cell r="Q33">
            <v>0</v>
          </cell>
          <cell r="R33">
            <v>0</v>
          </cell>
          <cell r="S33">
            <v>0</v>
          </cell>
          <cell r="T33">
            <v>0</v>
          </cell>
        </row>
        <row r="34">
          <cell r="Q34">
            <v>0</v>
          </cell>
          <cell r="R34">
            <v>0</v>
          </cell>
          <cell r="S34">
            <v>0</v>
          </cell>
          <cell r="T34">
            <v>0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</row>
        <row r="36">
          <cell r="Q36">
            <v>0</v>
          </cell>
          <cell r="R36">
            <v>0</v>
          </cell>
          <cell r="S36">
            <v>0</v>
          </cell>
          <cell r="T36">
            <v>0</v>
          </cell>
        </row>
        <row r="37">
          <cell r="Q37">
            <v>0</v>
          </cell>
          <cell r="R37">
            <v>0</v>
          </cell>
          <cell r="S37">
            <v>0</v>
          </cell>
          <cell r="T37">
            <v>0</v>
          </cell>
        </row>
        <row r="38">
          <cell r="Q38">
            <v>0</v>
          </cell>
          <cell r="R38">
            <v>0</v>
          </cell>
          <cell r="S38">
            <v>0</v>
          </cell>
          <cell r="T38">
            <v>0</v>
          </cell>
        </row>
        <row r="39">
          <cell r="Q39">
            <v>0</v>
          </cell>
          <cell r="R39">
            <v>0</v>
          </cell>
          <cell r="S39">
            <v>0</v>
          </cell>
          <cell r="T39">
            <v>0</v>
          </cell>
        </row>
        <row r="40">
          <cell r="Q40">
            <v>0</v>
          </cell>
          <cell r="R40">
            <v>0</v>
          </cell>
          <cell r="S40">
            <v>0</v>
          </cell>
          <cell r="T40">
            <v>0</v>
          </cell>
        </row>
      </sheetData>
      <sheetData sheetId="22"/>
      <sheetData sheetId="23"/>
      <sheetData sheetId="24"/>
      <sheetData sheetId="25"/>
      <sheetData sheetId="26">
        <row r="14">
          <cell r="Q14">
            <v>0</v>
          </cell>
          <cell r="R14">
            <v>12893467.359999999</v>
          </cell>
          <cell r="S14">
            <v>4270371.0199999996</v>
          </cell>
          <cell r="T14">
            <v>6453296.5099999998</v>
          </cell>
          <cell r="U14">
            <v>0</v>
          </cell>
          <cell r="V14">
            <v>12593814.710000001</v>
          </cell>
          <cell r="W14">
            <v>3836836.09</v>
          </cell>
          <cell r="X14">
            <v>5973092.7199999997</v>
          </cell>
        </row>
        <row r="15">
          <cell r="Q15">
            <v>0</v>
          </cell>
          <cell r="R15">
            <v>2407718.94</v>
          </cell>
          <cell r="S15">
            <v>997875.37</v>
          </cell>
          <cell r="T15">
            <v>664578.06999999995</v>
          </cell>
          <cell r="U15">
            <v>0</v>
          </cell>
          <cell r="V15">
            <v>2360538.11</v>
          </cell>
          <cell r="W15">
            <v>665919.57999999996</v>
          </cell>
          <cell r="X15">
            <v>326331.76</v>
          </cell>
        </row>
        <row r="16">
          <cell r="Q16">
            <v>0</v>
          </cell>
          <cell r="R16">
            <v>875511.39</v>
          </cell>
          <cell r="S16">
            <v>509753.61</v>
          </cell>
          <cell r="T16">
            <v>25367.02</v>
          </cell>
          <cell r="U16">
            <v>0</v>
          </cell>
          <cell r="V16">
            <v>868190.05</v>
          </cell>
          <cell r="W16">
            <v>404853.39</v>
          </cell>
          <cell r="X16">
            <v>13403.04</v>
          </cell>
        </row>
        <row r="17">
          <cell r="Q17">
            <v>0</v>
          </cell>
          <cell r="R17">
            <v>3895875.53</v>
          </cell>
          <cell r="S17">
            <v>1924592.06</v>
          </cell>
          <cell r="T17">
            <v>700512.84</v>
          </cell>
          <cell r="U17">
            <v>0</v>
          </cell>
          <cell r="V17">
            <v>3652671.86</v>
          </cell>
          <cell r="W17">
            <v>1806939.26</v>
          </cell>
          <cell r="X17">
            <v>390609.21</v>
          </cell>
        </row>
        <row r="19">
          <cell r="Q19">
            <v>0</v>
          </cell>
          <cell r="R19">
            <v>663636.86</v>
          </cell>
          <cell r="S19">
            <v>1057241.31</v>
          </cell>
          <cell r="T19">
            <v>114478.43</v>
          </cell>
          <cell r="U19">
            <v>0</v>
          </cell>
          <cell r="V19">
            <v>658611.39</v>
          </cell>
          <cell r="W19">
            <v>551126.81000000006</v>
          </cell>
          <cell r="X19">
            <v>75396.09</v>
          </cell>
        </row>
        <row r="20">
          <cell r="Q20">
            <v>0</v>
          </cell>
          <cell r="R20">
            <v>6719289.46</v>
          </cell>
          <cell r="S20">
            <v>465578.58</v>
          </cell>
          <cell r="T20">
            <v>51274.45</v>
          </cell>
          <cell r="U20">
            <v>0</v>
          </cell>
          <cell r="V20">
            <v>6719289.46</v>
          </cell>
          <cell r="W20">
            <v>459403.9</v>
          </cell>
          <cell r="X20">
            <v>49997.39</v>
          </cell>
        </row>
        <row r="23">
          <cell r="Q23">
            <v>0</v>
          </cell>
          <cell r="R23">
            <v>39524636.619999997</v>
          </cell>
          <cell r="S23">
            <v>2929626.86</v>
          </cell>
          <cell r="T23">
            <v>3159024.46</v>
          </cell>
          <cell r="U23">
            <v>0</v>
          </cell>
          <cell r="V23">
            <v>39524636.619999997</v>
          </cell>
          <cell r="W23">
            <v>2436683.56</v>
          </cell>
          <cell r="X23">
            <v>4027337.39</v>
          </cell>
        </row>
        <row r="24">
          <cell r="Q24">
            <v>0</v>
          </cell>
          <cell r="R24">
            <v>6579553.0499999998</v>
          </cell>
          <cell r="S24">
            <v>1383560.62</v>
          </cell>
          <cell r="T24">
            <v>242151.43</v>
          </cell>
          <cell r="U24">
            <v>0</v>
          </cell>
          <cell r="V24">
            <v>6579553.0499999998</v>
          </cell>
          <cell r="W24">
            <v>1380872.17</v>
          </cell>
          <cell r="X24">
            <v>225566.39</v>
          </cell>
        </row>
        <row r="25">
          <cell r="Q25">
            <v>0</v>
          </cell>
          <cell r="R25">
            <v>186003.86</v>
          </cell>
          <cell r="S25">
            <v>8483.02</v>
          </cell>
          <cell r="T25">
            <v>54498.92</v>
          </cell>
          <cell r="U25">
            <v>0</v>
          </cell>
          <cell r="V25">
            <v>186062.26</v>
          </cell>
          <cell r="W25">
            <v>2151.6</v>
          </cell>
          <cell r="X25">
            <v>33371.660000000003</v>
          </cell>
        </row>
        <row r="26">
          <cell r="Q26">
            <v>0</v>
          </cell>
          <cell r="R26">
            <v>9512910.2899999991</v>
          </cell>
          <cell r="S26">
            <v>1329298.26</v>
          </cell>
          <cell r="T26">
            <v>1240604.97</v>
          </cell>
          <cell r="U26">
            <v>0</v>
          </cell>
          <cell r="V26">
            <v>9288786.8000000007</v>
          </cell>
          <cell r="W26">
            <v>1326109.53</v>
          </cell>
          <cell r="X26">
            <v>419623.75</v>
          </cell>
        </row>
        <row r="28">
          <cell r="Q28">
            <v>0</v>
          </cell>
          <cell r="R28">
            <v>8010063.8799999999</v>
          </cell>
          <cell r="S28">
            <v>4499967.32</v>
          </cell>
          <cell r="T28">
            <v>53313.98</v>
          </cell>
          <cell r="U28">
            <v>0</v>
          </cell>
          <cell r="V28">
            <v>7698408.0300000003</v>
          </cell>
          <cell r="W28">
            <v>3218397.62</v>
          </cell>
          <cell r="X28">
            <v>23485.74</v>
          </cell>
        </row>
        <row r="29">
          <cell r="Q29">
            <v>0</v>
          </cell>
          <cell r="R29">
            <v>1861734.92</v>
          </cell>
          <cell r="S29">
            <v>1302787.92</v>
          </cell>
          <cell r="T29">
            <v>845571.04</v>
          </cell>
          <cell r="U29">
            <v>0</v>
          </cell>
          <cell r="V29">
            <v>1692147.97</v>
          </cell>
          <cell r="W29">
            <v>723433.52</v>
          </cell>
          <cell r="X29">
            <v>614928.94999999995</v>
          </cell>
        </row>
        <row r="30">
          <cell r="Q30">
            <v>0</v>
          </cell>
          <cell r="R30">
            <v>5173894.25</v>
          </cell>
          <cell r="S30">
            <v>1801680.42</v>
          </cell>
          <cell r="T30">
            <v>3351456.45</v>
          </cell>
          <cell r="U30">
            <v>0</v>
          </cell>
          <cell r="V30">
            <v>4639069.75</v>
          </cell>
          <cell r="W30">
            <v>1107015.6200000001</v>
          </cell>
          <cell r="X30">
            <v>1308738.3500000001</v>
          </cell>
        </row>
      </sheetData>
      <sheetData sheetId="2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0"/>
    </sheetNames>
    <sheetDataSet>
      <sheetData sheetId="0">
        <row r="8">
          <cell r="F8">
            <v>1303705.5615458991</v>
          </cell>
          <cell r="G8">
            <v>384349.82965761103</v>
          </cell>
          <cell r="H8">
            <v>209.51469</v>
          </cell>
          <cell r="I8">
            <v>931.530014915518</v>
          </cell>
          <cell r="J8">
            <v>0</v>
          </cell>
          <cell r="K8">
            <v>53658.325045046789</v>
          </cell>
          <cell r="M8">
            <v>1091362.21</v>
          </cell>
          <cell r="N8">
            <v>331443.15000000002</v>
          </cell>
          <cell r="O8">
            <v>230.46</v>
          </cell>
          <cell r="P8">
            <v>931.53</v>
          </cell>
          <cell r="Q8">
            <v>0</v>
          </cell>
          <cell r="R8">
            <v>20395.84</v>
          </cell>
          <cell r="S8">
            <v>1444363.19</v>
          </cell>
        </row>
        <row r="9">
          <cell r="F9">
            <v>1133127.6519422401</v>
          </cell>
          <cell r="G9">
            <v>367399.88173412578</v>
          </cell>
          <cell r="H9">
            <v>18403.837657968001</v>
          </cell>
          <cell r="I9">
            <v>272.57570607250506</v>
          </cell>
          <cell r="J9">
            <v>0</v>
          </cell>
          <cell r="K9">
            <v>46959.929388982891</v>
          </cell>
          <cell r="M9">
            <v>1049944.53</v>
          </cell>
          <cell r="N9">
            <v>368875.77</v>
          </cell>
          <cell r="O9">
            <v>11612.48</v>
          </cell>
          <cell r="P9">
            <v>0</v>
          </cell>
          <cell r="Q9">
            <v>0</v>
          </cell>
          <cell r="R9">
            <v>49415.82</v>
          </cell>
          <cell r="S9">
            <v>1479848.6</v>
          </cell>
        </row>
        <row r="10">
          <cell r="F10">
            <v>1467857.2982137001</v>
          </cell>
          <cell r="G10">
            <v>112565.98744542967</v>
          </cell>
          <cell r="H10">
            <v>13256.357373919998</v>
          </cell>
          <cell r="I10">
            <v>321.82599029070923</v>
          </cell>
          <cell r="J10">
            <v>0</v>
          </cell>
          <cell r="K10">
            <v>12242.865256896001</v>
          </cell>
          <cell r="M10">
            <v>1548775.32</v>
          </cell>
          <cell r="N10">
            <v>109481.7</v>
          </cell>
          <cell r="O10">
            <v>11686.78</v>
          </cell>
          <cell r="P10">
            <v>0</v>
          </cell>
          <cell r="Q10">
            <v>0</v>
          </cell>
          <cell r="R10">
            <v>12144.8</v>
          </cell>
          <cell r="S10">
            <v>1682088.6</v>
          </cell>
        </row>
        <row r="11">
          <cell r="F11">
            <v>818969.46278417762</v>
          </cell>
          <cell r="G11">
            <v>248937.65827950003</v>
          </cell>
          <cell r="H11">
            <v>0</v>
          </cell>
          <cell r="I11">
            <v>2397.479120755218</v>
          </cell>
          <cell r="J11">
            <v>0</v>
          </cell>
          <cell r="K11">
            <v>274841.74866138934</v>
          </cell>
          <cell r="M11">
            <v>787086.99</v>
          </cell>
          <cell r="N11">
            <v>108670.15</v>
          </cell>
          <cell r="O11">
            <v>0</v>
          </cell>
          <cell r="P11">
            <v>1049.3699999999999</v>
          </cell>
          <cell r="Q11">
            <v>0</v>
          </cell>
          <cell r="R11">
            <v>267592.12</v>
          </cell>
          <cell r="S11">
            <v>1164398.6299999999</v>
          </cell>
        </row>
        <row r="12">
          <cell r="F12">
            <v>7742527.0941270478</v>
          </cell>
          <cell r="G12">
            <v>1182180.4594170647</v>
          </cell>
          <cell r="H12">
            <v>1643.947075584</v>
          </cell>
          <cell r="I12">
            <v>73.908384000000012</v>
          </cell>
          <cell r="J12">
            <v>0</v>
          </cell>
          <cell r="K12">
            <v>730375.28297687869</v>
          </cell>
          <cell r="M12">
            <v>7609406.6600000001</v>
          </cell>
          <cell r="N12">
            <v>1232881.5900000001</v>
          </cell>
          <cell r="O12">
            <v>1598.03</v>
          </cell>
          <cell r="P12">
            <v>0</v>
          </cell>
          <cell r="Q12">
            <v>0</v>
          </cell>
          <cell r="R12">
            <v>742923.01</v>
          </cell>
          <cell r="S12">
            <v>9586809.2899999991</v>
          </cell>
        </row>
        <row r="13">
          <cell r="F13">
            <v>665035.92000419996</v>
          </cell>
          <cell r="G13">
            <v>0</v>
          </cell>
          <cell r="H13">
            <v>4445.28</v>
          </cell>
          <cell r="I13">
            <v>0</v>
          </cell>
          <cell r="J13">
            <v>0</v>
          </cell>
          <cell r="K13">
            <v>262496.79904731998</v>
          </cell>
          <cell r="M13">
            <v>659123.54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260786.29</v>
          </cell>
          <cell r="S13">
            <v>919909.83000000007</v>
          </cell>
        </row>
        <row r="14">
          <cell r="F14">
            <v>35855734.419999994</v>
          </cell>
          <cell r="G14">
            <v>3881349.8966332851</v>
          </cell>
          <cell r="H14">
            <v>10522.608924612001</v>
          </cell>
          <cell r="I14">
            <v>4233.5534384000002</v>
          </cell>
          <cell r="J14">
            <v>1568939.092023029</v>
          </cell>
          <cell r="K14">
            <v>302346.55314301973</v>
          </cell>
          <cell r="M14">
            <v>35673550.189999998</v>
          </cell>
          <cell r="N14">
            <v>3747224.42</v>
          </cell>
          <cell r="O14">
            <v>9363.2899999999991</v>
          </cell>
          <cell r="P14">
            <v>0</v>
          </cell>
          <cell r="Q14">
            <v>1626498.69</v>
          </cell>
          <cell r="R14">
            <v>277210.3</v>
          </cell>
          <cell r="S14">
            <v>41333846.889999993</v>
          </cell>
        </row>
        <row r="15">
          <cell r="F15">
            <v>127390.08580489599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M15">
            <v>125169.59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125169.59</v>
          </cell>
        </row>
        <row r="16">
          <cell r="F16">
            <v>2489696.0306009003</v>
          </cell>
          <cell r="G16">
            <v>16838.662522550003</v>
          </cell>
          <cell r="H16">
            <v>2709.870856</v>
          </cell>
          <cell r="I16">
            <v>3403.5610088579242</v>
          </cell>
          <cell r="J16">
            <v>0</v>
          </cell>
          <cell r="K16">
            <v>37534.430661347171</v>
          </cell>
          <cell r="M16">
            <v>2482684.6</v>
          </cell>
          <cell r="N16">
            <v>13851.9</v>
          </cell>
          <cell r="O16">
            <v>2709.87</v>
          </cell>
          <cell r="P16">
            <v>2479.58</v>
          </cell>
          <cell r="Q16">
            <v>0</v>
          </cell>
          <cell r="R16">
            <v>25993.66</v>
          </cell>
          <cell r="S16">
            <v>2527719.6100000003</v>
          </cell>
        </row>
        <row r="17">
          <cell r="F17">
            <v>1151644.7840887499</v>
          </cell>
          <cell r="G17">
            <v>446566.89754110004</v>
          </cell>
          <cell r="H17">
            <v>0</v>
          </cell>
          <cell r="I17">
            <v>797.89829705056809</v>
          </cell>
          <cell r="J17">
            <v>807623.00952480023</v>
          </cell>
          <cell r="K17">
            <v>102579.40611657659</v>
          </cell>
          <cell r="M17">
            <v>1143851.6200000001</v>
          </cell>
          <cell r="N17">
            <v>449804.97</v>
          </cell>
          <cell r="O17">
            <v>0</v>
          </cell>
          <cell r="P17">
            <v>797.9</v>
          </cell>
          <cell r="Q17">
            <v>820711.18</v>
          </cell>
          <cell r="R17">
            <v>89262.7</v>
          </cell>
          <cell r="S17">
            <v>2504428.37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"/>
      <sheetName val="2020"/>
      <sheetName val="2019"/>
      <sheetName val="2018"/>
      <sheetName val="2017"/>
      <sheetName val="2016"/>
      <sheetName val="2015"/>
      <sheetName val="2014"/>
      <sheetName val="2013"/>
      <sheetName val="2012"/>
      <sheetName val="2011"/>
      <sheetName val="2010"/>
      <sheetName val="2009"/>
      <sheetName val="2008"/>
      <sheetName val="Total"/>
    </sheetNames>
    <sheetDataSet>
      <sheetData sheetId="0"/>
      <sheetData sheetId="1">
        <row r="13">
          <cell r="Q13">
            <v>33949757.390000001</v>
          </cell>
        </row>
        <row r="14">
          <cell r="Q14">
            <v>124927.49</v>
          </cell>
        </row>
        <row r="15">
          <cell r="R15">
            <v>12144134.92</v>
          </cell>
        </row>
        <row r="16">
          <cell r="R16">
            <v>20727550.52</v>
          </cell>
        </row>
        <row r="17">
          <cell r="R17">
            <v>11061655.99</v>
          </cell>
        </row>
        <row r="18">
          <cell r="R18">
            <v>9413680.5099999905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"/>
    </sheetNames>
    <sheetDataSet>
      <sheetData sheetId="0">
        <row r="8">
          <cell r="F8">
            <v>1224310.11806656</v>
          </cell>
          <cell r="G8">
            <v>381882.75571942597</v>
          </cell>
          <cell r="H8">
            <v>216.11165399999999</v>
          </cell>
          <cell r="I8">
            <v>961.77407726592003</v>
          </cell>
          <cell r="J8">
            <v>0</v>
          </cell>
          <cell r="K8">
            <v>57391.184907876501</v>
          </cell>
          <cell r="M8">
            <v>900772.98</v>
          </cell>
          <cell r="N8">
            <v>329247.7</v>
          </cell>
          <cell r="O8">
            <v>216.11</v>
          </cell>
          <cell r="P8">
            <v>959.65</v>
          </cell>
          <cell r="Q8">
            <v>0</v>
          </cell>
          <cell r="R8">
            <v>49258.240000000005</v>
          </cell>
        </row>
        <row r="9">
          <cell r="F9">
            <v>1136016.7049767501</v>
          </cell>
          <cell r="G9">
            <v>376348.15695136401</v>
          </cell>
          <cell r="H9">
            <v>7394.7509586719998</v>
          </cell>
          <cell r="I9">
            <v>6.87</v>
          </cell>
          <cell r="J9">
            <v>0</v>
          </cell>
          <cell r="K9">
            <v>56223.381270892001</v>
          </cell>
          <cell r="M9">
            <v>1136234.19</v>
          </cell>
          <cell r="N9">
            <v>394227.76</v>
          </cell>
          <cell r="O9">
            <v>1851.03</v>
          </cell>
          <cell r="P9">
            <v>7.55</v>
          </cell>
          <cell r="Q9">
            <v>0</v>
          </cell>
          <cell r="R9">
            <v>56366.649999999994</v>
          </cell>
        </row>
        <row r="10">
          <cell r="F10">
            <v>1541750.5659271199</v>
          </cell>
          <cell r="G10">
            <v>114469.04599378</v>
          </cell>
          <cell r="H10">
            <v>13350.992576479999</v>
          </cell>
          <cell r="I10">
            <v>332.18975999999998</v>
          </cell>
          <cell r="J10">
            <v>0</v>
          </cell>
          <cell r="K10">
            <v>13657.447764025301</v>
          </cell>
          <cell r="M10">
            <v>1519795.53</v>
          </cell>
          <cell r="N10">
            <v>109663.34</v>
          </cell>
          <cell r="O10">
            <v>12053.12</v>
          </cell>
          <cell r="P10">
            <v>161.51</v>
          </cell>
          <cell r="Q10">
            <v>0</v>
          </cell>
          <cell r="R10">
            <v>14337.26</v>
          </cell>
        </row>
        <row r="11">
          <cell r="F11">
            <v>776932.37202367396</v>
          </cell>
          <cell r="G11">
            <v>267509.72201010003</v>
          </cell>
          <cell r="H11">
            <v>0</v>
          </cell>
          <cell r="I11">
            <v>2515.7489703399401</v>
          </cell>
          <cell r="J11">
            <v>0</v>
          </cell>
          <cell r="K11">
            <v>253648.46383287999</v>
          </cell>
          <cell r="M11">
            <v>814776.82000000007</v>
          </cell>
          <cell r="N11">
            <v>218794.42</v>
          </cell>
          <cell r="O11">
            <v>0</v>
          </cell>
          <cell r="P11">
            <v>2432.9399999999996</v>
          </cell>
          <cell r="Q11">
            <v>0</v>
          </cell>
          <cell r="R11">
            <v>245811.91</v>
          </cell>
        </row>
        <row r="12">
          <cell r="F12">
            <v>8684589.8147660401</v>
          </cell>
          <cell r="G12">
            <v>1254602.7859722399</v>
          </cell>
          <cell r="H12">
            <v>1695.5457674239999</v>
          </cell>
          <cell r="I12">
            <v>0</v>
          </cell>
          <cell r="J12">
            <v>0</v>
          </cell>
          <cell r="K12">
            <v>647080.39605978003</v>
          </cell>
          <cell r="M12">
            <v>8067926.5300000003</v>
          </cell>
          <cell r="N12">
            <v>1284573.71</v>
          </cell>
          <cell r="O12">
            <v>1614.68</v>
          </cell>
          <cell r="P12">
            <v>0</v>
          </cell>
          <cell r="Q12">
            <v>0</v>
          </cell>
          <cell r="R12">
            <v>718473.22</v>
          </cell>
        </row>
        <row r="13">
          <cell r="F13">
            <v>642222.32237208297</v>
          </cell>
          <cell r="G13">
            <v>0</v>
          </cell>
          <cell r="H13">
            <v>4585.2479999999996</v>
          </cell>
          <cell r="I13">
            <v>0</v>
          </cell>
          <cell r="J13">
            <v>0</v>
          </cell>
          <cell r="K13">
            <v>270763.72279351199</v>
          </cell>
          <cell r="M13">
            <v>643442.28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260037.26</v>
          </cell>
        </row>
        <row r="14">
          <cell r="F14">
            <v>37121000.129623003</v>
          </cell>
          <cell r="G14">
            <v>3344814.3333057798</v>
          </cell>
          <cell r="H14">
            <v>9721.2613900319993</v>
          </cell>
          <cell r="I14">
            <v>790.14031999999997</v>
          </cell>
          <cell r="J14">
            <v>1618185.0295778101</v>
          </cell>
          <cell r="K14">
            <v>315786.12703232397</v>
          </cell>
          <cell r="M14">
            <v>34032472.480000004</v>
          </cell>
          <cell r="N14">
            <v>3490151.03</v>
          </cell>
          <cell r="O14">
            <v>9728.06</v>
          </cell>
          <cell r="P14">
            <v>0</v>
          </cell>
          <cell r="Q14">
            <v>1618087.96</v>
          </cell>
          <cell r="R14">
            <v>339798.31</v>
          </cell>
        </row>
        <row r="15">
          <cell r="F15">
            <v>106718.528327586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M15">
            <v>100954.14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</row>
        <row r="16">
          <cell r="F16">
            <v>2552080.0998629699</v>
          </cell>
          <cell r="G16">
            <v>17367.195291799999</v>
          </cell>
          <cell r="H16">
            <v>2794.9284160000002</v>
          </cell>
          <cell r="I16">
            <v>3402.9710878400001</v>
          </cell>
          <cell r="J16">
            <v>0</v>
          </cell>
          <cell r="K16">
            <v>28895.054165593599</v>
          </cell>
          <cell r="M16">
            <v>2399361.91</v>
          </cell>
          <cell r="N16">
            <v>16989.23</v>
          </cell>
          <cell r="O16">
            <v>2794.93</v>
          </cell>
          <cell r="P16">
            <v>2739.88</v>
          </cell>
          <cell r="Q16">
            <v>0</v>
          </cell>
          <cell r="R16">
            <v>34435.51</v>
          </cell>
        </row>
        <row r="17">
          <cell r="F17">
            <v>1152543.9949916799</v>
          </cell>
          <cell r="G17">
            <v>458408.060067193</v>
          </cell>
          <cell r="H17">
            <v>0</v>
          </cell>
          <cell r="I17">
            <v>823.07324400000005</v>
          </cell>
          <cell r="J17">
            <v>833052.53868768003</v>
          </cell>
          <cell r="K17">
            <v>82059.126329194507</v>
          </cell>
          <cell r="M17">
            <v>1118190.3</v>
          </cell>
          <cell r="N17">
            <v>458045.33</v>
          </cell>
          <cell r="O17">
            <v>0</v>
          </cell>
          <cell r="P17">
            <v>0</v>
          </cell>
          <cell r="Q17">
            <v>936487.98</v>
          </cell>
          <cell r="R17">
            <v>73851.86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branças"/>
      <sheetName val="para conjuntura"/>
      <sheetName val="para conjuntura1"/>
    </sheetNames>
    <sheetDataSet>
      <sheetData sheetId="0">
        <row r="7">
          <cell r="AG7">
            <v>2735576.09</v>
          </cell>
          <cell r="AH7">
            <v>2390433.04</v>
          </cell>
          <cell r="AI7">
            <v>7165907.4699999997</v>
          </cell>
          <cell r="AJ7">
            <v>6423654.8700000001</v>
          </cell>
          <cell r="AK7">
            <v>7899067.4500000002</v>
          </cell>
          <cell r="AL7">
            <v>7564925.5199999996</v>
          </cell>
          <cell r="AM7">
            <v>8675732.3900000006</v>
          </cell>
          <cell r="AN7">
            <v>8343467.96</v>
          </cell>
          <cell r="AO7">
            <v>7274943.2599999998</v>
          </cell>
          <cell r="AP7">
            <v>4589200</v>
          </cell>
          <cell r="AQ7">
            <v>7656889.21</v>
          </cell>
          <cell r="AR7">
            <v>7706675</v>
          </cell>
          <cell r="BF7">
            <v>6258281.2000000002</v>
          </cell>
          <cell r="BT7">
            <v>7529384.5</v>
          </cell>
          <cell r="CH7">
            <v>8024694.6799999997</v>
          </cell>
          <cell r="CI7">
            <v>8575594.6499999985</v>
          </cell>
        </row>
        <row r="8">
          <cell r="AK8">
            <v>8907503.9100000001</v>
          </cell>
          <cell r="AL8">
            <v>8609595.5299999993</v>
          </cell>
          <cell r="AM8">
            <v>10062456.890000001</v>
          </cell>
          <cell r="AN8">
            <v>10807616.880000001</v>
          </cell>
          <cell r="AO8">
            <v>10187697</v>
          </cell>
          <cell r="AP8">
            <v>9460862.1500000004</v>
          </cell>
          <cell r="AQ8">
            <v>11154008.73</v>
          </cell>
          <cell r="AR8">
            <v>11118176</v>
          </cell>
          <cell r="BF8">
            <v>6517831.7999999998</v>
          </cell>
          <cell r="BT8">
            <v>7991124.7199999997</v>
          </cell>
          <cell r="CH8">
            <v>9122675.1199999992</v>
          </cell>
          <cell r="CI8">
            <v>9072410.879999999</v>
          </cell>
        </row>
        <row r="13">
          <cell r="BF13">
            <v>187866.43</v>
          </cell>
          <cell r="BT13">
            <v>680363.18</v>
          </cell>
          <cell r="CH13">
            <v>2835016.84</v>
          </cell>
          <cell r="CI13">
            <v>8028338.9299999997</v>
          </cell>
        </row>
        <row r="18">
          <cell r="CH18">
            <v>122252.39</v>
          </cell>
          <cell r="CI18">
            <v>175814.38</v>
          </cell>
        </row>
        <row r="20">
          <cell r="CH20">
            <v>447657.21</v>
          </cell>
        </row>
      </sheetData>
      <sheetData sheetId="1"/>
      <sheetData sheetId="2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adores"/>
      <sheetName val="Planilha de boletos cobrados em"/>
    </sheetNames>
    <sheetDataSet>
      <sheetData sheetId="0">
        <row r="6">
          <cell r="G6">
            <v>1334827.8899999999</v>
          </cell>
        </row>
        <row r="17">
          <cell r="G17">
            <v>6227038.5</v>
          </cell>
        </row>
      </sheetData>
      <sheetData sheetId="1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lanilha1"/>
    </sheetNames>
    <sheetDataSet>
      <sheetData sheetId="0">
        <row r="15">
          <cell r="N15">
            <v>6237785.5099999998</v>
          </cell>
        </row>
        <row r="17">
          <cell r="N17">
            <v>154571.47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vh_unidad_gestão_estadual_RH_a"/>
      <sheetName val="ins_conselho_estadual_RH_a"/>
      <sheetName val="ins_comite_bacia_estadual_a"/>
      <sheetName val="pln_plano_estadual_RH_a"/>
      <sheetName val="pln_plano_bacia_estadual_a"/>
      <sheetName val="ins_agencia_bacia_estadual_a"/>
      <sheetName val="pln_enquadram_bacia_estadual_a"/>
      <sheetName val="ins_ato_normativo_interesse_nac"/>
      <sheetName val="reg_cobranca_bacia_estadual_a"/>
      <sheetName val="qld_monitoram_QA_estadual_p_1"/>
      <sheetName val="qld_monitoram_QA_estadual_p_2"/>
      <sheetName val="lista_tipo_corpo_hídrico"/>
      <sheetName val="lista_situação_plano"/>
      <sheetName val="lista_situação_cobrança"/>
      <sheetName val="lista_status_qualidade"/>
      <sheetName val="lista_setores_usuários"/>
      <sheetName val="lista_booleano_estendido"/>
      <sheetName val="lista_prefixo_atributo"/>
      <sheetName val="lista_prefixo_geometria"/>
      <sheetName val="lista_trigrama_sistema"/>
      <sheetName val="lista_trigrama_tabela"/>
      <sheetName val="lista_dominio_corpo_hidrico"/>
      <sheetName val="lista_tipo_dado"/>
      <sheetName val="lista_requisito"/>
      <sheetName val="lista_nome_ufe"/>
      <sheetName val="lista_sigla_ufe"/>
      <sheetName val="lista_nome_rhi"/>
      <sheetName val="lista_nome_ugh"/>
      <sheetName val="lista_an_ref"/>
      <sheetName val="grau_min_seg-para-grau_decim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8">
          <cell r="Q18">
            <v>0</v>
          </cell>
          <cell r="R18">
            <v>1948537.52</v>
          </cell>
          <cell r="S18">
            <v>313645.02</v>
          </cell>
          <cell r="T18">
            <v>134299.04999999999</v>
          </cell>
          <cell r="U18">
            <v>0</v>
          </cell>
          <cell r="V18">
            <v>1227752.93</v>
          </cell>
          <cell r="W18">
            <v>285017.96000000002</v>
          </cell>
          <cell r="X18">
            <v>88736.27</v>
          </cell>
        </row>
        <row r="27">
          <cell r="Q27">
            <v>0</v>
          </cell>
          <cell r="R27">
            <v>1672023.03</v>
          </cell>
          <cell r="S27">
            <v>122032.64</v>
          </cell>
          <cell r="T27">
            <v>303114.08</v>
          </cell>
          <cell r="U27">
            <v>0</v>
          </cell>
          <cell r="V27">
            <v>1672023.03</v>
          </cell>
          <cell r="W27">
            <v>81102.47</v>
          </cell>
          <cell r="X27">
            <v>173352.4</v>
          </cell>
        </row>
        <row r="31">
          <cell r="Q31">
            <v>0</v>
          </cell>
          <cell r="R31">
            <v>6115593.2599999998</v>
          </cell>
          <cell r="S31">
            <v>987981.38</v>
          </cell>
          <cell r="T31">
            <v>369050.65</v>
          </cell>
          <cell r="U31">
            <v>0</v>
          </cell>
          <cell r="V31">
            <v>5142692.9800000004</v>
          </cell>
          <cell r="W31">
            <v>692547.43</v>
          </cell>
          <cell r="X31">
            <v>230944.18</v>
          </cell>
        </row>
        <row r="32">
          <cell r="Q32">
            <v>0</v>
          </cell>
          <cell r="R32">
            <v>4486831.45</v>
          </cell>
          <cell r="S32">
            <v>1870055.35</v>
          </cell>
          <cell r="T32">
            <v>882720.58</v>
          </cell>
          <cell r="U32">
            <v>0</v>
          </cell>
          <cell r="V32">
            <v>3436215.93</v>
          </cell>
          <cell r="W32">
            <v>1613125.35</v>
          </cell>
          <cell r="X32">
            <v>707571.55</v>
          </cell>
        </row>
        <row r="33">
          <cell r="Q33">
            <v>0</v>
          </cell>
          <cell r="R33">
            <v>1876541.71</v>
          </cell>
          <cell r="S33">
            <v>1085818.2</v>
          </cell>
          <cell r="T33">
            <v>125247.56</v>
          </cell>
          <cell r="U33">
            <v>0</v>
          </cell>
          <cell r="V33">
            <v>1826470.45</v>
          </cell>
          <cell r="W33">
            <v>1070995.06</v>
          </cell>
          <cell r="X33">
            <v>71793</v>
          </cell>
        </row>
        <row r="35">
          <cell r="Q35">
            <v>0</v>
          </cell>
          <cell r="R35">
            <v>1021635.98</v>
          </cell>
          <cell r="S35">
            <v>607950.79</v>
          </cell>
          <cell r="T35">
            <v>209527.7</v>
          </cell>
          <cell r="U35">
            <v>0</v>
          </cell>
          <cell r="V35">
            <v>1017022.18</v>
          </cell>
          <cell r="W35">
            <v>596780.67000000004</v>
          </cell>
          <cell r="X35">
            <v>105641.82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branças"/>
      <sheetName val="para conjuntura"/>
      <sheetName val="para conjuntura1"/>
      <sheetName val="Interestadual"/>
      <sheetName val="CE"/>
      <sheetName val="RJ"/>
      <sheetName val="SP"/>
      <sheetName val="MG"/>
      <sheetName val="PR"/>
      <sheetName val="PB"/>
    </sheetNames>
    <sheetDataSet>
      <sheetData sheetId="0"/>
      <sheetData sheetId="1"/>
      <sheetData sheetId="2"/>
      <sheetData sheetId="3"/>
      <sheetData sheetId="4"/>
      <sheetData sheetId="5"/>
      <sheetData sheetId="6">
        <row r="18">
          <cell r="DR18">
            <v>170912.75999999998</v>
          </cell>
        </row>
      </sheetData>
      <sheetData sheetId="7"/>
      <sheetData sheetId="8"/>
      <sheetData sheetId="9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cobranças"/>
      <sheetName val="para conjuntura"/>
      <sheetName val="para conjuntura1"/>
      <sheetName val="Interestadual"/>
      <sheetName val="CE"/>
      <sheetName val="RJ"/>
      <sheetName val="SP"/>
      <sheetName val="MG"/>
      <sheetName val="PR"/>
      <sheetName val="PB"/>
    </sheetNames>
    <sheetDataSet>
      <sheetData sheetId="0"/>
      <sheetData sheetId="1"/>
      <sheetData sheetId="2"/>
      <sheetData sheetId="3"/>
      <sheetData sheetId="4"/>
      <sheetData sheetId="5"/>
      <sheetData sheetId="6">
        <row r="9">
          <cell r="DS9">
            <v>5803740.6100000003</v>
          </cell>
        </row>
        <row r="25">
          <cell r="DU25">
            <v>1851880.46</v>
          </cell>
          <cell r="DV25">
            <v>1832533.7300000002</v>
          </cell>
        </row>
      </sheetData>
      <sheetData sheetId="7"/>
      <sheetData sheetId="8"/>
      <sheetData sheetId="9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H MG 2021"/>
    </sheetNames>
    <sheetDataSet>
      <sheetData sheetId="0">
        <row r="5">
          <cell r="CI5">
            <v>113296.28</v>
          </cell>
          <cell r="CJ5">
            <v>23766.239999999994</v>
          </cell>
          <cell r="CK5">
            <v>0</v>
          </cell>
          <cell r="CL5">
            <v>0</v>
          </cell>
          <cell r="CM5">
            <v>0</v>
          </cell>
          <cell r="CN5">
            <v>2275.88</v>
          </cell>
          <cell r="CP5">
            <v>109142.35999999999</v>
          </cell>
          <cell r="CQ5">
            <v>24302.81</v>
          </cell>
          <cell r="CR5">
            <v>0</v>
          </cell>
          <cell r="CS5">
            <v>0</v>
          </cell>
          <cell r="CT5">
            <v>0</v>
          </cell>
          <cell r="CU5">
            <v>1195.23</v>
          </cell>
          <cell r="CW5">
            <v>99134.25999999998</v>
          </cell>
          <cell r="CX5">
            <v>20828.510000000002</v>
          </cell>
          <cell r="CY5">
            <v>0</v>
          </cell>
          <cell r="CZ5">
            <v>0</v>
          </cell>
          <cell r="DA5">
            <v>0</v>
          </cell>
          <cell r="DB5">
            <v>879.34999999999991</v>
          </cell>
          <cell r="DC5">
            <v>120842.12</v>
          </cell>
          <cell r="DD5">
            <v>99547.48</v>
          </cell>
          <cell r="DE5">
            <v>15067.95</v>
          </cell>
          <cell r="DF5">
            <v>0</v>
          </cell>
          <cell r="DG5">
            <v>0</v>
          </cell>
          <cell r="DH5">
            <v>0</v>
          </cell>
          <cell r="DI5">
            <v>225.45</v>
          </cell>
          <cell r="DK5">
            <v>42486.12</v>
          </cell>
          <cell r="DL5">
            <v>19976.7</v>
          </cell>
          <cell r="DM5">
            <v>0</v>
          </cell>
          <cell r="DN5">
            <v>2676.43</v>
          </cell>
          <cell r="DO5">
            <v>0</v>
          </cell>
          <cell r="DP5">
            <v>5074.6899999999996</v>
          </cell>
          <cell r="DR5">
            <v>42615.93</v>
          </cell>
          <cell r="DS5">
            <v>11089.489999999998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</row>
        <row r="6">
          <cell r="CI6">
            <v>9271504.2700000033</v>
          </cell>
          <cell r="CJ6">
            <v>781793.64000000036</v>
          </cell>
          <cell r="CK6">
            <v>925648.82999999984</v>
          </cell>
          <cell r="CL6">
            <v>151665.55999999988</v>
          </cell>
          <cell r="CM6">
            <v>0</v>
          </cell>
          <cell r="CN6">
            <v>312413.04999999941</v>
          </cell>
          <cell r="CP6">
            <v>6009105.6605867762</v>
          </cell>
          <cell r="CQ6">
            <v>784737.52045865136</v>
          </cell>
          <cell r="CR6">
            <v>1263908.2299999997</v>
          </cell>
          <cell r="CS6">
            <v>126797.94999999992</v>
          </cell>
          <cell r="CT6">
            <v>0</v>
          </cell>
          <cell r="CU6">
            <v>307982.99023460894</v>
          </cell>
          <cell r="CW6">
            <v>6600004.0199999986</v>
          </cell>
          <cell r="CX6">
            <v>691124.13000000024</v>
          </cell>
          <cell r="CY6">
            <v>1380266.5300000003</v>
          </cell>
          <cell r="CZ6">
            <v>98050.589999999982</v>
          </cell>
          <cell r="DA6">
            <v>0</v>
          </cell>
          <cell r="DB6">
            <v>279064.32999999978</v>
          </cell>
          <cell r="DC6">
            <v>9048509.5999999996</v>
          </cell>
          <cell r="DD6">
            <v>5165997.4175620647</v>
          </cell>
          <cell r="DE6">
            <v>588966.26</v>
          </cell>
          <cell r="DF6">
            <v>1174829.6800000004</v>
          </cell>
          <cell r="DG6">
            <v>88212.780000000028</v>
          </cell>
          <cell r="DH6">
            <v>0</v>
          </cell>
          <cell r="DI6">
            <v>233768.15199999994</v>
          </cell>
          <cell r="DK6">
            <v>7522889.5999999959</v>
          </cell>
          <cell r="DL6">
            <v>366786.23000000016</v>
          </cell>
          <cell r="DM6">
            <v>1188386.43</v>
          </cell>
          <cell r="DN6">
            <v>73690.5</v>
          </cell>
          <cell r="DO6">
            <v>0</v>
          </cell>
          <cell r="DP6">
            <v>1091552.06</v>
          </cell>
          <cell r="DR6">
            <v>6687792.2815895071</v>
          </cell>
          <cell r="DS6">
            <v>356410.0400000001</v>
          </cell>
          <cell r="DT6">
            <v>903492.19000000006</v>
          </cell>
          <cell r="DU6">
            <v>27547.750000000007</v>
          </cell>
          <cell r="DV6">
            <v>0</v>
          </cell>
          <cell r="DW6">
            <v>241216.66999999993</v>
          </cell>
        </row>
        <row r="7">
          <cell r="CI7">
            <v>2832643.6599999992</v>
          </cell>
          <cell r="CJ7">
            <v>989333.37000000034</v>
          </cell>
          <cell r="CK7">
            <v>362248.75999999989</v>
          </cell>
          <cell r="CL7">
            <v>1378524.2099999981</v>
          </cell>
          <cell r="CM7">
            <v>0</v>
          </cell>
          <cell r="CN7">
            <v>66869.55000000009</v>
          </cell>
          <cell r="CP7">
            <v>2766946.4067963744</v>
          </cell>
          <cell r="CQ7">
            <v>836561.95000000065</v>
          </cell>
          <cell r="CR7">
            <v>358642.05</v>
          </cell>
          <cell r="CS7">
            <v>1176250.7639850457</v>
          </cell>
          <cell r="CT7">
            <v>0</v>
          </cell>
          <cell r="CU7">
            <v>82683.870000000185</v>
          </cell>
          <cell r="CW7">
            <v>2457833.15</v>
          </cell>
          <cell r="CX7">
            <v>929323.96999999986</v>
          </cell>
          <cell r="CY7">
            <v>357804.57999999996</v>
          </cell>
          <cell r="CZ7">
            <v>1123650.6799999995</v>
          </cell>
          <cell r="DA7">
            <v>0</v>
          </cell>
          <cell r="DB7">
            <v>1222965.0400000026</v>
          </cell>
          <cell r="DC7">
            <v>6091577.4200000018</v>
          </cell>
          <cell r="DD7">
            <v>1982246.0249521858</v>
          </cell>
          <cell r="DE7">
            <v>865188.29</v>
          </cell>
          <cell r="DF7">
            <v>357268.17999999993</v>
          </cell>
          <cell r="DG7">
            <v>941443.44085673499</v>
          </cell>
          <cell r="DH7">
            <v>0</v>
          </cell>
          <cell r="DI7">
            <v>40560.469999999994</v>
          </cell>
          <cell r="DK7">
            <v>1227942.7299999995</v>
          </cell>
          <cell r="DL7">
            <v>511081.47</v>
          </cell>
          <cell r="DM7">
            <v>129721.85999999999</v>
          </cell>
          <cell r="DN7">
            <v>1684605.0599999952</v>
          </cell>
          <cell r="DO7">
            <v>0</v>
          </cell>
          <cell r="DP7">
            <v>3335237.4700000067</v>
          </cell>
          <cell r="DR7">
            <v>1100333.78</v>
          </cell>
          <cell r="DS7">
            <v>430413.77000000008</v>
          </cell>
          <cell r="DT7">
            <v>111739.98000000001</v>
          </cell>
          <cell r="DU7">
            <v>430630.89</v>
          </cell>
          <cell r="DV7">
            <v>0</v>
          </cell>
          <cell r="DW7">
            <v>628283.7505105522</v>
          </cell>
        </row>
        <row r="8">
          <cell r="CI8">
            <v>2866875.5400000014</v>
          </cell>
          <cell r="CJ8">
            <v>345001.03999999992</v>
          </cell>
          <cell r="CK8">
            <v>975634.36</v>
          </cell>
          <cell r="CL8">
            <v>4117.7600000000011</v>
          </cell>
          <cell r="CM8">
            <v>0</v>
          </cell>
          <cell r="CN8">
            <v>10011.599999999997</v>
          </cell>
          <cell r="CP8">
            <v>2007905.4719427084</v>
          </cell>
          <cell r="CQ8">
            <v>158470.40386502596</v>
          </cell>
          <cell r="CR8">
            <v>964595.77</v>
          </cell>
          <cell r="CS8">
            <v>1355.6100000000001</v>
          </cell>
          <cell r="CT8">
            <v>0</v>
          </cell>
          <cell r="CU8">
            <v>10043.869999999995</v>
          </cell>
          <cell r="CW8">
            <v>2506711.8000000012</v>
          </cell>
          <cell r="CX8">
            <v>150088.40999999995</v>
          </cell>
          <cell r="CY8">
            <v>925725.62000000011</v>
          </cell>
          <cell r="CZ8">
            <v>2949.8200000000006</v>
          </cell>
          <cell r="DA8">
            <v>0</v>
          </cell>
          <cell r="DB8">
            <v>8286.1900000000023</v>
          </cell>
          <cell r="DC8">
            <v>3593761.8400000012</v>
          </cell>
          <cell r="DD8">
            <v>1687146.2788641362</v>
          </cell>
          <cell r="DE8">
            <v>159271.65899105617</v>
          </cell>
          <cell r="DF8">
            <v>1037561.0900000001</v>
          </cell>
          <cell r="DG8">
            <v>938.5</v>
          </cell>
          <cell r="DH8">
            <v>0</v>
          </cell>
          <cell r="DI8">
            <v>8363</v>
          </cell>
          <cell r="DK8">
            <v>783897.86000000022</v>
          </cell>
          <cell r="DL8">
            <v>174473.81000000006</v>
          </cell>
          <cell r="DM8">
            <v>720588.34</v>
          </cell>
          <cell r="DN8">
            <v>3076.03</v>
          </cell>
          <cell r="DO8">
            <v>0</v>
          </cell>
          <cell r="DP8">
            <v>264316.34999999986</v>
          </cell>
          <cell r="DR8">
            <v>479601.78879666544</v>
          </cell>
          <cell r="DS8">
            <v>87296.451388520785</v>
          </cell>
          <cell r="DT8">
            <v>386713.07</v>
          </cell>
          <cell r="DU8">
            <v>254.78</v>
          </cell>
          <cell r="DV8">
            <v>0</v>
          </cell>
          <cell r="DW8">
            <v>101410.55999999998</v>
          </cell>
        </row>
        <row r="9">
          <cell r="CI9">
            <v>3755965.16</v>
          </cell>
          <cell r="CJ9">
            <v>3319990.75</v>
          </cell>
          <cell r="CK9">
            <v>3746853.9000000018</v>
          </cell>
          <cell r="CL9">
            <v>258.3</v>
          </cell>
          <cell r="CM9">
            <v>0</v>
          </cell>
          <cell r="CN9">
            <v>7301.93</v>
          </cell>
          <cell r="CP9">
            <v>1943652.9539807872</v>
          </cell>
          <cell r="CQ9">
            <v>3322440.93</v>
          </cell>
          <cell r="CR9">
            <v>3745946.2600000007</v>
          </cell>
          <cell r="CS9">
            <v>140.04</v>
          </cell>
          <cell r="CT9">
            <v>0</v>
          </cell>
          <cell r="CU9">
            <v>11129.36</v>
          </cell>
          <cell r="CW9">
            <v>3849802.93</v>
          </cell>
          <cell r="CX9">
            <v>2975571.81</v>
          </cell>
          <cell r="CY9">
            <v>3838726.4499999997</v>
          </cell>
          <cell r="CZ9">
            <v>70.02</v>
          </cell>
          <cell r="DA9">
            <v>0</v>
          </cell>
          <cell r="DB9">
            <v>8358.8100000000013</v>
          </cell>
          <cell r="DC9">
            <v>10672530.02</v>
          </cell>
          <cell r="DD9">
            <v>4917910.6401463449</v>
          </cell>
          <cell r="DE9">
            <v>3039153.82</v>
          </cell>
          <cell r="DF9">
            <v>4150943.2299999995</v>
          </cell>
          <cell r="DG9">
            <v>70.02</v>
          </cell>
          <cell r="DH9">
            <v>0</v>
          </cell>
          <cell r="DI9">
            <v>4698.92</v>
          </cell>
          <cell r="DK9">
            <v>1022290.1300000005</v>
          </cell>
          <cell r="DL9">
            <v>1212590.3199999994</v>
          </cell>
          <cell r="DM9">
            <v>3167411.8500000006</v>
          </cell>
          <cell r="DN9">
            <v>0</v>
          </cell>
          <cell r="DO9">
            <v>0</v>
          </cell>
          <cell r="DP9">
            <v>115919.63999999998</v>
          </cell>
          <cell r="DR9">
            <v>1521792.6438226011</v>
          </cell>
          <cell r="DS9">
            <v>973885.29999999981</v>
          </cell>
          <cell r="DT9">
            <v>1961621.1799999995</v>
          </cell>
          <cell r="DU9">
            <v>0</v>
          </cell>
          <cell r="DV9">
            <v>0</v>
          </cell>
          <cell r="DW9">
            <v>28545.520000000008</v>
          </cell>
        </row>
        <row r="10">
          <cell r="CI10">
            <v>521216.56000000006</v>
          </cell>
          <cell r="CJ10">
            <v>327854.98</v>
          </cell>
          <cell r="CK10">
            <v>2127772.8200000003</v>
          </cell>
          <cell r="CL10">
            <v>0</v>
          </cell>
          <cell r="CM10">
            <v>0</v>
          </cell>
          <cell r="CN10">
            <v>9716.07</v>
          </cell>
          <cell r="CP10">
            <v>578976.10954559012</v>
          </cell>
          <cell r="CQ10">
            <v>326872.67000000004</v>
          </cell>
          <cell r="CR10">
            <v>2364543.3084082152</v>
          </cell>
          <cell r="CS10">
            <v>0</v>
          </cell>
          <cell r="CT10">
            <v>0</v>
          </cell>
          <cell r="CU10">
            <v>1062.1499999999999</v>
          </cell>
          <cell r="CW10">
            <v>459554.46</v>
          </cell>
          <cell r="CX10">
            <v>285850.09999999998</v>
          </cell>
          <cell r="CY10">
            <v>1736587.9100000001</v>
          </cell>
          <cell r="CZ10">
            <v>0</v>
          </cell>
          <cell r="DA10">
            <v>0</v>
          </cell>
          <cell r="DB10">
            <v>6384.5400000000009</v>
          </cell>
          <cell r="DC10">
            <v>2488377.0100000002</v>
          </cell>
          <cell r="DD10">
            <v>553869.54328911926</v>
          </cell>
          <cell r="DE10">
            <v>324224.90000000002</v>
          </cell>
          <cell r="DF10">
            <v>1743263.8415558951</v>
          </cell>
          <cell r="DG10">
            <v>0</v>
          </cell>
          <cell r="DH10">
            <v>0</v>
          </cell>
          <cell r="DI10">
            <v>416.78999999999996</v>
          </cell>
          <cell r="DK10">
            <v>618125.99</v>
          </cell>
          <cell r="DL10">
            <v>129089.11</v>
          </cell>
          <cell r="DM10">
            <v>935904.69</v>
          </cell>
          <cell r="DN10">
            <v>0</v>
          </cell>
          <cell r="DO10">
            <v>0</v>
          </cell>
          <cell r="DP10">
            <v>56045.46</v>
          </cell>
          <cell r="DR10">
            <v>528362.28578465607</v>
          </cell>
          <cell r="DS10">
            <v>2638.32</v>
          </cell>
          <cell r="DT10">
            <v>524909.54</v>
          </cell>
          <cell r="DU10">
            <v>0</v>
          </cell>
          <cell r="DV10">
            <v>0</v>
          </cell>
          <cell r="DW10">
            <v>17627.21</v>
          </cell>
        </row>
        <row r="11">
          <cell r="CI11">
            <v>1754294.4599999974</v>
          </cell>
          <cell r="CJ11">
            <v>95686.440000000017</v>
          </cell>
          <cell r="CK11">
            <v>21473.640000000007</v>
          </cell>
          <cell r="CL11">
            <v>7780.0300000000007</v>
          </cell>
          <cell r="CM11">
            <v>0</v>
          </cell>
          <cell r="CN11">
            <v>6314.8200000000006</v>
          </cell>
          <cell r="CP11">
            <v>851282.94409583078</v>
          </cell>
          <cell r="CQ11">
            <v>89560.56</v>
          </cell>
          <cell r="CR11">
            <v>10112.65</v>
          </cell>
          <cell r="CS11">
            <v>7271.8200000000015</v>
          </cell>
          <cell r="CT11">
            <v>0</v>
          </cell>
          <cell r="CU11">
            <v>7154.0400000000009</v>
          </cell>
          <cell r="CW11">
            <v>1022151.7099999995</v>
          </cell>
          <cell r="CX11">
            <v>90923.750000000015</v>
          </cell>
          <cell r="CY11">
            <v>12445.09</v>
          </cell>
          <cell r="CZ11">
            <v>24413.680000000004</v>
          </cell>
          <cell r="DA11">
            <v>0</v>
          </cell>
          <cell r="DB11">
            <v>265952.02</v>
          </cell>
          <cell r="DC11">
            <v>1415886.2499999995</v>
          </cell>
          <cell r="DD11">
            <v>916727.94531014294</v>
          </cell>
          <cell r="DE11">
            <v>80245.279999999999</v>
          </cell>
          <cell r="DF11">
            <v>4471.21</v>
          </cell>
          <cell r="DG11">
            <v>5725.2099999999991</v>
          </cell>
          <cell r="DH11">
            <v>0</v>
          </cell>
          <cell r="DI11">
            <v>4918.93</v>
          </cell>
          <cell r="DK11">
            <v>1282870.2500000007</v>
          </cell>
          <cell r="DL11">
            <v>73751.880000000019</v>
          </cell>
          <cell r="DM11">
            <v>4761.51</v>
          </cell>
          <cell r="DN11">
            <v>6950.05</v>
          </cell>
          <cell r="DO11">
            <v>0</v>
          </cell>
          <cell r="DP11">
            <v>257703.33999999997</v>
          </cell>
          <cell r="DR11">
            <v>318455.37475565821</v>
          </cell>
          <cell r="DS11">
            <v>5716.1900000000005</v>
          </cell>
          <cell r="DT11">
            <v>7177.2273738052763</v>
          </cell>
          <cell r="DU11">
            <v>1328.4499999999998</v>
          </cell>
          <cell r="DV11">
            <v>0</v>
          </cell>
          <cell r="DW11">
            <v>53740.12999999999</v>
          </cell>
        </row>
        <row r="12">
          <cell r="CI12">
            <v>980705.23000000021</v>
          </cell>
          <cell r="CJ12">
            <v>13237.240000000002</v>
          </cell>
          <cell r="CK12">
            <v>0</v>
          </cell>
          <cell r="CL12">
            <v>735.12</v>
          </cell>
          <cell r="CM12">
            <v>0</v>
          </cell>
          <cell r="CN12">
            <v>25843.920000000002</v>
          </cell>
          <cell r="CP12">
            <v>781969.76165585662</v>
          </cell>
          <cell r="CQ12">
            <v>12804.300000000003</v>
          </cell>
          <cell r="CR12">
            <v>0</v>
          </cell>
          <cell r="CS12">
            <v>555.66</v>
          </cell>
          <cell r="CT12">
            <v>0</v>
          </cell>
          <cell r="CU12">
            <v>7976.6100000000006</v>
          </cell>
          <cell r="CW12">
            <v>858463.46</v>
          </cell>
          <cell r="CX12">
            <v>11582.590000000002</v>
          </cell>
          <cell r="CY12">
            <v>0</v>
          </cell>
          <cell r="CZ12">
            <v>527.94000000000005</v>
          </cell>
          <cell r="DA12">
            <v>0</v>
          </cell>
          <cell r="DB12">
            <v>21876.190000000002</v>
          </cell>
          <cell r="DC12">
            <v>892450.17999999993</v>
          </cell>
          <cell r="DD12">
            <v>763597.21690816106</v>
          </cell>
          <cell r="DE12">
            <v>11183.9</v>
          </cell>
          <cell r="DF12">
            <v>0</v>
          </cell>
          <cell r="DG12">
            <v>501.9</v>
          </cell>
          <cell r="DH12">
            <v>0</v>
          </cell>
          <cell r="DI12">
            <v>6839.26</v>
          </cell>
          <cell r="DK12">
            <v>364242.37000000017</v>
          </cell>
          <cell r="DL12">
            <v>6225.5</v>
          </cell>
          <cell r="DM12">
            <v>0</v>
          </cell>
          <cell r="DN12">
            <v>1151.3899999999999</v>
          </cell>
          <cell r="DO12">
            <v>0</v>
          </cell>
          <cell r="DP12">
            <v>35461.159999999982</v>
          </cell>
          <cell r="DR12">
            <v>270835.96230871713</v>
          </cell>
          <cell r="DS12">
            <v>5581.2</v>
          </cell>
          <cell r="DT12">
            <v>0</v>
          </cell>
          <cell r="DU12">
            <v>160.38</v>
          </cell>
          <cell r="DV12">
            <v>0</v>
          </cell>
          <cell r="DW12">
            <v>0</v>
          </cell>
        </row>
        <row r="13">
          <cell r="CI13">
            <v>1380313.59</v>
          </cell>
          <cell r="CJ13">
            <v>17977.439999999999</v>
          </cell>
          <cell r="CK13">
            <v>8014.4799999999987</v>
          </cell>
          <cell r="CL13">
            <v>2150.9600000000005</v>
          </cell>
          <cell r="CM13">
            <v>0</v>
          </cell>
          <cell r="CN13">
            <v>3312.5199999999995</v>
          </cell>
          <cell r="CP13">
            <v>1108759.106310728</v>
          </cell>
          <cell r="CQ13">
            <v>12303.749999999998</v>
          </cell>
          <cell r="CR13">
            <v>2157.6499999999992</v>
          </cell>
          <cell r="CS13">
            <v>1301.96</v>
          </cell>
          <cell r="CT13">
            <v>0</v>
          </cell>
          <cell r="CU13">
            <v>18217.65058395336</v>
          </cell>
          <cell r="CW13">
            <v>1052530.9699999997</v>
          </cell>
          <cell r="CX13">
            <v>15544.210000000001</v>
          </cell>
          <cell r="CY13">
            <v>6878.71</v>
          </cell>
          <cell r="CZ13">
            <v>2141.64</v>
          </cell>
          <cell r="DA13">
            <v>0</v>
          </cell>
          <cell r="DB13">
            <v>2689.73</v>
          </cell>
          <cell r="DC13">
            <v>1079785.2599999995</v>
          </cell>
          <cell r="DD13">
            <v>1185925.1416682887</v>
          </cell>
          <cell r="DE13">
            <v>6000.84</v>
          </cell>
          <cell r="DF13">
            <v>586.12</v>
          </cell>
          <cell r="DG13">
            <v>1463.04</v>
          </cell>
          <cell r="DH13">
            <v>0</v>
          </cell>
          <cell r="DI13">
            <v>33401.828961429499</v>
          </cell>
          <cell r="DK13">
            <v>512456.98999999982</v>
          </cell>
          <cell r="DL13">
            <v>28205.64</v>
          </cell>
          <cell r="DM13">
            <v>2871.4700000000003</v>
          </cell>
          <cell r="DN13">
            <v>3483.38</v>
          </cell>
          <cell r="DO13">
            <v>0</v>
          </cell>
          <cell r="DP13">
            <v>150071.31999999995</v>
          </cell>
          <cell r="DR13">
            <v>129851.21636814781</v>
          </cell>
          <cell r="DS13">
            <v>20124.939999999995</v>
          </cell>
          <cell r="DT13">
            <v>578.34</v>
          </cell>
          <cell r="DU13">
            <v>292.7</v>
          </cell>
          <cell r="DV13">
            <v>0</v>
          </cell>
          <cell r="DW13">
            <v>4643.0500000000011</v>
          </cell>
        </row>
        <row r="14">
          <cell r="CI14">
            <v>1301401.8800000001</v>
          </cell>
          <cell r="CJ14">
            <v>400253.64</v>
          </cell>
          <cell r="CK14">
            <v>542.6</v>
          </cell>
          <cell r="CL14">
            <v>9348.3000000000011</v>
          </cell>
          <cell r="CM14">
            <v>0</v>
          </cell>
          <cell r="CN14">
            <v>29498.179999999997</v>
          </cell>
          <cell r="CP14">
            <v>1311112.3903956658</v>
          </cell>
          <cell r="CQ14">
            <v>81324.260000000009</v>
          </cell>
          <cell r="CR14">
            <v>379.32</v>
          </cell>
          <cell r="CS14">
            <v>3203.6800000000007</v>
          </cell>
          <cell r="CT14">
            <v>0</v>
          </cell>
          <cell r="CU14">
            <v>26365.53</v>
          </cell>
          <cell r="CW14">
            <v>1420314.74</v>
          </cell>
          <cell r="CX14">
            <v>197876.82000000004</v>
          </cell>
          <cell r="CY14">
            <v>412.84000000000003</v>
          </cell>
          <cell r="CZ14">
            <v>6343.7599999999993</v>
          </cell>
          <cell r="DA14">
            <v>0</v>
          </cell>
          <cell r="DB14">
            <v>39970.289999999986</v>
          </cell>
          <cell r="DC14">
            <v>1664918.4500000002</v>
          </cell>
          <cell r="DD14">
            <v>1038599.8869488067</v>
          </cell>
          <cell r="DE14">
            <v>481460.92999999988</v>
          </cell>
          <cell r="DF14">
            <v>343.27</v>
          </cell>
          <cell r="DG14">
            <v>1492.39</v>
          </cell>
          <cell r="DH14">
            <v>0</v>
          </cell>
          <cell r="DI14">
            <v>19956.619999999995</v>
          </cell>
          <cell r="DK14">
            <v>630531.58000000019</v>
          </cell>
          <cell r="DL14">
            <v>118739.06</v>
          </cell>
          <cell r="DM14">
            <v>141.54</v>
          </cell>
          <cell r="DN14">
            <v>5223.08</v>
          </cell>
          <cell r="DO14">
            <v>0</v>
          </cell>
          <cell r="DP14">
            <v>64485.219999999994</v>
          </cell>
          <cell r="DR14">
            <v>604802.42536018905</v>
          </cell>
          <cell r="DS14">
            <v>70681.98</v>
          </cell>
          <cell r="DT14">
            <v>141.54</v>
          </cell>
          <cell r="DU14">
            <v>3208.0600000000004</v>
          </cell>
          <cell r="DV14">
            <v>0</v>
          </cell>
          <cell r="DW14">
            <v>7292.7799999999988</v>
          </cell>
        </row>
        <row r="15">
          <cell r="CI15">
            <v>1088991.0299999989</v>
          </cell>
          <cell r="CJ15">
            <v>183883.02999999997</v>
          </cell>
          <cell r="CK15">
            <v>115239.54</v>
          </cell>
          <cell r="CL15">
            <v>22620.48000000001</v>
          </cell>
          <cell r="CM15">
            <v>0</v>
          </cell>
          <cell r="CN15">
            <v>19415.98</v>
          </cell>
          <cell r="CP15">
            <v>1057523.5306025883</v>
          </cell>
          <cell r="CQ15">
            <v>129511.01000000007</v>
          </cell>
          <cell r="CR15">
            <v>145585.60999999999</v>
          </cell>
          <cell r="CS15">
            <v>22929.040000000001</v>
          </cell>
          <cell r="CT15">
            <v>0</v>
          </cell>
          <cell r="CU15">
            <v>17399.289999999997</v>
          </cell>
          <cell r="CW15">
            <v>1013083.92</v>
          </cell>
          <cell r="CX15">
            <v>146647.66000000006</v>
          </cell>
          <cell r="CY15">
            <v>92050.55</v>
          </cell>
          <cell r="CZ15">
            <v>25936.549999999988</v>
          </cell>
          <cell r="DA15">
            <v>0</v>
          </cell>
          <cell r="DB15">
            <v>15999.120000000004</v>
          </cell>
          <cell r="DC15">
            <v>1293717.8000000003</v>
          </cell>
          <cell r="DD15">
            <v>974454.53224162885</v>
          </cell>
          <cell r="DE15">
            <v>119054.9304117844</v>
          </cell>
          <cell r="DF15">
            <v>58417.7</v>
          </cell>
          <cell r="DG15">
            <v>20006.7</v>
          </cell>
          <cell r="DH15">
            <v>0</v>
          </cell>
          <cell r="DI15">
            <v>11037.820000000002</v>
          </cell>
          <cell r="DK15">
            <v>406228.7199999998</v>
          </cell>
          <cell r="DL15">
            <v>74312.489999999932</v>
          </cell>
          <cell r="DM15">
            <v>32873.869999999995</v>
          </cell>
          <cell r="DN15">
            <v>7623.8100000000013</v>
          </cell>
          <cell r="DO15">
            <v>0</v>
          </cell>
          <cell r="DP15">
            <v>41333.610000000022</v>
          </cell>
          <cell r="DR15">
            <v>259941.77066960212</v>
          </cell>
          <cell r="DS15">
            <v>34510.19999999999</v>
          </cell>
          <cell r="DT15">
            <v>32976.239999999998</v>
          </cell>
          <cell r="DU15">
            <v>5108.12</v>
          </cell>
          <cell r="DV15">
            <v>0</v>
          </cell>
          <cell r="DW15">
            <v>7802.5700000000006</v>
          </cell>
        </row>
        <row r="16">
          <cell r="CI16">
            <v>2012223.4099999992</v>
          </cell>
          <cell r="CJ16">
            <v>386373.8499999998</v>
          </cell>
          <cell r="CK16">
            <v>212875.85000000009</v>
          </cell>
          <cell r="CL16">
            <v>213178.17000000019</v>
          </cell>
          <cell r="CM16">
            <v>0</v>
          </cell>
          <cell r="CN16">
            <v>38075.230000000003</v>
          </cell>
          <cell r="CP16">
            <v>1832254.5299999989</v>
          </cell>
          <cell r="CQ16">
            <v>351021.01999999967</v>
          </cell>
          <cell r="CR16">
            <v>144000.89000000004</v>
          </cell>
          <cell r="CS16">
            <v>147691.82000000004</v>
          </cell>
          <cell r="CT16">
            <v>0</v>
          </cell>
          <cell r="CU16">
            <v>30476.000000000022</v>
          </cell>
          <cell r="CW16">
            <v>1738375.1899999995</v>
          </cell>
          <cell r="CX16">
            <v>296696.58000000007</v>
          </cell>
          <cell r="CY16">
            <v>102220.89999999998</v>
          </cell>
          <cell r="CZ16">
            <v>178314.08999999997</v>
          </cell>
          <cell r="DA16">
            <v>0</v>
          </cell>
          <cell r="DB16">
            <v>27046.440000000006</v>
          </cell>
          <cell r="DC16">
            <v>2342653.1999999993</v>
          </cell>
          <cell r="DD16">
            <v>1901080.0508124728</v>
          </cell>
          <cell r="DE16">
            <v>256890.28000000017</v>
          </cell>
          <cell r="DF16">
            <v>74413.040000000008</v>
          </cell>
          <cell r="DG16">
            <v>123741.94499999989</v>
          </cell>
          <cell r="DH16">
            <v>0</v>
          </cell>
          <cell r="DI16">
            <v>16236.599999999999</v>
          </cell>
          <cell r="DK16">
            <v>2448186.4499999997</v>
          </cell>
          <cell r="DL16">
            <v>266900.45999999996</v>
          </cell>
          <cell r="DM16">
            <v>42847.25</v>
          </cell>
          <cell r="DN16">
            <v>139113.72999999989</v>
          </cell>
          <cell r="DO16">
            <v>0</v>
          </cell>
          <cell r="DP16">
            <v>303397.62000000029</v>
          </cell>
          <cell r="DR16">
            <v>2351723.0709396908</v>
          </cell>
          <cell r="DS16">
            <v>197443.90000000014</v>
          </cell>
          <cell r="DT16">
            <v>9344.2999999999993</v>
          </cell>
          <cell r="DU16">
            <v>50606.219999999994</v>
          </cell>
          <cell r="DV16">
            <v>0</v>
          </cell>
          <cell r="DW16">
            <v>72089.540000000023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 gestao cobranca tabela 1"/>
    </sheetNames>
    <sheetDataSet>
      <sheetData sheetId="0">
        <row r="4">
          <cell r="Q4">
            <v>31257.45</v>
          </cell>
        </row>
        <row r="5">
          <cell r="Q5">
            <v>21687.670000000002</v>
          </cell>
        </row>
        <row r="6">
          <cell r="Q6">
            <v>0</v>
          </cell>
        </row>
        <row r="7">
          <cell r="Q7">
            <v>34587.049999999996</v>
          </cell>
        </row>
        <row r="8">
          <cell r="Q8">
            <v>0</v>
          </cell>
        </row>
        <row r="9">
          <cell r="Q9">
            <v>6327.9699999999993</v>
          </cell>
        </row>
        <row r="11">
          <cell r="Q11">
            <v>31257.480000000007</v>
          </cell>
        </row>
        <row r="12">
          <cell r="Q12">
            <v>945.05</v>
          </cell>
        </row>
        <row r="13">
          <cell r="Q13">
            <v>0</v>
          </cell>
        </row>
        <row r="14">
          <cell r="Q14">
            <v>0</v>
          </cell>
        </row>
        <row r="15">
          <cell r="Q15">
            <v>0</v>
          </cell>
        </row>
        <row r="16">
          <cell r="Q16">
            <v>1560.56</v>
          </cell>
        </row>
        <row r="18">
          <cell r="Q18">
            <v>6099547.7800000021</v>
          </cell>
        </row>
        <row r="19">
          <cell r="Q19">
            <v>1256079.5399999998</v>
          </cell>
        </row>
        <row r="20">
          <cell r="Q20">
            <v>1690296.66</v>
          </cell>
        </row>
        <row r="21">
          <cell r="Q21">
            <v>140684.91999999995</v>
          </cell>
        </row>
        <row r="22">
          <cell r="Q22">
            <v>0</v>
          </cell>
        </row>
        <row r="23">
          <cell r="Q23">
            <v>714648.45000000007</v>
          </cell>
        </row>
        <row r="25">
          <cell r="Q25">
            <v>5494999.2599999951</v>
          </cell>
        </row>
        <row r="26">
          <cell r="Q26">
            <v>792222.01000000013</v>
          </cell>
        </row>
        <row r="27">
          <cell r="Q27">
            <v>1609535.3800000004</v>
          </cell>
        </row>
        <row r="28">
          <cell r="Q28">
            <v>24246.920000000006</v>
          </cell>
        </row>
        <row r="29">
          <cell r="Q29">
            <v>0</v>
          </cell>
        </row>
        <row r="30">
          <cell r="Q30">
            <v>316850.60000000009</v>
          </cell>
        </row>
        <row r="32">
          <cell r="Q32">
            <v>3343184.5499999989</v>
          </cell>
        </row>
        <row r="33">
          <cell r="Q33">
            <v>2970320.8499999996</v>
          </cell>
        </row>
        <row r="34">
          <cell r="Q34">
            <v>1402571.26</v>
          </cell>
        </row>
        <row r="35">
          <cell r="Q35">
            <v>5854853.1999999927</v>
          </cell>
        </row>
        <row r="36">
          <cell r="Q36">
            <v>0</v>
          </cell>
        </row>
        <row r="37">
          <cell r="Q37">
            <v>732073.27999999991</v>
          </cell>
        </row>
        <row r="39">
          <cell r="Q39">
            <v>3449923.6999999997</v>
          </cell>
        </row>
        <row r="40">
          <cell r="Q40">
            <v>2639145.02</v>
          </cell>
        </row>
        <row r="41">
          <cell r="Q41">
            <v>1400896.9600000002</v>
          </cell>
        </row>
        <row r="42">
          <cell r="Q42">
            <v>1869851.5900000024</v>
          </cell>
        </row>
        <row r="43">
          <cell r="Q43">
            <v>0</v>
          </cell>
        </row>
        <row r="44">
          <cell r="Q44">
            <v>751507.27</v>
          </cell>
        </row>
        <row r="46">
          <cell r="Q46">
            <v>1319770.6899999997</v>
          </cell>
        </row>
        <row r="47">
          <cell r="Q47">
            <v>555761.07999999984</v>
          </cell>
        </row>
        <row r="48">
          <cell r="Q48">
            <v>1088347.53</v>
          </cell>
        </row>
        <row r="49">
          <cell r="Q49">
            <v>37954.55999999999</v>
          </cell>
        </row>
        <row r="50">
          <cell r="Q50">
            <v>0</v>
          </cell>
        </row>
        <row r="51">
          <cell r="Q51">
            <v>324737.88</v>
          </cell>
        </row>
        <row r="53">
          <cell r="Q53">
            <v>1103033.21</v>
          </cell>
        </row>
        <row r="54">
          <cell r="Q54">
            <v>302159.59000000003</v>
          </cell>
        </row>
        <row r="55">
          <cell r="Q55">
            <v>1080990.4000000001</v>
          </cell>
        </row>
        <row r="56">
          <cell r="Q56">
            <v>15238.249999999996</v>
          </cell>
        </row>
        <row r="57">
          <cell r="Q57">
            <v>0</v>
          </cell>
        </row>
        <row r="58">
          <cell r="Q58">
            <v>271729.03999999998</v>
          </cell>
        </row>
        <row r="60">
          <cell r="Q60">
            <v>3312808.1300000008</v>
          </cell>
        </row>
        <row r="61">
          <cell r="Q61">
            <v>5124482.7499999991</v>
          </cell>
        </row>
        <row r="62">
          <cell r="Q62">
            <v>2838290.6700000004</v>
          </cell>
        </row>
        <row r="63">
          <cell r="Q63">
            <v>10420.369999999999</v>
          </cell>
        </row>
        <row r="64">
          <cell r="Q64">
            <v>0</v>
          </cell>
        </row>
        <row r="65">
          <cell r="Q65">
            <v>173677.44000000006</v>
          </cell>
        </row>
        <row r="67">
          <cell r="Q67">
            <v>3070085.3900000015</v>
          </cell>
        </row>
        <row r="68">
          <cell r="Q68">
            <v>5005528.4800000032</v>
          </cell>
        </row>
        <row r="69">
          <cell r="Q69">
            <v>2825380.43</v>
          </cell>
        </row>
        <row r="70">
          <cell r="Q70">
            <v>8915.7999999999975</v>
          </cell>
        </row>
        <row r="71">
          <cell r="Q71">
            <v>0</v>
          </cell>
        </row>
        <row r="72">
          <cell r="Q72">
            <v>118143.75</v>
          </cell>
        </row>
        <row r="74">
          <cell r="Q74">
            <v>535777.56000000017</v>
          </cell>
        </row>
        <row r="75">
          <cell r="Q75">
            <v>371447.72000000003</v>
          </cell>
        </row>
        <row r="76">
          <cell r="Q76">
            <v>618195.78</v>
          </cell>
        </row>
        <row r="77">
          <cell r="Q77">
            <v>6561.85</v>
          </cell>
        </row>
        <row r="78">
          <cell r="Q78">
            <v>0</v>
          </cell>
        </row>
        <row r="79">
          <cell r="Q79">
            <v>323797.42999999993</v>
          </cell>
        </row>
        <row r="81">
          <cell r="Q81">
            <v>356622.99</v>
          </cell>
        </row>
        <row r="82">
          <cell r="Q82">
            <v>364376.89999999997</v>
          </cell>
        </row>
        <row r="83">
          <cell r="Q83">
            <v>714706.75</v>
          </cell>
        </row>
        <row r="84">
          <cell r="Q84">
            <v>6103.21</v>
          </cell>
        </row>
        <row r="85">
          <cell r="Q85">
            <v>0</v>
          </cell>
        </row>
        <row r="86">
          <cell r="Q86">
            <v>13932.53</v>
          </cell>
        </row>
        <row r="88">
          <cell r="Q88">
            <v>1343806.0000000002</v>
          </cell>
        </row>
        <row r="89">
          <cell r="Q89">
            <v>77141.51999999999</v>
          </cell>
        </row>
        <row r="90">
          <cell r="Q90">
            <v>0</v>
          </cell>
        </row>
        <row r="91">
          <cell r="Q91">
            <v>18031.810000000001</v>
          </cell>
        </row>
        <row r="92">
          <cell r="Q92">
            <v>0</v>
          </cell>
        </row>
        <row r="93">
          <cell r="Q93">
            <v>122139.07</v>
          </cell>
        </row>
        <row r="95">
          <cell r="Q95">
            <v>561607.61000000022</v>
          </cell>
        </row>
        <row r="96">
          <cell r="Q96">
            <v>16117.869999999999</v>
          </cell>
        </row>
        <row r="97">
          <cell r="Q97">
            <v>6282.2499999999991</v>
          </cell>
        </row>
        <row r="98">
          <cell r="Q98">
            <v>9791.8500000000022</v>
          </cell>
        </row>
        <row r="99">
          <cell r="Q99">
            <v>0</v>
          </cell>
        </row>
        <row r="100">
          <cell r="Q100">
            <v>58273.260000000017</v>
          </cell>
        </row>
        <row r="102">
          <cell r="Q102">
            <v>789169.2899999998</v>
          </cell>
        </row>
        <row r="103">
          <cell r="Q103">
            <v>16014.18</v>
          </cell>
        </row>
        <row r="104">
          <cell r="Q104">
            <v>0</v>
          </cell>
        </row>
        <row r="105">
          <cell r="Q105">
            <v>2354.15</v>
          </cell>
        </row>
        <row r="106">
          <cell r="Q106">
            <v>0</v>
          </cell>
        </row>
        <row r="107">
          <cell r="Q107">
            <v>35251.230000000003</v>
          </cell>
        </row>
        <row r="109">
          <cell r="Q109">
            <v>688026.73</v>
          </cell>
        </row>
        <row r="110">
          <cell r="Q110">
            <v>6463.6599999999989</v>
          </cell>
        </row>
        <row r="111">
          <cell r="Q111">
            <v>0</v>
          </cell>
        </row>
        <row r="112">
          <cell r="Q112">
            <v>0</v>
          </cell>
        </row>
        <row r="113">
          <cell r="Q113">
            <v>0</v>
          </cell>
        </row>
        <row r="114">
          <cell r="Q114">
            <v>8193.2899999999991</v>
          </cell>
        </row>
        <row r="116">
          <cell r="Q116">
            <v>389452.42000000004</v>
          </cell>
        </row>
        <row r="117">
          <cell r="Q117">
            <v>27323.960000000006</v>
          </cell>
        </row>
        <row r="118">
          <cell r="Q118">
            <v>412.37</v>
          </cell>
        </row>
        <row r="119">
          <cell r="Q119">
            <v>74565.489999999991</v>
          </cell>
        </row>
        <row r="120">
          <cell r="Q120">
            <v>0</v>
          </cell>
        </row>
        <row r="121">
          <cell r="Q121">
            <v>59916.399999999994</v>
          </cell>
        </row>
        <row r="123">
          <cell r="Q123">
            <v>302647.4499999999</v>
          </cell>
        </row>
        <row r="124">
          <cell r="Q124">
            <v>11852.14</v>
          </cell>
        </row>
        <row r="125">
          <cell r="Q125">
            <v>0</v>
          </cell>
        </row>
        <row r="126">
          <cell r="Q126">
            <v>0</v>
          </cell>
        </row>
        <row r="127">
          <cell r="Q127">
            <v>0</v>
          </cell>
        </row>
        <row r="128">
          <cell r="Q128">
            <v>27721.580000000005</v>
          </cell>
        </row>
        <row r="130">
          <cell r="Q130">
            <v>564178.80999999982</v>
          </cell>
        </row>
        <row r="131">
          <cell r="Q131">
            <v>227963.79999999996</v>
          </cell>
        </row>
        <row r="132">
          <cell r="Q132">
            <v>0</v>
          </cell>
        </row>
        <row r="133">
          <cell r="Q133">
            <v>10291.27</v>
          </cell>
        </row>
        <row r="134">
          <cell r="Q134">
            <v>0</v>
          </cell>
        </row>
        <row r="135">
          <cell r="Q135">
            <v>40390.460000000014</v>
          </cell>
        </row>
        <row r="137">
          <cell r="Q137">
            <v>527040.79999999993</v>
          </cell>
        </row>
        <row r="138">
          <cell r="Q138">
            <v>92791.23000000001</v>
          </cell>
        </row>
        <row r="139">
          <cell r="Q139">
            <v>0</v>
          </cell>
        </row>
        <row r="140">
          <cell r="Q140">
            <v>7395.98</v>
          </cell>
        </row>
        <row r="141">
          <cell r="Q141">
            <v>0</v>
          </cell>
        </row>
        <row r="142">
          <cell r="Q142">
            <v>12958.710000000001</v>
          </cell>
        </row>
        <row r="144">
          <cell r="Q144">
            <v>665675.44999999984</v>
          </cell>
        </row>
        <row r="145">
          <cell r="Q145">
            <v>332407.66000000003</v>
          </cell>
        </row>
        <row r="146">
          <cell r="Q146">
            <v>0</v>
          </cell>
        </row>
        <row r="147">
          <cell r="Q147">
            <v>13430.019999999999</v>
          </cell>
        </row>
        <row r="148">
          <cell r="Q148">
            <v>0</v>
          </cell>
        </row>
        <row r="149">
          <cell r="Q149">
            <v>165061.91999999998</v>
          </cell>
        </row>
        <row r="151">
          <cell r="Q151">
            <v>623492.56000000006</v>
          </cell>
        </row>
        <row r="152">
          <cell r="Q152">
            <v>244971.88000000018</v>
          </cell>
        </row>
        <row r="153">
          <cell r="Q153">
            <v>0</v>
          </cell>
        </row>
        <row r="154">
          <cell r="Q154">
            <v>603.54</v>
          </cell>
        </row>
        <row r="155">
          <cell r="Q155">
            <v>0</v>
          </cell>
        </row>
        <row r="156">
          <cell r="Q156">
            <v>138870.97</v>
          </cell>
        </row>
        <row r="158">
          <cell r="Q158">
            <v>1576286.9600000004</v>
          </cell>
        </row>
        <row r="159">
          <cell r="Q159">
            <v>630178.48999999987</v>
          </cell>
        </row>
        <row r="160">
          <cell r="Q160">
            <v>86624.9</v>
          </cell>
        </row>
        <row r="161">
          <cell r="Q161">
            <v>392262.16</v>
          </cell>
        </row>
        <row r="162">
          <cell r="Q162">
            <v>0</v>
          </cell>
        </row>
        <row r="163">
          <cell r="Q163">
            <v>124587.42000000003</v>
          </cell>
        </row>
        <row r="165">
          <cell r="Q165">
            <v>1212595.0799999996</v>
          </cell>
        </row>
        <row r="166">
          <cell r="Q166">
            <v>435531.50000000035</v>
          </cell>
        </row>
        <row r="167">
          <cell r="Q167">
            <v>80089.799999999988</v>
          </cell>
        </row>
        <row r="168">
          <cell r="Q168">
            <v>135186.29</v>
          </cell>
        </row>
        <row r="169">
          <cell r="Q169">
            <v>0</v>
          </cell>
        </row>
        <row r="170">
          <cell r="Q170">
            <v>43528.759999999987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ha1"/>
    </sheetNames>
    <sheetDataSet>
      <sheetData sheetId="0">
        <row r="2">
          <cell r="G2">
            <v>3315667.48</v>
          </cell>
          <cell r="H2">
            <v>3434227.68</v>
          </cell>
          <cell r="I2">
            <v>3452788.48</v>
          </cell>
          <cell r="K2">
            <v>3796598.64</v>
          </cell>
        </row>
        <row r="3">
          <cell r="G3">
            <v>499191.99</v>
          </cell>
          <cell r="H3">
            <v>493258.71</v>
          </cell>
          <cell r="I3">
            <v>442171.85</v>
          </cell>
          <cell r="J3">
            <v>520921.46</v>
          </cell>
          <cell r="K3">
            <v>632284.19999999995</v>
          </cell>
        </row>
        <row r="8">
          <cell r="D8">
            <v>945203.71</v>
          </cell>
          <cell r="E8">
            <v>2930331.02</v>
          </cell>
          <cell r="F8">
            <v>3634897.72</v>
          </cell>
        </row>
        <row r="9">
          <cell r="G9">
            <v>3315667.48</v>
          </cell>
          <cell r="H9">
            <v>3434227.68</v>
          </cell>
          <cell r="I9">
            <v>3452788.48</v>
          </cell>
          <cell r="K9">
            <v>3796598.64</v>
          </cell>
        </row>
        <row r="10">
          <cell r="G10">
            <v>479033.27</v>
          </cell>
          <cell r="H10">
            <v>445924.72</v>
          </cell>
          <cell r="I10">
            <v>391115.86</v>
          </cell>
          <cell r="J10">
            <v>490907.17</v>
          </cell>
          <cell r="K10">
            <v>460698.33</v>
          </cell>
        </row>
        <row r="15">
          <cell r="D15">
            <v>945371.55</v>
          </cell>
          <cell r="E15">
            <v>2650666.9</v>
          </cell>
          <cell r="F15">
            <v>3580019.75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BS 2021"/>
    </sheetNames>
    <sheetDataSet>
      <sheetData sheetId="0">
        <row r="483">
          <cell r="L483">
            <v>23475046.130000018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DOS"/>
      <sheetName val="AC"/>
      <sheetName val="AL"/>
      <sheetName val="AM"/>
      <sheetName val="BA"/>
      <sheetName val="ES"/>
      <sheetName val="GO"/>
      <sheetName val="MA"/>
      <sheetName val="MS"/>
      <sheetName val="MT"/>
      <sheetName val="PB"/>
      <sheetName val="PB2"/>
      <sheetName val="PE"/>
      <sheetName val="PR"/>
      <sheetName val="RN"/>
      <sheetName val="RO"/>
      <sheetName val="RS"/>
      <sheetName val="SE"/>
      <sheetName val="T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6">
          <cell r="P6">
            <v>3207.67</v>
          </cell>
          <cell r="Q6">
            <v>275928.17</v>
          </cell>
          <cell r="R6">
            <v>5126.43</v>
          </cell>
          <cell r="S6">
            <v>3169.58</v>
          </cell>
          <cell r="T6">
            <v>3207.67</v>
          </cell>
          <cell r="U6">
            <v>275928.17</v>
          </cell>
          <cell r="V6">
            <v>3588.5</v>
          </cell>
          <cell r="W6">
            <v>2218.71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6">
          <cell r="P6">
            <v>610.28</v>
          </cell>
          <cell r="Q6">
            <v>470719.71</v>
          </cell>
          <cell r="R6">
            <v>21089.1</v>
          </cell>
          <cell r="S6">
            <v>33631.589999999997</v>
          </cell>
          <cell r="T6">
            <v>0</v>
          </cell>
          <cell r="U6">
            <v>328669.52</v>
          </cell>
          <cell r="V6">
            <v>31022.21</v>
          </cell>
          <cell r="W6">
            <v>28081.21</v>
          </cell>
        </row>
        <row r="7">
          <cell r="P7">
            <v>330094.28000000003</v>
          </cell>
          <cell r="Q7">
            <v>1264216.57</v>
          </cell>
          <cell r="R7">
            <v>35014.26</v>
          </cell>
          <cell r="S7">
            <v>1088478.05</v>
          </cell>
          <cell r="T7">
            <v>312468.68</v>
          </cell>
          <cell r="U7">
            <v>1209697.08</v>
          </cell>
          <cell r="V7">
            <v>42775.35</v>
          </cell>
          <cell r="W7">
            <v>1177419.6599999999</v>
          </cell>
        </row>
        <row r="8">
          <cell r="P8">
            <v>91706.25</v>
          </cell>
          <cell r="Q8">
            <v>269028.88</v>
          </cell>
          <cell r="R8">
            <v>22091.53</v>
          </cell>
          <cell r="S8">
            <v>7932.18</v>
          </cell>
          <cell r="T8">
            <v>88374.11</v>
          </cell>
          <cell r="U8">
            <v>285657.37</v>
          </cell>
          <cell r="V8">
            <v>32832.57</v>
          </cell>
          <cell r="W8">
            <v>7744.01</v>
          </cell>
        </row>
        <row r="9">
          <cell r="P9">
            <v>49585.42</v>
          </cell>
          <cell r="Q9">
            <v>1160150.26</v>
          </cell>
          <cell r="R9">
            <v>125080.9</v>
          </cell>
          <cell r="S9">
            <v>93690.95</v>
          </cell>
          <cell r="T9">
            <v>60237.15</v>
          </cell>
          <cell r="U9">
            <v>1342067.51</v>
          </cell>
          <cell r="V9">
            <v>128238.08</v>
          </cell>
          <cell r="W9">
            <v>94324.08</v>
          </cell>
        </row>
        <row r="10">
          <cell r="P10">
            <v>241861.07</v>
          </cell>
          <cell r="Q10">
            <v>2277.6</v>
          </cell>
          <cell r="R10">
            <v>52270.8</v>
          </cell>
          <cell r="S10">
            <v>1115.3399999999999</v>
          </cell>
          <cell r="T10">
            <v>197427.49</v>
          </cell>
          <cell r="U10">
            <v>4688.04</v>
          </cell>
          <cell r="V10">
            <v>47296.06</v>
          </cell>
          <cell r="W10">
            <v>2213.1799999999998</v>
          </cell>
        </row>
        <row r="11">
          <cell r="P11">
            <v>115932.33</v>
          </cell>
          <cell r="Q11">
            <v>294322.53000000003</v>
          </cell>
          <cell r="R11">
            <v>3090.47</v>
          </cell>
          <cell r="S11">
            <v>113586.59</v>
          </cell>
          <cell r="T11">
            <v>118109.6</v>
          </cell>
          <cell r="U11">
            <v>320239.67</v>
          </cell>
          <cell r="V11">
            <v>9046.15</v>
          </cell>
          <cell r="W11">
            <v>123505.75</v>
          </cell>
        </row>
        <row r="12">
          <cell r="P12">
            <v>24441.119999999999</v>
          </cell>
          <cell r="Q12">
            <v>28084.65</v>
          </cell>
          <cell r="R12">
            <v>0</v>
          </cell>
          <cell r="S12">
            <v>17700.490000000002</v>
          </cell>
          <cell r="T12">
            <v>28336.04</v>
          </cell>
          <cell r="U12">
            <v>9063.92</v>
          </cell>
          <cell r="V12">
            <v>0</v>
          </cell>
          <cell r="W12">
            <v>17667.03</v>
          </cell>
        </row>
        <row r="13">
          <cell r="P13">
            <v>23227.47</v>
          </cell>
          <cell r="Q13">
            <v>273.72000000000003</v>
          </cell>
          <cell r="R13">
            <v>0</v>
          </cell>
          <cell r="S13">
            <v>0</v>
          </cell>
          <cell r="T13">
            <v>16756.349999999999</v>
          </cell>
          <cell r="U13">
            <v>302.99</v>
          </cell>
          <cell r="V13">
            <v>0</v>
          </cell>
          <cell r="W13">
            <v>0</v>
          </cell>
        </row>
        <row r="14">
          <cell r="P14">
            <v>0</v>
          </cell>
          <cell r="Q14">
            <v>27927.14</v>
          </cell>
          <cell r="R14">
            <v>805.92</v>
          </cell>
          <cell r="S14">
            <v>5731.91</v>
          </cell>
          <cell r="T14">
            <v>0</v>
          </cell>
          <cell r="U14">
            <v>9728.1</v>
          </cell>
          <cell r="V14">
            <v>805.92</v>
          </cell>
          <cell r="W14">
            <v>4957.99</v>
          </cell>
        </row>
        <row r="15">
          <cell r="P15">
            <v>0</v>
          </cell>
          <cell r="Q15">
            <v>1097.0999999999999</v>
          </cell>
          <cell r="R15">
            <v>0</v>
          </cell>
          <cell r="S15">
            <v>0</v>
          </cell>
          <cell r="T15">
            <v>0</v>
          </cell>
          <cell r="U15">
            <v>1066.7</v>
          </cell>
          <cell r="V15">
            <v>0</v>
          </cell>
          <cell r="W15">
            <v>0</v>
          </cell>
        </row>
        <row r="16">
          <cell r="P16">
            <v>0</v>
          </cell>
          <cell r="Q16">
            <v>261.05</v>
          </cell>
          <cell r="R16">
            <v>274.05</v>
          </cell>
          <cell r="S16">
            <v>0</v>
          </cell>
          <cell r="T16">
            <v>0</v>
          </cell>
          <cell r="U16">
            <v>710.78</v>
          </cell>
          <cell r="V16">
            <v>0</v>
          </cell>
          <cell r="W16">
            <v>0</v>
          </cell>
        </row>
      </sheetData>
      <sheetData sheetId="11">
        <row r="6">
          <cell r="Q6">
            <v>520458.57</v>
          </cell>
          <cell r="U6">
            <v>607993.32999999996</v>
          </cell>
        </row>
      </sheetData>
      <sheetData sheetId="12" refreshError="1"/>
      <sheetData sheetId="13">
        <row r="7">
          <cell r="P7">
            <v>0</v>
          </cell>
          <cell r="Q7">
            <v>3922281</v>
          </cell>
          <cell r="R7">
            <v>670142.30000000005</v>
          </cell>
          <cell r="S7">
            <v>0</v>
          </cell>
          <cell r="T7">
            <v>0</v>
          </cell>
          <cell r="U7">
            <v>2024332.8</v>
          </cell>
          <cell r="V7">
            <v>685230.8000000004</v>
          </cell>
          <cell r="W7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RAL"/>
      <sheetName val="ANO 2021"/>
    </sheetNames>
    <sheetDataSet>
      <sheetData sheetId="0">
        <row r="5">
          <cell r="K5">
            <v>267577.37</v>
          </cell>
        </row>
        <row r="6">
          <cell r="K6">
            <v>18076.099999999999</v>
          </cell>
        </row>
        <row r="7">
          <cell r="K7">
            <v>0</v>
          </cell>
        </row>
        <row r="8">
          <cell r="K8">
            <v>0</v>
          </cell>
        </row>
        <row r="9">
          <cell r="K9">
            <v>0</v>
          </cell>
        </row>
        <row r="10">
          <cell r="K10">
            <v>3154.89</v>
          </cell>
        </row>
        <row r="12">
          <cell r="K12">
            <v>83608.88</v>
          </cell>
        </row>
        <row r="13">
          <cell r="K13">
            <v>19198.07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3454.49</v>
          </cell>
        </row>
        <row r="23">
          <cell r="K23">
            <v>1298958.6100000001</v>
          </cell>
        </row>
        <row r="24">
          <cell r="K24">
            <v>37247.589999999997</v>
          </cell>
        </row>
        <row r="25">
          <cell r="K25">
            <v>0</v>
          </cell>
        </row>
        <row r="26">
          <cell r="K26">
            <v>300485.11</v>
          </cell>
        </row>
        <row r="27">
          <cell r="K27">
            <v>0</v>
          </cell>
        </row>
        <row r="28">
          <cell r="K28">
            <v>189515.9</v>
          </cell>
        </row>
        <row r="30">
          <cell r="K30">
            <v>1035072.62</v>
          </cell>
        </row>
        <row r="31">
          <cell r="K31">
            <v>34077.24</v>
          </cell>
        </row>
        <row r="33">
          <cell r="K33">
            <v>285607.46000000002</v>
          </cell>
        </row>
        <row r="35">
          <cell r="K35">
            <v>162796.51</v>
          </cell>
        </row>
        <row r="40">
          <cell r="K40">
            <v>187639.2</v>
          </cell>
        </row>
        <row r="41">
          <cell r="K41">
            <v>27142.35</v>
          </cell>
        </row>
        <row r="42">
          <cell r="K42">
            <v>0</v>
          </cell>
        </row>
        <row r="43">
          <cell r="K43">
            <v>95447.17</v>
          </cell>
        </row>
        <row r="44">
          <cell r="K44">
            <v>0</v>
          </cell>
        </row>
        <row r="45">
          <cell r="K45">
            <v>21935.54</v>
          </cell>
        </row>
        <row r="47">
          <cell r="K47">
            <v>156366</v>
          </cell>
        </row>
        <row r="48">
          <cell r="K48">
            <v>29260.14</v>
          </cell>
        </row>
        <row r="49">
          <cell r="K49">
            <v>0</v>
          </cell>
        </row>
        <row r="50">
          <cell r="K50">
            <v>89617.89</v>
          </cell>
        </row>
        <row r="51">
          <cell r="K51">
            <v>0</v>
          </cell>
        </row>
        <row r="52">
          <cell r="K52">
            <v>15848.58</v>
          </cell>
        </row>
        <row r="57">
          <cell r="K57">
            <v>1180350.43</v>
          </cell>
        </row>
        <row r="58">
          <cell r="K58">
            <v>94374.83</v>
          </cell>
        </row>
        <row r="59">
          <cell r="K59">
            <v>0</v>
          </cell>
        </row>
        <row r="60">
          <cell r="K60">
            <v>54016.69</v>
          </cell>
        </row>
        <row r="61">
          <cell r="K61">
            <v>0</v>
          </cell>
        </row>
        <row r="62">
          <cell r="K62">
            <v>45374.52</v>
          </cell>
        </row>
        <row r="64">
          <cell r="K64">
            <v>932940</v>
          </cell>
        </row>
        <row r="65">
          <cell r="K65">
            <v>99157.5</v>
          </cell>
        </row>
        <row r="66">
          <cell r="K66">
            <v>0</v>
          </cell>
        </row>
        <row r="67">
          <cell r="K67">
            <v>62871.86</v>
          </cell>
        </row>
        <row r="68">
          <cell r="K68">
            <v>0</v>
          </cell>
        </row>
        <row r="69">
          <cell r="K69">
            <v>44706.78</v>
          </cell>
        </row>
        <row r="74">
          <cell r="K74">
            <v>0</v>
          </cell>
        </row>
        <row r="75">
          <cell r="K75">
            <v>52056</v>
          </cell>
        </row>
        <row r="76">
          <cell r="K76">
            <v>0</v>
          </cell>
        </row>
        <row r="77">
          <cell r="K77">
            <v>191250.59</v>
          </cell>
        </row>
        <row r="78">
          <cell r="K78">
            <v>0</v>
          </cell>
        </row>
        <row r="79">
          <cell r="K79">
            <v>3864.91</v>
          </cell>
        </row>
        <row r="81">
          <cell r="K81">
            <v>0</v>
          </cell>
        </row>
        <row r="82">
          <cell r="K82">
            <v>57024</v>
          </cell>
        </row>
        <row r="83">
          <cell r="K83">
            <v>0</v>
          </cell>
        </row>
        <row r="84">
          <cell r="K84">
            <v>182276.73</v>
          </cell>
        </row>
        <row r="85">
          <cell r="K85">
            <v>0</v>
          </cell>
        </row>
        <row r="86">
          <cell r="K86">
            <v>2912.81</v>
          </cell>
        </row>
        <row r="91">
          <cell r="K91">
            <v>303029.99</v>
          </cell>
        </row>
        <row r="92">
          <cell r="K92">
            <v>611.66999999999996</v>
          </cell>
        </row>
        <row r="93">
          <cell r="K93">
            <v>0</v>
          </cell>
        </row>
        <row r="94">
          <cell r="K94">
            <v>105991.25</v>
          </cell>
        </row>
        <row r="95">
          <cell r="K95">
            <v>0</v>
          </cell>
        </row>
        <row r="96">
          <cell r="K96">
            <v>87207.45</v>
          </cell>
        </row>
        <row r="98">
          <cell r="K98">
            <v>171601</v>
          </cell>
        </row>
        <row r="99">
          <cell r="K99">
            <v>1470.36</v>
          </cell>
        </row>
        <row r="100">
          <cell r="K100">
            <v>0</v>
          </cell>
        </row>
        <row r="101">
          <cell r="K101">
            <v>120294.6</v>
          </cell>
        </row>
        <row r="102">
          <cell r="K102">
            <v>0</v>
          </cell>
        </row>
        <row r="103">
          <cell r="K103">
            <v>95731.76</v>
          </cell>
        </row>
        <row r="108">
          <cell r="K108">
            <v>6832.8</v>
          </cell>
        </row>
        <row r="109">
          <cell r="K109">
            <v>0</v>
          </cell>
        </row>
        <row r="110">
          <cell r="K110">
            <v>0</v>
          </cell>
        </row>
        <row r="111">
          <cell r="K111">
            <v>23508.26</v>
          </cell>
        </row>
        <row r="112">
          <cell r="K112">
            <v>0</v>
          </cell>
        </row>
        <row r="113">
          <cell r="K113">
            <v>20746.88</v>
          </cell>
        </row>
        <row r="115">
          <cell r="K115">
            <v>6149.36</v>
          </cell>
        </row>
        <row r="116">
          <cell r="K116">
            <v>0</v>
          </cell>
        </row>
        <row r="117">
          <cell r="K117">
            <v>0</v>
          </cell>
        </row>
        <row r="118">
          <cell r="K118">
            <v>24081.82</v>
          </cell>
        </row>
        <row r="119">
          <cell r="K119">
            <v>0</v>
          </cell>
        </row>
        <row r="120">
          <cell r="K120">
            <v>17355.259999999998</v>
          </cell>
        </row>
        <row r="125">
          <cell r="K125">
            <v>0</v>
          </cell>
        </row>
        <row r="126">
          <cell r="K126">
            <v>0</v>
          </cell>
        </row>
        <row r="127">
          <cell r="K127">
            <v>0</v>
          </cell>
        </row>
        <row r="128">
          <cell r="K128">
            <v>6131.35</v>
          </cell>
        </row>
        <row r="129">
          <cell r="K129">
            <v>0</v>
          </cell>
        </row>
        <row r="130">
          <cell r="K130">
            <v>273.72000000000003</v>
          </cell>
        </row>
        <row r="132">
          <cell r="K132">
            <v>0</v>
          </cell>
        </row>
        <row r="133">
          <cell r="K133">
            <v>0</v>
          </cell>
        </row>
        <row r="134">
          <cell r="K134">
            <v>0</v>
          </cell>
        </row>
        <row r="135">
          <cell r="K135">
            <v>6931.35</v>
          </cell>
        </row>
        <row r="136">
          <cell r="K136">
            <v>0</v>
          </cell>
        </row>
        <row r="137">
          <cell r="K137">
            <v>273.72000000000003</v>
          </cell>
        </row>
        <row r="142">
          <cell r="K142">
            <v>6226.89</v>
          </cell>
        </row>
        <row r="143">
          <cell r="K143">
            <v>679.78</v>
          </cell>
        </row>
        <row r="144">
          <cell r="K144">
            <v>0</v>
          </cell>
        </row>
        <row r="145">
          <cell r="K145">
            <v>800</v>
          </cell>
        </row>
        <row r="146">
          <cell r="K146">
            <v>0</v>
          </cell>
        </row>
        <row r="147">
          <cell r="K147">
            <v>3054.63</v>
          </cell>
        </row>
        <row r="149">
          <cell r="K149">
            <v>4151.28</v>
          </cell>
        </row>
        <row r="150">
          <cell r="K150">
            <v>65.7</v>
          </cell>
        </row>
        <row r="151">
          <cell r="K151">
            <v>0</v>
          </cell>
        </row>
        <row r="152">
          <cell r="K152">
            <v>890.34</v>
          </cell>
        </row>
        <row r="153">
          <cell r="K153">
            <v>0</v>
          </cell>
        </row>
        <row r="154">
          <cell r="K154">
            <v>1515.69</v>
          </cell>
        </row>
        <row r="159">
          <cell r="K159">
            <v>0</v>
          </cell>
        </row>
        <row r="160">
          <cell r="K160">
            <v>0</v>
          </cell>
        </row>
        <row r="161">
          <cell r="K161">
            <v>0</v>
          </cell>
        </row>
        <row r="162">
          <cell r="K162">
            <v>0</v>
          </cell>
        </row>
        <row r="163">
          <cell r="K163">
            <v>0</v>
          </cell>
        </row>
        <row r="164">
          <cell r="K164">
            <v>704.65</v>
          </cell>
        </row>
        <row r="166">
          <cell r="K166">
            <v>0</v>
          </cell>
        </row>
        <row r="167">
          <cell r="K167">
            <v>0</v>
          </cell>
        </row>
        <row r="168">
          <cell r="K168">
            <v>0</v>
          </cell>
        </row>
        <row r="169">
          <cell r="K169">
            <v>0</v>
          </cell>
        </row>
        <row r="170">
          <cell r="K170">
            <v>0</v>
          </cell>
        </row>
        <row r="171">
          <cell r="K171">
            <v>582.01</v>
          </cell>
        </row>
        <row r="176">
          <cell r="K176">
            <v>0</v>
          </cell>
        </row>
        <row r="177">
          <cell r="K177">
            <v>0</v>
          </cell>
        </row>
        <row r="178">
          <cell r="K178">
            <v>0</v>
          </cell>
        </row>
        <row r="179">
          <cell r="K179">
            <v>0</v>
          </cell>
        </row>
        <row r="180">
          <cell r="K180">
            <v>0</v>
          </cell>
        </row>
        <row r="181">
          <cell r="K181">
            <v>70.08</v>
          </cell>
        </row>
        <row r="183">
          <cell r="K183">
            <v>0</v>
          </cell>
        </row>
        <row r="184">
          <cell r="K184">
            <v>274.05</v>
          </cell>
        </row>
        <row r="185">
          <cell r="K185">
            <v>0</v>
          </cell>
        </row>
        <row r="186">
          <cell r="K186">
            <v>344.13</v>
          </cell>
        </row>
        <row r="187">
          <cell r="K187">
            <v>0</v>
          </cell>
        </row>
        <row r="188">
          <cell r="K188">
            <v>0</v>
          </cell>
        </row>
      </sheetData>
      <sheetData sheetId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RAL"/>
      <sheetName val="ANO 2022"/>
    </sheetNames>
    <sheetDataSet>
      <sheetData sheetId="0"/>
      <sheetData sheetId="1">
        <row r="4">
          <cell r="E4">
            <v>306077.84000000003</v>
          </cell>
        </row>
        <row r="5">
          <cell r="E5">
            <v>30113.46</v>
          </cell>
        </row>
        <row r="6">
          <cell r="E6">
            <v>0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64561.79</v>
          </cell>
        </row>
        <row r="11">
          <cell r="E11">
            <v>245641.08</v>
          </cell>
        </row>
        <row r="12">
          <cell r="E12">
            <v>29984.79</v>
          </cell>
        </row>
        <row r="13">
          <cell r="E13">
            <v>0</v>
          </cell>
        </row>
        <row r="14">
          <cell r="E14">
            <v>0</v>
          </cell>
        </row>
        <row r="15">
          <cell r="E15">
            <v>0</v>
          </cell>
        </row>
        <row r="16">
          <cell r="E16">
            <v>6739.7</v>
          </cell>
        </row>
        <row r="21">
          <cell r="E21">
            <v>1805101.31</v>
          </cell>
        </row>
        <row r="22">
          <cell r="E22">
            <v>45509.84</v>
          </cell>
        </row>
        <row r="23">
          <cell r="E23">
            <v>0</v>
          </cell>
        </row>
        <row r="24">
          <cell r="E24">
            <v>317287.73</v>
          </cell>
        </row>
        <row r="25">
          <cell r="E25">
            <v>0</v>
          </cell>
        </row>
        <row r="26">
          <cell r="E26">
            <v>817954.83</v>
          </cell>
        </row>
        <row r="28">
          <cell r="E28">
            <v>1511204.26</v>
          </cell>
        </row>
        <row r="29">
          <cell r="E29">
            <v>40810.61</v>
          </cell>
        </row>
        <row r="30">
          <cell r="E30">
            <v>0</v>
          </cell>
        </row>
        <row r="31">
          <cell r="E31">
            <v>272508.39</v>
          </cell>
        </row>
        <row r="33">
          <cell r="E33">
            <v>206485.99</v>
          </cell>
        </row>
        <row r="38">
          <cell r="E38">
            <v>244193.76</v>
          </cell>
        </row>
        <row r="39">
          <cell r="E39">
            <v>29378.85</v>
          </cell>
        </row>
        <row r="40">
          <cell r="E40">
            <v>0</v>
          </cell>
        </row>
        <row r="41">
          <cell r="E41">
            <v>91706.25</v>
          </cell>
        </row>
        <row r="42">
          <cell r="E42">
            <v>0</v>
          </cell>
        </row>
        <row r="43">
          <cell r="E43">
            <v>71972.149999999994</v>
          </cell>
        </row>
        <row r="45">
          <cell r="E45">
            <v>218912.4</v>
          </cell>
        </row>
        <row r="46">
          <cell r="E46">
            <v>33487.360000000001</v>
          </cell>
        </row>
        <row r="47">
          <cell r="E47">
            <v>0</v>
          </cell>
        </row>
        <row r="48">
          <cell r="E48">
            <v>88079.77</v>
          </cell>
        </row>
        <row r="49">
          <cell r="E49">
            <v>0</v>
          </cell>
        </row>
        <row r="50">
          <cell r="E50">
            <v>15781.93</v>
          </cell>
        </row>
        <row r="55">
          <cell r="E55">
            <v>1180350.43</v>
          </cell>
        </row>
        <row r="56">
          <cell r="E56">
            <v>129144.35</v>
          </cell>
        </row>
        <row r="57">
          <cell r="E57">
            <v>0</v>
          </cell>
        </row>
        <row r="58">
          <cell r="E58">
            <v>48409.39</v>
          </cell>
        </row>
        <row r="59">
          <cell r="E59">
            <v>0</v>
          </cell>
        </row>
        <row r="60">
          <cell r="E60">
            <v>66501.72</v>
          </cell>
        </row>
        <row r="62">
          <cell r="E62">
            <v>1356801.4</v>
          </cell>
        </row>
        <row r="63">
          <cell r="E63">
            <v>147933.84</v>
          </cell>
        </row>
        <row r="64">
          <cell r="E64">
            <v>0</v>
          </cell>
        </row>
        <row r="65">
          <cell r="E65">
            <v>45866.71</v>
          </cell>
        </row>
        <row r="66">
          <cell r="E66">
            <v>0</v>
          </cell>
        </row>
        <row r="67">
          <cell r="E67">
            <v>55172.480000000003</v>
          </cell>
        </row>
        <row r="72">
          <cell r="E72">
            <v>0</v>
          </cell>
        </row>
        <row r="73">
          <cell r="E73">
            <v>52114.8</v>
          </cell>
        </row>
        <row r="74">
          <cell r="E74">
            <v>0</v>
          </cell>
        </row>
        <row r="75">
          <cell r="E75">
            <v>211424.94</v>
          </cell>
        </row>
        <row r="76">
          <cell r="E76">
            <v>0</v>
          </cell>
        </row>
        <row r="77">
          <cell r="E77">
            <v>5193.8500000000004</v>
          </cell>
        </row>
        <row r="79">
          <cell r="E79">
            <v>0</v>
          </cell>
        </row>
        <row r="80">
          <cell r="E80">
            <v>52180.83</v>
          </cell>
        </row>
        <row r="81">
          <cell r="E81">
            <v>0</v>
          </cell>
        </row>
        <row r="82">
          <cell r="E82">
            <v>244583.35</v>
          </cell>
        </row>
        <row r="83">
          <cell r="E83">
            <v>0</v>
          </cell>
        </row>
        <row r="84">
          <cell r="E84">
            <v>3902.28</v>
          </cell>
        </row>
        <row r="89">
          <cell r="E89">
            <v>322605.12</v>
          </cell>
        </row>
        <row r="90">
          <cell r="E90">
            <v>3808.3</v>
          </cell>
        </row>
        <row r="91">
          <cell r="E91">
            <v>0</v>
          </cell>
        </row>
        <row r="92">
          <cell r="E92">
            <v>112943.48</v>
          </cell>
        </row>
        <row r="93">
          <cell r="E93">
            <v>0</v>
          </cell>
        </row>
        <row r="94">
          <cell r="E94">
            <v>144498.95000000001</v>
          </cell>
        </row>
        <row r="96">
          <cell r="E96">
            <v>314993.40000000002</v>
          </cell>
        </row>
        <row r="97">
          <cell r="E97">
            <v>859.21</v>
          </cell>
        </row>
        <row r="98">
          <cell r="E98">
            <v>0</v>
          </cell>
        </row>
        <row r="99">
          <cell r="E99">
            <v>116430.07</v>
          </cell>
        </row>
        <row r="100">
          <cell r="E100">
            <v>0</v>
          </cell>
        </row>
        <row r="101">
          <cell r="E101">
            <v>75595.83</v>
          </cell>
        </row>
        <row r="106">
          <cell r="E106">
            <v>6832.8</v>
          </cell>
        </row>
        <row r="107">
          <cell r="E107">
            <v>0</v>
          </cell>
        </row>
        <row r="108">
          <cell r="E108">
            <v>0</v>
          </cell>
        </row>
        <row r="109">
          <cell r="E109">
            <v>29033.69</v>
          </cell>
        </row>
        <row r="110">
          <cell r="E110">
            <v>0</v>
          </cell>
        </row>
        <row r="111">
          <cell r="E111">
            <v>21563.23</v>
          </cell>
        </row>
        <row r="113">
          <cell r="E113">
            <v>7971.6</v>
          </cell>
        </row>
        <row r="114">
          <cell r="E114">
            <v>0</v>
          </cell>
        </row>
        <row r="115">
          <cell r="E115">
            <v>0</v>
          </cell>
        </row>
        <row r="116">
          <cell r="E116">
            <v>24729.15</v>
          </cell>
        </row>
        <row r="117">
          <cell r="E117">
            <v>0</v>
          </cell>
        </row>
        <row r="118">
          <cell r="E118">
            <v>19460.48</v>
          </cell>
        </row>
        <row r="123">
          <cell r="E123">
            <v>0</v>
          </cell>
        </row>
        <row r="124">
          <cell r="E124">
            <v>0</v>
          </cell>
        </row>
        <row r="125">
          <cell r="E125">
            <v>0</v>
          </cell>
        </row>
        <row r="126">
          <cell r="E126">
            <v>6131.35</v>
          </cell>
        </row>
        <row r="127">
          <cell r="E127">
            <v>0</v>
          </cell>
        </row>
        <row r="128">
          <cell r="E128">
            <v>273.72000000000003</v>
          </cell>
        </row>
        <row r="130">
          <cell r="E130">
            <v>0</v>
          </cell>
        </row>
        <row r="131">
          <cell r="E131">
            <v>0</v>
          </cell>
        </row>
        <row r="132">
          <cell r="E132">
            <v>0</v>
          </cell>
        </row>
        <row r="133">
          <cell r="E133">
            <v>6744.49</v>
          </cell>
        </row>
        <row r="134">
          <cell r="E134">
            <v>0</v>
          </cell>
        </row>
        <row r="135">
          <cell r="E135">
            <v>0</v>
          </cell>
        </row>
        <row r="140">
          <cell r="E140">
            <v>11640.83</v>
          </cell>
        </row>
        <row r="141">
          <cell r="E141">
            <v>0</v>
          </cell>
        </row>
        <row r="142">
          <cell r="E142">
            <v>0</v>
          </cell>
        </row>
        <row r="143">
          <cell r="E143">
            <v>878.84</v>
          </cell>
        </row>
        <row r="144">
          <cell r="E144">
            <v>8766.82</v>
          </cell>
        </row>
        <row r="147">
          <cell r="E147">
            <v>7264.74</v>
          </cell>
        </row>
        <row r="148">
          <cell r="E148">
            <v>597.91999999999996</v>
          </cell>
        </row>
        <row r="149">
          <cell r="E149">
            <v>0</v>
          </cell>
        </row>
        <row r="150">
          <cell r="E150">
            <v>935.26</v>
          </cell>
        </row>
        <row r="151">
          <cell r="E151">
            <v>0</v>
          </cell>
        </row>
        <row r="152">
          <cell r="E152">
            <v>4438.29</v>
          </cell>
        </row>
        <row r="158">
          <cell r="E158">
            <v>0</v>
          </cell>
        </row>
        <row r="159">
          <cell r="E159">
            <v>0</v>
          </cell>
        </row>
        <row r="160">
          <cell r="E160">
            <v>0</v>
          </cell>
        </row>
        <row r="161">
          <cell r="E161">
            <v>0</v>
          </cell>
        </row>
        <row r="162">
          <cell r="E162">
            <v>0</v>
          </cell>
        </row>
        <row r="163">
          <cell r="E163">
            <v>1002.49</v>
          </cell>
        </row>
        <row r="165">
          <cell r="E165">
            <v>0</v>
          </cell>
        </row>
        <row r="166">
          <cell r="E166">
            <v>0</v>
          </cell>
        </row>
        <row r="167">
          <cell r="E167">
            <v>0</v>
          </cell>
        </row>
        <row r="168">
          <cell r="E168">
            <v>0</v>
          </cell>
        </row>
        <row r="169">
          <cell r="E169">
            <v>0</v>
          </cell>
        </row>
        <row r="170">
          <cell r="E170">
            <v>608.29999999999995</v>
          </cell>
        </row>
        <row r="175">
          <cell r="E175">
            <v>0</v>
          </cell>
        </row>
        <row r="176">
          <cell r="E176">
            <v>274.05</v>
          </cell>
        </row>
        <row r="177">
          <cell r="E177">
            <v>0</v>
          </cell>
        </row>
        <row r="178">
          <cell r="E178">
            <v>0</v>
          </cell>
        </row>
        <row r="179">
          <cell r="E179">
            <v>0</v>
          </cell>
        </row>
        <row r="180">
          <cell r="E180">
            <v>70.08</v>
          </cell>
        </row>
        <row r="182">
          <cell r="E182">
            <v>0</v>
          </cell>
        </row>
        <row r="183">
          <cell r="E183">
            <v>274.05</v>
          </cell>
        </row>
        <row r="184">
          <cell r="E184">
            <v>0</v>
          </cell>
        </row>
        <row r="185">
          <cell r="E185">
            <v>0</v>
          </cell>
        </row>
        <row r="186">
          <cell r="E186">
            <v>0</v>
          </cell>
        </row>
        <row r="187">
          <cell r="E187">
            <v>70.08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RAL"/>
      <sheetName val="ANO 2022"/>
    </sheetNames>
    <sheetDataSet>
      <sheetData sheetId="0">
        <row r="15">
          <cell r="E15">
            <v>433053.2</v>
          </cell>
        </row>
        <row r="16">
          <cell r="E16">
            <v>0</v>
          </cell>
        </row>
        <row r="17">
          <cell r="E17">
            <v>0</v>
          </cell>
        </row>
        <row r="18">
          <cell r="E18">
            <v>0</v>
          </cell>
        </row>
        <row r="19">
          <cell r="E19">
            <v>0</v>
          </cell>
        </row>
        <row r="20">
          <cell r="E20">
            <v>0</v>
          </cell>
        </row>
      </sheetData>
      <sheetData sheetId="1">
        <row r="6">
          <cell r="E6">
            <v>519663.87</v>
          </cell>
        </row>
        <row r="7">
          <cell r="E7">
            <v>0</v>
          </cell>
        </row>
        <row r="8">
          <cell r="E8">
            <v>0</v>
          </cell>
        </row>
        <row r="9">
          <cell r="E9">
            <v>0</v>
          </cell>
        </row>
        <row r="10">
          <cell r="E10">
            <v>0</v>
          </cell>
        </row>
        <row r="11">
          <cell r="E11">
            <v>794.71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vh_unidad_gestão_estadual_RH_a"/>
      <sheetName val="ins_conselho_estadual_RH_a"/>
      <sheetName val="ins_comite_bacia_estadual_a"/>
      <sheetName val="pln_plano_estadual_RH_a"/>
      <sheetName val="pln_plano_bacia_estadual_a"/>
      <sheetName val="ins_agencia_bacia_estadual_a"/>
      <sheetName val="pln_enquadram_bacia_estadual_a"/>
      <sheetName val="reg_cobranca_bacia_estadual_a"/>
      <sheetName val="ins_ato_normativo_interesse_nac"/>
      <sheetName val="qld_monitoram_QA_estadual_p_1"/>
      <sheetName val="qld_monitoram_QA_estadual_p_2"/>
      <sheetName val="lista_tipo_corpo_hídrico"/>
      <sheetName val="lista_situação_plano"/>
      <sheetName val="lista_situação_cobrança"/>
      <sheetName val="lista_status_qualidade"/>
      <sheetName val="lista_setores_usuários"/>
      <sheetName val="lista_booleano_estendido"/>
      <sheetName val="lista_prefixo_atributo"/>
      <sheetName val="lista_prefixo_geometria"/>
      <sheetName val="lista_trigrama_sistema"/>
      <sheetName val="lista_trigrama_tabela"/>
      <sheetName val="lista_dominio_corpo_hidrico"/>
      <sheetName val="lista_tipo_dado"/>
      <sheetName val="lista_requisito"/>
      <sheetName val="lista_nome_ufe"/>
      <sheetName val="lista_sigla_ufe"/>
      <sheetName val="lista_nome_rhi"/>
      <sheetName val="lista_nome_ugh"/>
      <sheetName val="lista_an_ref"/>
      <sheetName val="grau_min_seg-para-grau_decim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4">
          <cell r="Q14">
            <v>891993.16</v>
          </cell>
          <cell r="R14">
            <v>3218789.76</v>
          </cell>
          <cell r="S14">
            <v>1332181.0900000001</v>
          </cell>
          <cell r="T14">
            <v>262663.55</v>
          </cell>
          <cell r="U14">
            <v>118222.2</v>
          </cell>
          <cell r="V14">
            <v>60222.2</v>
          </cell>
          <cell r="W14">
            <v>402375.97</v>
          </cell>
          <cell r="X14">
            <v>43965.78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7703">
          <cell r="L47703">
            <v>194752796.60861531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6230">
          <cell r="L46230">
            <v>183637432.35507777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8106">
          <cell r="L48106">
            <v>174279568.86276793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8225">
          <cell r="L48225">
            <v>220006959.16615331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8166">
          <cell r="L48166">
            <v>235848985.79446113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BS"/>
    </sheetNames>
    <sheetDataSet>
      <sheetData sheetId="0">
        <row r="496">
          <cell r="L496">
            <v>28220682.090000022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8521">
          <cell r="L48521">
            <v>255479229.05444509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xport"/>
    </sheetNames>
    <sheetDataSet>
      <sheetData sheetId="0">
        <row r="48853">
          <cell r="L48853">
            <v>272762833.60246146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dvh_unidad_gestão_estadual_RH_a"/>
      <sheetName val="ins_conselho_estadual_RH_a"/>
      <sheetName val="ins_comite_bacia_estadual_a"/>
      <sheetName val="pln_plano_estadual_RH_a"/>
      <sheetName val="pln_plano_bacia_estadual_a"/>
      <sheetName val="ins_agencia_bacia_estadual_a"/>
      <sheetName val="pln_enquadram_bacia_estadual_a"/>
      <sheetName val="ins_ato_normativo_interesse_nac"/>
      <sheetName val="reg_cobranca_bacia_estadual_a"/>
      <sheetName val="qld_monitoram_QA_estadual_p_1"/>
      <sheetName val="qld_monitoram_QA_estadual_p_2"/>
      <sheetName val="lista_tipo_corpo_hídrico"/>
      <sheetName val="lista_situação_plano"/>
      <sheetName val="lista_situação_cobrança"/>
      <sheetName val="lista_status_qualidade"/>
      <sheetName val="lista_setores_usuários"/>
      <sheetName val="lista_booleano_estendido"/>
      <sheetName val="lista_prefixo_atributo"/>
      <sheetName val="lista_prefixo_geometria"/>
      <sheetName val="lista_trigrama_sistema"/>
      <sheetName val="lista_trigrama_tabela"/>
      <sheetName val="lista_dominio_corpo_hidrico"/>
      <sheetName val="lista_tipo_dado"/>
      <sheetName val="lista_requisito"/>
      <sheetName val="lista_nome_ufe"/>
      <sheetName val="lista_sigla_ufe"/>
      <sheetName val="lista_nome_rhi"/>
      <sheetName val="lista_nome_ugh"/>
      <sheetName val="lista_an_ref"/>
      <sheetName val="grau_min_seg-para-grau_decim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1">
          <cell r="Q21">
            <v>0</v>
          </cell>
          <cell r="R21">
            <v>3330476.7</v>
          </cell>
          <cell r="S21">
            <v>1134590.45</v>
          </cell>
          <cell r="T21">
            <v>221485.15</v>
          </cell>
          <cell r="U21">
            <v>0</v>
          </cell>
          <cell r="V21">
            <v>2247298.1800000002</v>
          </cell>
          <cell r="W21">
            <v>818773.85</v>
          </cell>
          <cell r="X21">
            <v>207127.38</v>
          </cell>
        </row>
        <row r="33">
          <cell r="Q33">
            <v>0</v>
          </cell>
          <cell r="R33">
            <v>3033835.92</v>
          </cell>
          <cell r="S33">
            <v>2325746.31</v>
          </cell>
          <cell r="T33">
            <v>776439.63</v>
          </cell>
          <cell r="U33">
            <v>0</v>
          </cell>
          <cell r="V33">
            <v>1631257.53</v>
          </cell>
          <cell r="W33">
            <v>2231326.71</v>
          </cell>
          <cell r="X33">
            <v>578909.99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J 2019"/>
    </sheetNames>
    <sheetDataSet>
      <sheetData sheetId="0">
        <row r="205">
          <cell r="L205">
            <v>20694291.329999994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J 2020"/>
    </sheetNames>
    <sheetDataSet>
      <sheetData sheetId="0">
        <row r="151">
          <cell r="L151">
            <v>21583744.079999998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CJ 2021"/>
    </sheetNames>
    <sheetDataSet>
      <sheetData sheetId="0">
        <row r="135">
          <cell r="L135">
            <v>23622501.490000002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brancaAprovada (4)"/>
    </sheetNames>
    <sheetDataSet>
      <sheetData sheetId="0">
        <row r="136">
          <cell r="L136">
            <v>27138245.299999993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J201"/>
  <sheetViews>
    <sheetView tabSelected="1" zoomScaleNormal="100" workbookViewId="0">
      <pane xSplit="4" ySplit="4" topLeftCell="FU5" activePane="bottomRight" state="frozen"/>
      <selection pane="topRight" activeCell="E1" sqref="E1"/>
      <selection pane="bottomLeft" activeCell="A5" sqref="A5"/>
      <selection pane="bottomRight" sqref="A1:GE1"/>
    </sheetView>
  </sheetViews>
  <sheetFormatPr defaultRowHeight="15" outlineLevelCol="1" x14ac:dyDescent="0.25"/>
  <cols>
    <col min="1" max="1" width="18.140625" style="5" customWidth="1"/>
    <col min="2" max="2" width="43.85546875" style="5" customWidth="1"/>
    <col min="3" max="3" width="8.5703125" style="5" bestFit="1" customWidth="1"/>
    <col min="4" max="4" width="7.5703125" style="5" customWidth="1"/>
    <col min="5" max="5" width="9.85546875" style="5" bestFit="1" customWidth="1"/>
    <col min="6" max="6" width="11.5703125" style="5" bestFit="1" customWidth="1"/>
    <col min="7" max="7" width="12.42578125" style="5" customWidth="1"/>
    <col min="8" max="14" width="11.5703125" style="5" bestFit="1" customWidth="1"/>
    <col min="15" max="21" width="12.7109375" style="5" bestFit="1" customWidth="1"/>
    <col min="22" max="39" width="14" style="5" bestFit="1" customWidth="1"/>
    <col min="40" max="42" width="14" style="5" customWidth="1"/>
    <col min="43" max="44" width="14" style="5" bestFit="1" customWidth="1"/>
    <col min="45" max="45" width="14" style="5" hidden="1" customWidth="1" outlineLevel="1"/>
    <col min="46" max="47" width="12.7109375" style="5" hidden="1" customWidth="1" outlineLevel="1"/>
    <col min="48" max="48" width="13.42578125" style="5" hidden="1" customWidth="1" outlineLevel="1"/>
    <col min="49" max="49" width="12.5703125" style="5" hidden="1" customWidth="1" outlineLevel="1"/>
    <col min="50" max="50" width="11.5703125" style="5" hidden="1" customWidth="1" outlineLevel="1"/>
    <col min="51" max="51" width="13.85546875" style="5" customWidth="1" collapsed="1"/>
    <col min="52" max="52" width="14" style="5" hidden="1" customWidth="1" outlineLevel="1"/>
    <col min="53" max="54" width="12.7109375" style="5" hidden="1" customWidth="1" outlineLevel="1"/>
    <col min="55" max="55" width="13.42578125" style="5" hidden="1" customWidth="1" outlineLevel="1"/>
    <col min="56" max="56" width="12.5703125" style="5" hidden="1" customWidth="1" outlineLevel="1"/>
    <col min="57" max="57" width="11.5703125" style="5" hidden="1" customWidth="1" outlineLevel="1"/>
    <col min="58" max="58" width="14" style="5" customWidth="1" collapsed="1"/>
    <col min="59" max="64" width="14" style="5" hidden="1" customWidth="1" outlineLevel="1"/>
    <col min="65" max="65" width="14" style="5" customWidth="1" collapsed="1"/>
    <col min="66" max="71" width="14" style="5" hidden="1" customWidth="1" outlineLevel="1"/>
    <col min="72" max="72" width="14" style="5" customWidth="1" collapsed="1"/>
    <col min="73" max="78" width="14" style="5" hidden="1" customWidth="1" outlineLevel="1"/>
    <col min="79" max="79" width="14" style="5" customWidth="1" collapsed="1"/>
    <col min="80" max="85" width="14" style="5" hidden="1" customWidth="1" outlineLevel="1"/>
    <col min="86" max="86" width="14" style="5" customWidth="1" collapsed="1"/>
    <col min="87" max="92" width="14" style="5" hidden="1" customWidth="1" outlineLevel="1"/>
    <col min="93" max="93" width="14" style="5" customWidth="1" collapsed="1"/>
    <col min="94" max="99" width="14" style="5" hidden="1" customWidth="1" outlineLevel="1"/>
    <col min="100" max="100" width="14" style="5" customWidth="1" collapsed="1"/>
    <col min="101" max="106" width="14" style="5" hidden="1" customWidth="1" outlineLevel="1"/>
    <col min="107" max="107" width="14" style="5" customWidth="1" collapsed="1"/>
    <col min="108" max="113" width="14" style="5" hidden="1" customWidth="1" outlineLevel="1"/>
    <col min="114" max="114" width="14" style="5" customWidth="1" collapsed="1"/>
    <col min="115" max="120" width="14" style="5" hidden="1" customWidth="1" outlineLevel="1"/>
    <col min="121" max="121" width="14" style="5" customWidth="1" collapsed="1"/>
    <col min="122" max="127" width="14" style="5" hidden="1" customWidth="1" outlineLevel="1"/>
    <col min="128" max="128" width="14" style="5" customWidth="1" collapsed="1"/>
    <col min="129" max="134" width="14" style="5" hidden="1" customWidth="1" outlineLevel="1"/>
    <col min="135" max="135" width="14" style="5" customWidth="1" collapsed="1"/>
    <col min="136" max="141" width="14" style="5" hidden="1" customWidth="1" outlineLevel="1"/>
    <col min="142" max="142" width="14" style="5" customWidth="1" collapsed="1"/>
    <col min="143" max="148" width="14" style="5" hidden="1" customWidth="1" outlineLevel="1"/>
    <col min="149" max="149" width="14" style="5" customWidth="1" collapsed="1"/>
    <col min="150" max="155" width="14" style="5" hidden="1" customWidth="1" outlineLevel="1"/>
    <col min="156" max="156" width="14" style="5" customWidth="1" collapsed="1"/>
    <col min="157" max="162" width="14" style="5" hidden="1" customWidth="1" outlineLevel="1"/>
    <col min="163" max="163" width="14" style="5" customWidth="1" collapsed="1"/>
    <col min="164" max="169" width="14" style="5" hidden="1" customWidth="1" outlineLevel="1"/>
    <col min="170" max="170" width="14" style="5" customWidth="1" collapsed="1"/>
    <col min="171" max="176" width="14" style="5" hidden="1" customWidth="1" outlineLevel="1"/>
    <col min="177" max="177" width="14" style="5" customWidth="1" collapsed="1"/>
    <col min="178" max="183" width="14" style="5" hidden="1" customWidth="1" outlineLevel="1"/>
    <col min="184" max="184" width="14" style="5" customWidth="1" collapsed="1"/>
    <col min="185" max="186" width="18" style="5" customWidth="1"/>
    <col min="187" max="187" width="15.5703125" bestFit="1" customWidth="1"/>
    <col min="189" max="189" width="15.140625" customWidth="1"/>
    <col min="190" max="190" width="15" bestFit="1" customWidth="1"/>
    <col min="191" max="192" width="15.28515625" customWidth="1"/>
  </cols>
  <sheetData>
    <row r="1" spans="1:192" ht="18" x14ac:dyDescent="0.25">
      <c r="A1" s="238" t="s">
        <v>68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  <c r="R1" s="239"/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DW1" s="239"/>
      <c r="DX1" s="239"/>
      <c r="DY1" s="239"/>
      <c r="DZ1" s="239"/>
      <c r="EA1" s="239"/>
      <c r="EB1" s="239"/>
      <c r="EC1" s="239"/>
      <c r="ED1" s="239"/>
      <c r="EE1" s="239"/>
      <c r="EF1" s="239"/>
      <c r="EG1" s="239"/>
      <c r="EH1" s="239"/>
      <c r="EI1" s="239"/>
      <c r="EJ1" s="239"/>
      <c r="EK1" s="239"/>
      <c r="EL1" s="239"/>
      <c r="EM1" s="239"/>
      <c r="EN1" s="239"/>
      <c r="EO1" s="239"/>
      <c r="EP1" s="239"/>
      <c r="EQ1" s="239"/>
      <c r="ER1" s="239"/>
      <c r="ES1" s="239"/>
      <c r="ET1" s="239"/>
      <c r="EU1" s="239"/>
      <c r="EV1" s="239"/>
      <c r="EW1" s="239"/>
      <c r="EX1" s="239"/>
      <c r="EY1" s="239"/>
      <c r="EZ1" s="239"/>
      <c r="FA1" s="239"/>
      <c r="FB1" s="239"/>
      <c r="FC1" s="239"/>
      <c r="FD1" s="239"/>
      <c r="FE1" s="239"/>
      <c r="FF1" s="239"/>
      <c r="FG1" s="239"/>
      <c r="FH1" s="239"/>
      <c r="FI1" s="239"/>
      <c r="FJ1" s="239"/>
      <c r="FK1" s="239"/>
      <c r="FL1" s="239"/>
      <c r="FM1" s="239"/>
      <c r="FN1" s="239"/>
      <c r="FO1" s="239"/>
      <c r="FP1" s="239"/>
      <c r="FQ1" s="239"/>
      <c r="FR1" s="239"/>
      <c r="FS1" s="239"/>
      <c r="FT1" s="239"/>
      <c r="FU1" s="239"/>
      <c r="FV1" s="239"/>
      <c r="FW1" s="239"/>
      <c r="FX1" s="239"/>
      <c r="FY1" s="239"/>
      <c r="FZ1" s="239"/>
      <c r="GA1" s="239"/>
      <c r="GB1" s="239"/>
      <c r="GC1" s="239"/>
      <c r="GD1" s="239"/>
      <c r="GE1" s="240"/>
    </row>
    <row r="2" spans="1:192" s="5" customFormat="1" ht="12.75" x14ac:dyDescent="0.2">
      <c r="A2" s="241" t="s">
        <v>0</v>
      </c>
      <c r="B2" s="242"/>
      <c r="C2" s="242" t="s">
        <v>1</v>
      </c>
      <c r="D2" s="242" t="s">
        <v>2</v>
      </c>
      <c r="E2" s="243">
        <v>1996</v>
      </c>
      <c r="F2" s="243"/>
      <c r="G2" s="243">
        <v>1997</v>
      </c>
      <c r="H2" s="243"/>
      <c r="I2" s="243">
        <v>1998</v>
      </c>
      <c r="J2" s="243"/>
      <c r="K2" s="243">
        <v>1999</v>
      </c>
      <c r="L2" s="243"/>
      <c r="M2" s="243">
        <v>2000</v>
      </c>
      <c r="N2" s="243"/>
      <c r="O2" s="243">
        <v>2001</v>
      </c>
      <c r="P2" s="243"/>
      <c r="Q2" s="243">
        <v>2002</v>
      </c>
      <c r="R2" s="243"/>
      <c r="S2" s="243">
        <v>2003</v>
      </c>
      <c r="T2" s="243"/>
      <c r="U2" s="243">
        <v>2004</v>
      </c>
      <c r="V2" s="243"/>
      <c r="W2" s="243">
        <v>2005</v>
      </c>
      <c r="X2" s="243"/>
      <c r="Y2" s="243">
        <v>2006</v>
      </c>
      <c r="Z2" s="243"/>
      <c r="AA2" s="243">
        <v>2007</v>
      </c>
      <c r="AB2" s="243"/>
      <c r="AC2" s="243">
        <v>2008</v>
      </c>
      <c r="AD2" s="243"/>
      <c r="AE2" s="243">
        <v>2009</v>
      </c>
      <c r="AF2" s="243"/>
      <c r="AG2" s="243">
        <v>2010</v>
      </c>
      <c r="AH2" s="243"/>
      <c r="AI2" s="243">
        <v>2011</v>
      </c>
      <c r="AJ2" s="243"/>
      <c r="AK2" s="243">
        <v>2012</v>
      </c>
      <c r="AL2" s="243"/>
      <c r="AM2" s="243">
        <v>2013</v>
      </c>
      <c r="AN2" s="243"/>
      <c r="AO2" s="230">
        <v>2014</v>
      </c>
      <c r="AP2" s="232"/>
      <c r="AQ2" s="230">
        <v>2015</v>
      </c>
      <c r="AR2" s="232"/>
      <c r="AS2" s="230">
        <v>2016</v>
      </c>
      <c r="AT2" s="231"/>
      <c r="AU2" s="231"/>
      <c r="AV2" s="231"/>
      <c r="AW2" s="231"/>
      <c r="AX2" s="231"/>
      <c r="AY2" s="231"/>
      <c r="AZ2" s="231"/>
      <c r="BA2" s="231"/>
      <c r="BB2" s="231"/>
      <c r="BC2" s="231"/>
      <c r="BD2" s="231"/>
      <c r="BE2" s="231"/>
      <c r="BF2" s="232"/>
      <c r="BG2" s="230">
        <v>2017</v>
      </c>
      <c r="BH2" s="231"/>
      <c r="BI2" s="231"/>
      <c r="BJ2" s="231"/>
      <c r="BK2" s="231"/>
      <c r="BL2" s="231"/>
      <c r="BM2" s="231"/>
      <c r="BN2" s="231"/>
      <c r="BO2" s="231"/>
      <c r="BP2" s="231"/>
      <c r="BQ2" s="231"/>
      <c r="BR2" s="231"/>
      <c r="BS2" s="231"/>
      <c r="BT2" s="232"/>
      <c r="BU2" s="230">
        <v>2018</v>
      </c>
      <c r="BV2" s="231"/>
      <c r="BW2" s="231"/>
      <c r="BX2" s="231"/>
      <c r="BY2" s="231"/>
      <c r="BZ2" s="231"/>
      <c r="CA2" s="231"/>
      <c r="CB2" s="231"/>
      <c r="CC2" s="231"/>
      <c r="CD2" s="231"/>
      <c r="CE2" s="231"/>
      <c r="CF2" s="231"/>
      <c r="CG2" s="231"/>
      <c r="CH2" s="232"/>
      <c r="CI2" s="230">
        <v>2019</v>
      </c>
      <c r="CJ2" s="231"/>
      <c r="CK2" s="231"/>
      <c r="CL2" s="231"/>
      <c r="CM2" s="231"/>
      <c r="CN2" s="231"/>
      <c r="CO2" s="231"/>
      <c r="CP2" s="231"/>
      <c r="CQ2" s="231"/>
      <c r="CR2" s="231"/>
      <c r="CS2" s="231"/>
      <c r="CT2" s="231"/>
      <c r="CU2" s="231"/>
      <c r="CV2" s="232"/>
      <c r="CW2" s="230">
        <v>2020</v>
      </c>
      <c r="CX2" s="231"/>
      <c r="CY2" s="231"/>
      <c r="CZ2" s="231"/>
      <c r="DA2" s="231"/>
      <c r="DB2" s="231"/>
      <c r="DC2" s="231"/>
      <c r="DD2" s="231"/>
      <c r="DE2" s="231"/>
      <c r="DF2" s="231"/>
      <c r="DG2" s="231"/>
      <c r="DH2" s="231"/>
      <c r="DI2" s="231"/>
      <c r="DJ2" s="232"/>
      <c r="DK2" s="230">
        <v>2021</v>
      </c>
      <c r="DL2" s="231"/>
      <c r="DM2" s="231"/>
      <c r="DN2" s="231"/>
      <c r="DO2" s="231"/>
      <c r="DP2" s="231"/>
      <c r="DQ2" s="231"/>
      <c r="DR2" s="231"/>
      <c r="DS2" s="231"/>
      <c r="DT2" s="231"/>
      <c r="DU2" s="231"/>
      <c r="DV2" s="231"/>
      <c r="DW2" s="231"/>
      <c r="DX2" s="232"/>
      <c r="DY2" s="230">
        <v>2022</v>
      </c>
      <c r="DZ2" s="231"/>
      <c r="EA2" s="231"/>
      <c r="EB2" s="231"/>
      <c r="EC2" s="231"/>
      <c r="ED2" s="231"/>
      <c r="EE2" s="231"/>
      <c r="EF2" s="231"/>
      <c r="EG2" s="231"/>
      <c r="EH2" s="231"/>
      <c r="EI2" s="231"/>
      <c r="EJ2" s="231"/>
      <c r="EK2" s="231"/>
      <c r="EL2" s="232"/>
      <c r="EM2" s="230">
        <v>2023</v>
      </c>
      <c r="EN2" s="231"/>
      <c r="EO2" s="231"/>
      <c r="EP2" s="231"/>
      <c r="EQ2" s="231"/>
      <c r="ER2" s="231"/>
      <c r="ES2" s="231"/>
      <c r="ET2" s="231"/>
      <c r="EU2" s="231"/>
      <c r="EV2" s="231"/>
      <c r="EW2" s="231"/>
      <c r="EX2" s="231"/>
      <c r="EY2" s="231"/>
      <c r="EZ2" s="232"/>
      <c r="FA2" s="230">
        <v>2024</v>
      </c>
      <c r="FB2" s="231"/>
      <c r="FC2" s="231"/>
      <c r="FD2" s="231"/>
      <c r="FE2" s="231"/>
      <c r="FF2" s="231"/>
      <c r="FG2" s="231"/>
      <c r="FH2" s="231"/>
      <c r="FI2" s="231"/>
      <c r="FJ2" s="231"/>
      <c r="FK2" s="231"/>
      <c r="FL2" s="231"/>
      <c r="FM2" s="231"/>
      <c r="FN2" s="232"/>
      <c r="FO2" s="230">
        <v>2025</v>
      </c>
      <c r="FP2" s="231"/>
      <c r="FQ2" s="231"/>
      <c r="FR2" s="231"/>
      <c r="FS2" s="231"/>
      <c r="FT2" s="231"/>
      <c r="FU2" s="231"/>
      <c r="FV2" s="231"/>
      <c r="FW2" s="231"/>
      <c r="FX2" s="231"/>
      <c r="FY2" s="231"/>
      <c r="FZ2" s="231"/>
      <c r="GA2" s="231"/>
      <c r="GB2" s="232"/>
      <c r="GC2" s="230" t="s">
        <v>3</v>
      </c>
      <c r="GD2" s="232"/>
      <c r="GE2" s="220" t="s">
        <v>4</v>
      </c>
    </row>
    <row r="3" spans="1:192" s="5" customFormat="1" ht="15" customHeight="1" x14ac:dyDescent="0.2">
      <c r="A3" s="241"/>
      <c r="B3" s="242"/>
      <c r="C3" s="242"/>
      <c r="D3" s="242"/>
      <c r="E3" s="37" t="s">
        <v>5</v>
      </c>
      <c r="F3" s="37" t="s">
        <v>6</v>
      </c>
      <c r="G3" s="37" t="s">
        <v>5</v>
      </c>
      <c r="H3" s="37" t="s">
        <v>6</v>
      </c>
      <c r="I3" s="37" t="s">
        <v>5</v>
      </c>
      <c r="J3" s="37" t="s">
        <v>6</v>
      </c>
      <c r="K3" s="37" t="s">
        <v>5</v>
      </c>
      <c r="L3" s="37" t="s">
        <v>6</v>
      </c>
      <c r="M3" s="37" t="s">
        <v>5</v>
      </c>
      <c r="N3" s="37" t="s">
        <v>6</v>
      </c>
      <c r="O3" s="37" t="s">
        <v>5</v>
      </c>
      <c r="P3" s="37" t="s">
        <v>6</v>
      </c>
      <c r="Q3" s="37" t="s">
        <v>5</v>
      </c>
      <c r="R3" s="37" t="s">
        <v>6</v>
      </c>
      <c r="S3" s="37" t="s">
        <v>5</v>
      </c>
      <c r="T3" s="37" t="s">
        <v>6</v>
      </c>
      <c r="U3" s="37" t="s">
        <v>5</v>
      </c>
      <c r="V3" s="37" t="s">
        <v>6</v>
      </c>
      <c r="W3" s="37" t="s">
        <v>5</v>
      </c>
      <c r="X3" s="37" t="s">
        <v>6</v>
      </c>
      <c r="Y3" s="37" t="s">
        <v>5</v>
      </c>
      <c r="Z3" s="37" t="s">
        <v>6</v>
      </c>
      <c r="AA3" s="37" t="s">
        <v>5</v>
      </c>
      <c r="AB3" s="37" t="s">
        <v>6</v>
      </c>
      <c r="AC3" s="37" t="s">
        <v>5</v>
      </c>
      <c r="AD3" s="37" t="s">
        <v>6</v>
      </c>
      <c r="AE3" s="37" t="s">
        <v>5</v>
      </c>
      <c r="AF3" s="37" t="s">
        <v>6</v>
      </c>
      <c r="AG3" s="37" t="s">
        <v>5</v>
      </c>
      <c r="AH3" s="37" t="s">
        <v>6</v>
      </c>
      <c r="AI3" s="37" t="s">
        <v>5</v>
      </c>
      <c r="AJ3" s="37" t="s">
        <v>6</v>
      </c>
      <c r="AK3" s="37" t="s">
        <v>5</v>
      </c>
      <c r="AL3" s="37" t="s">
        <v>6</v>
      </c>
      <c r="AM3" s="37" t="s">
        <v>5</v>
      </c>
      <c r="AN3" s="37" t="s">
        <v>6</v>
      </c>
      <c r="AO3" s="37" t="s">
        <v>78</v>
      </c>
      <c r="AP3" s="37" t="s">
        <v>6</v>
      </c>
      <c r="AQ3" s="37" t="s">
        <v>78</v>
      </c>
      <c r="AR3" s="37" t="s">
        <v>6</v>
      </c>
      <c r="AS3" s="227" t="s">
        <v>78</v>
      </c>
      <c r="AT3" s="228"/>
      <c r="AU3" s="228"/>
      <c r="AV3" s="228"/>
      <c r="AW3" s="228"/>
      <c r="AX3" s="228"/>
      <c r="AY3" s="229"/>
      <c r="AZ3" s="227" t="s">
        <v>6</v>
      </c>
      <c r="BA3" s="228"/>
      <c r="BB3" s="228"/>
      <c r="BC3" s="228"/>
      <c r="BD3" s="228"/>
      <c r="BE3" s="228"/>
      <c r="BF3" s="229"/>
      <c r="BG3" s="227" t="s">
        <v>78</v>
      </c>
      <c r="BH3" s="228"/>
      <c r="BI3" s="228"/>
      <c r="BJ3" s="228"/>
      <c r="BK3" s="228"/>
      <c r="BL3" s="228"/>
      <c r="BM3" s="229"/>
      <c r="BN3" s="227" t="s">
        <v>6</v>
      </c>
      <c r="BO3" s="228"/>
      <c r="BP3" s="228"/>
      <c r="BQ3" s="228"/>
      <c r="BR3" s="228"/>
      <c r="BS3" s="228"/>
      <c r="BT3" s="229"/>
      <c r="BU3" s="227" t="s">
        <v>78</v>
      </c>
      <c r="BV3" s="228"/>
      <c r="BW3" s="228"/>
      <c r="BX3" s="228"/>
      <c r="BY3" s="228"/>
      <c r="BZ3" s="228"/>
      <c r="CA3" s="229"/>
      <c r="CB3" s="227" t="s">
        <v>6</v>
      </c>
      <c r="CC3" s="228"/>
      <c r="CD3" s="228"/>
      <c r="CE3" s="228"/>
      <c r="CF3" s="228"/>
      <c r="CG3" s="228"/>
      <c r="CH3" s="229"/>
      <c r="CI3" s="227" t="s">
        <v>78</v>
      </c>
      <c r="CJ3" s="228"/>
      <c r="CK3" s="228"/>
      <c r="CL3" s="228"/>
      <c r="CM3" s="228"/>
      <c r="CN3" s="228"/>
      <c r="CO3" s="229"/>
      <c r="CP3" s="227" t="s">
        <v>6</v>
      </c>
      <c r="CQ3" s="228"/>
      <c r="CR3" s="228"/>
      <c r="CS3" s="228"/>
      <c r="CT3" s="228"/>
      <c r="CU3" s="228"/>
      <c r="CV3" s="229"/>
      <c r="CW3" s="227" t="s">
        <v>78</v>
      </c>
      <c r="CX3" s="228"/>
      <c r="CY3" s="228"/>
      <c r="CZ3" s="228"/>
      <c r="DA3" s="228"/>
      <c r="DB3" s="228"/>
      <c r="DC3" s="229"/>
      <c r="DD3" s="227" t="s">
        <v>6</v>
      </c>
      <c r="DE3" s="228"/>
      <c r="DF3" s="228"/>
      <c r="DG3" s="228"/>
      <c r="DH3" s="228"/>
      <c r="DI3" s="228"/>
      <c r="DJ3" s="229"/>
      <c r="DK3" s="227" t="s">
        <v>78</v>
      </c>
      <c r="DL3" s="228"/>
      <c r="DM3" s="228"/>
      <c r="DN3" s="228"/>
      <c r="DO3" s="228"/>
      <c r="DP3" s="228"/>
      <c r="DQ3" s="229"/>
      <c r="DR3" s="227" t="s">
        <v>6</v>
      </c>
      <c r="DS3" s="228"/>
      <c r="DT3" s="228"/>
      <c r="DU3" s="228"/>
      <c r="DV3" s="228"/>
      <c r="DW3" s="228"/>
      <c r="DX3" s="229"/>
      <c r="DY3" s="227" t="s">
        <v>78</v>
      </c>
      <c r="DZ3" s="228"/>
      <c r="EA3" s="228"/>
      <c r="EB3" s="228"/>
      <c r="EC3" s="228"/>
      <c r="ED3" s="228"/>
      <c r="EE3" s="229"/>
      <c r="EF3" s="227" t="s">
        <v>6</v>
      </c>
      <c r="EG3" s="228"/>
      <c r="EH3" s="228"/>
      <c r="EI3" s="228"/>
      <c r="EJ3" s="228"/>
      <c r="EK3" s="228"/>
      <c r="EL3" s="229"/>
      <c r="EM3" s="227" t="s">
        <v>78</v>
      </c>
      <c r="EN3" s="228"/>
      <c r="EO3" s="228"/>
      <c r="EP3" s="228"/>
      <c r="EQ3" s="228"/>
      <c r="ER3" s="228"/>
      <c r="ES3" s="229"/>
      <c r="ET3" s="227" t="s">
        <v>6</v>
      </c>
      <c r="EU3" s="228"/>
      <c r="EV3" s="228"/>
      <c r="EW3" s="228"/>
      <c r="EX3" s="228"/>
      <c r="EY3" s="228"/>
      <c r="EZ3" s="229"/>
      <c r="FA3" s="227" t="s">
        <v>78</v>
      </c>
      <c r="FB3" s="228"/>
      <c r="FC3" s="228"/>
      <c r="FD3" s="228"/>
      <c r="FE3" s="228"/>
      <c r="FF3" s="228"/>
      <c r="FG3" s="229"/>
      <c r="FH3" s="227" t="s">
        <v>6</v>
      </c>
      <c r="FI3" s="228"/>
      <c r="FJ3" s="228"/>
      <c r="FK3" s="228"/>
      <c r="FL3" s="228"/>
      <c r="FM3" s="228"/>
      <c r="FN3" s="229"/>
      <c r="FO3" s="227" t="s">
        <v>78</v>
      </c>
      <c r="FP3" s="228"/>
      <c r="FQ3" s="228"/>
      <c r="FR3" s="228"/>
      <c r="FS3" s="228"/>
      <c r="FT3" s="228"/>
      <c r="FU3" s="229"/>
      <c r="FV3" s="227" t="s">
        <v>6</v>
      </c>
      <c r="FW3" s="228"/>
      <c r="FX3" s="228"/>
      <c r="FY3" s="228"/>
      <c r="FZ3" s="228"/>
      <c r="GA3" s="228"/>
      <c r="GB3" s="229"/>
      <c r="GC3" s="225" t="s">
        <v>5</v>
      </c>
      <c r="GD3" s="225" t="s">
        <v>6</v>
      </c>
      <c r="GE3" s="221"/>
    </row>
    <row r="4" spans="1:192" s="5" customFormat="1" ht="12.75" x14ac:dyDescent="0.2">
      <c r="A4" s="90"/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 t="s">
        <v>107</v>
      </c>
      <c r="AT4" s="37" t="s">
        <v>108</v>
      </c>
      <c r="AU4" s="37" t="s">
        <v>116</v>
      </c>
      <c r="AV4" s="37" t="s">
        <v>114</v>
      </c>
      <c r="AW4" s="37" t="s">
        <v>115</v>
      </c>
      <c r="AX4" s="37" t="s">
        <v>109</v>
      </c>
      <c r="AY4" s="37" t="s">
        <v>65</v>
      </c>
      <c r="AZ4" s="37" t="s">
        <v>107</v>
      </c>
      <c r="BA4" s="37" t="s">
        <v>108</v>
      </c>
      <c r="BB4" s="37" t="s">
        <v>116</v>
      </c>
      <c r="BC4" s="37" t="s">
        <v>114</v>
      </c>
      <c r="BD4" s="37" t="s">
        <v>115</v>
      </c>
      <c r="BE4" s="37" t="s">
        <v>109</v>
      </c>
      <c r="BF4" s="37" t="s">
        <v>65</v>
      </c>
      <c r="BG4" s="37" t="s">
        <v>107</v>
      </c>
      <c r="BH4" s="37" t="s">
        <v>108</v>
      </c>
      <c r="BI4" s="37" t="s">
        <v>116</v>
      </c>
      <c r="BJ4" s="37" t="s">
        <v>114</v>
      </c>
      <c r="BK4" s="37" t="s">
        <v>115</v>
      </c>
      <c r="BL4" s="37" t="s">
        <v>109</v>
      </c>
      <c r="BM4" s="37" t="s">
        <v>65</v>
      </c>
      <c r="BN4" s="37" t="s">
        <v>107</v>
      </c>
      <c r="BO4" s="37" t="s">
        <v>108</v>
      </c>
      <c r="BP4" s="37" t="s">
        <v>116</v>
      </c>
      <c r="BQ4" s="37" t="s">
        <v>114</v>
      </c>
      <c r="BR4" s="37" t="s">
        <v>115</v>
      </c>
      <c r="BS4" s="37" t="s">
        <v>109</v>
      </c>
      <c r="BT4" s="37" t="s">
        <v>65</v>
      </c>
      <c r="BU4" s="37" t="s">
        <v>107</v>
      </c>
      <c r="BV4" s="37" t="s">
        <v>108</v>
      </c>
      <c r="BW4" s="37" t="s">
        <v>116</v>
      </c>
      <c r="BX4" s="37" t="s">
        <v>114</v>
      </c>
      <c r="BY4" s="37" t="s">
        <v>115</v>
      </c>
      <c r="BZ4" s="37" t="s">
        <v>109</v>
      </c>
      <c r="CA4" s="37" t="s">
        <v>65</v>
      </c>
      <c r="CB4" s="37" t="s">
        <v>107</v>
      </c>
      <c r="CC4" s="37" t="s">
        <v>108</v>
      </c>
      <c r="CD4" s="37" t="s">
        <v>116</v>
      </c>
      <c r="CE4" s="37" t="s">
        <v>114</v>
      </c>
      <c r="CF4" s="37" t="s">
        <v>115</v>
      </c>
      <c r="CG4" s="37" t="s">
        <v>109</v>
      </c>
      <c r="CH4" s="37" t="s">
        <v>65</v>
      </c>
      <c r="CI4" s="37" t="s">
        <v>107</v>
      </c>
      <c r="CJ4" s="37" t="s">
        <v>108</v>
      </c>
      <c r="CK4" s="37" t="s">
        <v>116</v>
      </c>
      <c r="CL4" s="37" t="s">
        <v>114</v>
      </c>
      <c r="CM4" s="37" t="s">
        <v>115</v>
      </c>
      <c r="CN4" s="37" t="s">
        <v>109</v>
      </c>
      <c r="CO4" s="37" t="s">
        <v>65</v>
      </c>
      <c r="CP4" s="37" t="s">
        <v>107</v>
      </c>
      <c r="CQ4" s="37" t="s">
        <v>108</v>
      </c>
      <c r="CR4" s="37" t="s">
        <v>116</v>
      </c>
      <c r="CS4" s="37" t="s">
        <v>114</v>
      </c>
      <c r="CT4" s="37" t="s">
        <v>115</v>
      </c>
      <c r="CU4" s="37" t="s">
        <v>109</v>
      </c>
      <c r="CV4" s="37" t="s">
        <v>65</v>
      </c>
      <c r="CW4" s="37" t="s">
        <v>107</v>
      </c>
      <c r="CX4" s="37" t="s">
        <v>108</v>
      </c>
      <c r="CY4" s="37" t="s">
        <v>116</v>
      </c>
      <c r="CZ4" s="37" t="s">
        <v>114</v>
      </c>
      <c r="DA4" s="37" t="s">
        <v>115</v>
      </c>
      <c r="DB4" s="37" t="s">
        <v>109</v>
      </c>
      <c r="DC4" s="37" t="s">
        <v>65</v>
      </c>
      <c r="DD4" s="37" t="s">
        <v>107</v>
      </c>
      <c r="DE4" s="37" t="s">
        <v>108</v>
      </c>
      <c r="DF4" s="37" t="s">
        <v>116</v>
      </c>
      <c r="DG4" s="37" t="s">
        <v>114</v>
      </c>
      <c r="DH4" s="37" t="s">
        <v>115</v>
      </c>
      <c r="DI4" s="37" t="s">
        <v>109</v>
      </c>
      <c r="DJ4" s="37" t="s">
        <v>65</v>
      </c>
      <c r="DK4" s="37" t="s">
        <v>107</v>
      </c>
      <c r="DL4" s="37" t="s">
        <v>108</v>
      </c>
      <c r="DM4" s="37" t="s">
        <v>116</v>
      </c>
      <c r="DN4" s="37" t="s">
        <v>114</v>
      </c>
      <c r="DO4" s="37" t="s">
        <v>115</v>
      </c>
      <c r="DP4" s="37" t="s">
        <v>109</v>
      </c>
      <c r="DQ4" s="37" t="s">
        <v>65</v>
      </c>
      <c r="DR4" s="37" t="s">
        <v>107</v>
      </c>
      <c r="DS4" s="37" t="s">
        <v>108</v>
      </c>
      <c r="DT4" s="37" t="s">
        <v>116</v>
      </c>
      <c r="DU4" s="37" t="s">
        <v>114</v>
      </c>
      <c r="DV4" s="37" t="s">
        <v>115</v>
      </c>
      <c r="DW4" s="37" t="s">
        <v>109</v>
      </c>
      <c r="DX4" s="37" t="s">
        <v>65</v>
      </c>
      <c r="DY4" s="37" t="s">
        <v>107</v>
      </c>
      <c r="DZ4" s="37" t="s">
        <v>108</v>
      </c>
      <c r="EA4" s="37" t="s">
        <v>116</v>
      </c>
      <c r="EB4" s="37" t="s">
        <v>114</v>
      </c>
      <c r="EC4" s="37" t="s">
        <v>115</v>
      </c>
      <c r="ED4" s="37" t="s">
        <v>109</v>
      </c>
      <c r="EE4" s="37" t="s">
        <v>65</v>
      </c>
      <c r="EF4" s="37" t="s">
        <v>107</v>
      </c>
      <c r="EG4" s="37" t="s">
        <v>108</v>
      </c>
      <c r="EH4" s="37" t="s">
        <v>116</v>
      </c>
      <c r="EI4" s="37" t="s">
        <v>114</v>
      </c>
      <c r="EJ4" s="37" t="s">
        <v>115</v>
      </c>
      <c r="EK4" s="37" t="s">
        <v>109</v>
      </c>
      <c r="EL4" s="37" t="s">
        <v>65</v>
      </c>
      <c r="EM4" s="37" t="s">
        <v>107</v>
      </c>
      <c r="EN4" s="37" t="s">
        <v>108</v>
      </c>
      <c r="EO4" s="37" t="s">
        <v>116</v>
      </c>
      <c r="EP4" s="37" t="s">
        <v>114</v>
      </c>
      <c r="EQ4" s="37" t="s">
        <v>115</v>
      </c>
      <c r="ER4" s="37" t="s">
        <v>109</v>
      </c>
      <c r="ES4" s="37" t="s">
        <v>65</v>
      </c>
      <c r="ET4" s="37" t="s">
        <v>107</v>
      </c>
      <c r="EU4" s="37" t="s">
        <v>108</v>
      </c>
      <c r="EV4" s="37" t="s">
        <v>116</v>
      </c>
      <c r="EW4" s="37" t="s">
        <v>114</v>
      </c>
      <c r="EX4" s="37" t="s">
        <v>115</v>
      </c>
      <c r="EY4" s="37" t="s">
        <v>109</v>
      </c>
      <c r="EZ4" s="37" t="s">
        <v>65</v>
      </c>
      <c r="FA4" s="37" t="s">
        <v>107</v>
      </c>
      <c r="FB4" s="37" t="s">
        <v>108</v>
      </c>
      <c r="FC4" s="37" t="s">
        <v>116</v>
      </c>
      <c r="FD4" s="37" t="s">
        <v>114</v>
      </c>
      <c r="FE4" s="37" t="s">
        <v>115</v>
      </c>
      <c r="FF4" s="37" t="s">
        <v>109</v>
      </c>
      <c r="FG4" s="37" t="s">
        <v>65</v>
      </c>
      <c r="FH4" s="37" t="s">
        <v>107</v>
      </c>
      <c r="FI4" s="37" t="s">
        <v>108</v>
      </c>
      <c r="FJ4" s="37" t="s">
        <v>116</v>
      </c>
      <c r="FK4" s="37" t="s">
        <v>114</v>
      </c>
      <c r="FL4" s="37" t="s">
        <v>115</v>
      </c>
      <c r="FM4" s="37" t="s">
        <v>109</v>
      </c>
      <c r="FN4" s="37" t="s">
        <v>65</v>
      </c>
      <c r="FO4" s="37" t="s">
        <v>107</v>
      </c>
      <c r="FP4" s="37" t="s">
        <v>108</v>
      </c>
      <c r="FQ4" s="37" t="s">
        <v>116</v>
      </c>
      <c r="FR4" s="37" t="s">
        <v>114</v>
      </c>
      <c r="FS4" s="37" t="s">
        <v>115</v>
      </c>
      <c r="FT4" s="37" t="s">
        <v>109</v>
      </c>
      <c r="FU4" s="37" t="s">
        <v>65</v>
      </c>
      <c r="FV4" s="37" t="s">
        <v>107</v>
      </c>
      <c r="FW4" s="37" t="s">
        <v>108</v>
      </c>
      <c r="FX4" s="37" t="s">
        <v>116</v>
      </c>
      <c r="FY4" s="37" t="s">
        <v>114</v>
      </c>
      <c r="FZ4" s="37" t="s">
        <v>115</v>
      </c>
      <c r="GA4" s="37" t="s">
        <v>109</v>
      </c>
      <c r="GB4" s="37" t="s">
        <v>65</v>
      </c>
      <c r="GC4" s="226"/>
      <c r="GD4" s="226"/>
      <c r="GE4" s="222"/>
    </row>
    <row r="5" spans="1:192" s="5" customFormat="1" ht="14.25" x14ac:dyDescent="0.2">
      <c r="A5" s="247" t="s">
        <v>36</v>
      </c>
      <c r="B5" s="15" t="s">
        <v>244</v>
      </c>
      <c r="C5" s="1" t="s">
        <v>7</v>
      </c>
      <c r="D5" s="2">
        <v>37681</v>
      </c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10">
        <v>8664360.0999999996</v>
      </c>
      <c r="T5" s="10">
        <v>5904038.1600000001</v>
      </c>
      <c r="U5" s="10">
        <v>10067367.73</v>
      </c>
      <c r="V5" s="10">
        <v>5957932.7000000002</v>
      </c>
      <c r="W5" s="10">
        <v>10515169.449999999</v>
      </c>
      <c r="X5" s="10">
        <v>6271188.2400000002</v>
      </c>
      <c r="Y5" s="10">
        <v>10809800.84</v>
      </c>
      <c r="Z5" s="10">
        <v>6729143.6799999997</v>
      </c>
      <c r="AA5" s="10">
        <v>8907179.6300000008</v>
      </c>
      <c r="AB5" s="10">
        <v>6184502.9400000004</v>
      </c>
      <c r="AC5" s="10">
        <v>9160917.4900000002</v>
      </c>
      <c r="AD5" s="10">
        <v>8078975.5700000003</v>
      </c>
      <c r="AE5" s="10">
        <v>10300789.67</v>
      </c>
      <c r="AF5" s="10">
        <v>9891959.6199999992</v>
      </c>
      <c r="AG5" s="10">
        <v>10839742.439999999</v>
      </c>
      <c r="AH5" s="10">
        <v>12412154.15</v>
      </c>
      <c r="AI5" s="10">
        <v>10295162.779999999</v>
      </c>
      <c r="AJ5" s="10">
        <v>25565421.550000001</v>
      </c>
      <c r="AK5" s="10">
        <v>10065651.300000001</v>
      </c>
      <c r="AL5" s="10">
        <v>10310157.359999999</v>
      </c>
      <c r="AM5" s="10">
        <v>11305405.390000001</v>
      </c>
      <c r="AN5" s="10">
        <v>10896675.73</v>
      </c>
      <c r="AO5" s="71">
        <v>11647219</v>
      </c>
      <c r="AP5" s="10">
        <v>11524352.960000001</v>
      </c>
      <c r="AQ5" s="10">
        <v>10748778.08</v>
      </c>
      <c r="AR5" s="10">
        <v>10665785</v>
      </c>
      <c r="AS5" s="10">
        <v>7484626.4099999992</v>
      </c>
      <c r="AT5" s="10">
        <v>3284582.23</v>
      </c>
      <c r="AU5" s="10">
        <f>4214.49+68811.37</f>
        <v>73025.86</v>
      </c>
      <c r="AV5" s="10">
        <v>56886.389999999985</v>
      </c>
      <c r="AW5" s="10">
        <v>79264.52</v>
      </c>
      <c r="AX5" s="10">
        <v>23060.080000000002</v>
      </c>
      <c r="AY5" s="10">
        <f>SUM(AS5:AX5)</f>
        <v>11001445.489999998</v>
      </c>
      <c r="AZ5" s="10">
        <v>7522040.4100000011</v>
      </c>
      <c r="BA5" s="10">
        <v>3025498.35</v>
      </c>
      <c r="BB5" s="10">
        <v>48448.80000000001</v>
      </c>
      <c r="BC5" s="10">
        <v>43631.040000000001</v>
      </c>
      <c r="BD5" s="10">
        <v>79422.459999999992</v>
      </c>
      <c r="BE5" s="10">
        <v>21328.63</v>
      </c>
      <c r="BF5" s="10">
        <f>SUM(AZ5:BE5)</f>
        <v>10740369.690000003</v>
      </c>
      <c r="BG5" s="10">
        <v>8123388.2899999954</v>
      </c>
      <c r="BH5" s="10">
        <v>3534993.6999999997</v>
      </c>
      <c r="BI5" s="10">
        <f>2388.39+78658.72</f>
        <v>81047.11</v>
      </c>
      <c r="BJ5" s="10">
        <v>48956.890000000007</v>
      </c>
      <c r="BK5" s="10">
        <v>16253.23</v>
      </c>
      <c r="BL5" s="10">
        <v>14662.950000000003</v>
      </c>
      <c r="BM5" s="10">
        <f>SUM(BG5:BL5)</f>
        <v>11819302.169999994</v>
      </c>
      <c r="BN5" s="10">
        <v>8218161.8999999994</v>
      </c>
      <c r="BO5" s="10">
        <v>3369468.2000000007</v>
      </c>
      <c r="BP5" s="10">
        <v>45256.029999999992</v>
      </c>
      <c r="BQ5" s="10">
        <v>37973.19000000001</v>
      </c>
      <c r="BR5" s="10">
        <v>14447.28</v>
      </c>
      <c r="BS5" s="10">
        <v>16865.88</v>
      </c>
      <c r="BT5" s="10">
        <f>SUM(BN5:BS5)</f>
        <v>11702172.479999999</v>
      </c>
      <c r="BU5" s="10">
        <v>8539944</v>
      </c>
      <c r="BV5" s="10">
        <v>3579346</v>
      </c>
      <c r="BW5" s="10">
        <v>78492</v>
      </c>
      <c r="BX5" s="10">
        <v>29843</v>
      </c>
      <c r="BY5" s="10">
        <v>49338</v>
      </c>
      <c r="BZ5" s="10">
        <v>11057</v>
      </c>
      <c r="CA5" s="10">
        <f>SUM(BU5:BZ5)</f>
        <v>12288020</v>
      </c>
      <c r="CB5" s="10">
        <v>8646693.4600000009</v>
      </c>
      <c r="CC5" s="10">
        <v>3543633.91</v>
      </c>
      <c r="CD5" s="10">
        <v>65104</v>
      </c>
      <c r="CE5" s="10">
        <v>21112.160000000014</v>
      </c>
      <c r="CF5" s="10">
        <v>51144.1</v>
      </c>
      <c r="CG5" s="10">
        <v>18892.3</v>
      </c>
      <c r="CH5" s="10">
        <f>SUM(CB5:CG5)</f>
        <v>12346579.930000002</v>
      </c>
      <c r="CI5" s="10"/>
      <c r="CJ5" s="10"/>
      <c r="CK5" s="10"/>
      <c r="CL5" s="10"/>
      <c r="CM5" s="10"/>
      <c r="CN5" s="10"/>
      <c r="CO5" s="10">
        <f>'[1]PBS 2019'!$L$446</f>
        <v>15175794.219999995</v>
      </c>
      <c r="CP5" s="10"/>
      <c r="CQ5" s="10"/>
      <c r="CR5" s="10"/>
      <c r="CS5" s="10"/>
      <c r="CT5" s="10"/>
      <c r="CU5" s="10"/>
      <c r="CV5" s="10">
        <v>14751491.470000001</v>
      </c>
      <c r="CW5" s="10"/>
      <c r="CX5" s="10"/>
      <c r="CY5" s="10"/>
      <c r="CZ5" s="10"/>
      <c r="DA5" s="10"/>
      <c r="DB5" s="10"/>
      <c r="DC5" s="10">
        <f>'[2]PBS 2020'!$L$461</f>
        <v>23009485.819999997</v>
      </c>
      <c r="DD5" s="10"/>
      <c r="DE5" s="10"/>
      <c r="DF5" s="10"/>
      <c r="DG5" s="10"/>
      <c r="DH5" s="10"/>
      <c r="DI5" s="10"/>
      <c r="DJ5" s="10">
        <f>'[3]2020'!$R$16</f>
        <v>20727550.52</v>
      </c>
      <c r="DK5" s="10"/>
      <c r="DL5" s="10"/>
      <c r="DM5" s="10"/>
      <c r="DN5" s="10"/>
      <c r="DO5" s="10"/>
      <c r="DP5" s="10"/>
      <c r="DQ5" s="10">
        <f>'[4]PBS 2021'!$L$483</f>
        <v>23475046.130000018</v>
      </c>
      <c r="DR5" s="10"/>
      <c r="DS5" s="10"/>
      <c r="DT5" s="10"/>
      <c r="DU5" s="10"/>
      <c r="DV5" s="10"/>
      <c r="DW5" s="10"/>
      <c r="DX5" s="10">
        <f>21842748.5+5206.39</f>
        <v>21847954.890000001</v>
      </c>
      <c r="DY5" s="10"/>
      <c r="DZ5" s="10"/>
      <c r="EA5" s="10"/>
      <c r="EB5" s="10"/>
      <c r="EC5" s="10"/>
      <c r="ED5" s="10"/>
      <c r="EE5" s="10">
        <f>[5]PBS!$L$496</f>
        <v>28220682.090000022</v>
      </c>
      <c r="EF5" s="10"/>
      <c r="EG5" s="10"/>
      <c r="EH5" s="10"/>
      <c r="EI5" s="10"/>
      <c r="EJ5" s="10"/>
      <c r="EK5" s="10"/>
      <c r="EL5" s="10">
        <v>27937135.710000001</v>
      </c>
      <c r="EM5" s="10"/>
      <c r="EN5" s="10"/>
      <c r="EO5" s="10"/>
      <c r="EP5" s="10"/>
      <c r="EQ5" s="10"/>
      <c r="ER5" s="10"/>
      <c r="ES5" s="10">
        <v>29973557.749999978</v>
      </c>
      <c r="ET5" s="10"/>
      <c r="EU5" s="10"/>
      <c r="EV5" s="10"/>
      <c r="EW5" s="10"/>
      <c r="EX5" s="10"/>
      <c r="EY5" s="10"/>
      <c r="EZ5" s="10">
        <f>28762381.89+7605.66</f>
        <v>28769987.550000001</v>
      </c>
      <c r="FA5" s="10"/>
      <c r="FB5" s="10"/>
      <c r="FC5" s="10"/>
      <c r="FD5" s="10"/>
      <c r="FE5" s="10"/>
      <c r="FF5" s="10"/>
      <c r="FG5" s="10">
        <v>30541917.420000002</v>
      </c>
      <c r="FH5" s="10"/>
      <c r="FI5" s="10"/>
      <c r="FJ5" s="10"/>
      <c r="FK5" s="10"/>
      <c r="FL5" s="10"/>
      <c r="FM5" s="10"/>
      <c r="FN5" s="10">
        <f>28594238.37+26739.31</f>
        <v>28620977.68</v>
      </c>
      <c r="FO5" s="10"/>
      <c r="FP5" s="10"/>
      <c r="FQ5" s="10"/>
      <c r="FR5" s="10"/>
      <c r="FS5" s="10"/>
      <c r="FT5" s="10"/>
      <c r="FU5" s="10">
        <v>0</v>
      </c>
      <c r="FV5" s="10"/>
      <c r="FW5" s="10"/>
      <c r="FX5" s="10"/>
      <c r="FY5" s="10"/>
      <c r="FZ5" s="10"/>
      <c r="GA5" s="10"/>
      <c r="GB5" s="10">
        <v>1152144.6200000001</v>
      </c>
      <c r="GC5" s="10">
        <f>E5+G5+I5+K5+M5+O5+Q5+S5+U5+W5+Y5+AA5+AC5+AE5+AG5+AI5+AK5+AM5+AO5+AQ5+AY5+BM5+CA5+CO5+DC5+DQ5+EE5+ES5+FG5+FU5</f>
        <v>318832794.99000001</v>
      </c>
      <c r="GD5" s="10">
        <f>F5+H5+J5+L5+N5+P5+R5+T5+V5+X5+Z5+AB5+AD5+AF5+AH5+AJ5+AL5+AN5+AP5+AR5+BF5+BT5+CH5+CV5+DJ5+DX5+EL5+EZ5+FN5+GB5</f>
        <v>308988652.19999999</v>
      </c>
      <c r="GE5" s="217" t="s">
        <v>8</v>
      </c>
      <c r="GG5" s="36"/>
      <c r="GH5" s="36"/>
      <c r="GI5" s="36"/>
      <c r="GJ5" s="36"/>
    </row>
    <row r="6" spans="1:192" s="5" customFormat="1" ht="14.25" x14ac:dyDescent="0.2">
      <c r="A6" s="247"/>
      <c r="B6" s="15" t="s">
        <v>203</v>
      </c>
      <c r="C6" s="1" t="s">
        <v>7</v>
      </c>
      <c r="D6" s="2">
        <v>38718</v>
      </c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10">
        <v>10804819.5</v>
      </c>
      <c r="Z6" s="10">
        <v>10016779.369999999</v>
      </c>
      <c r="AA6" s="10">
        <v>13238455.57</v>
      </c>
      <c r="AB6" s="10">
        <v>13499062.779999999</v>
      </c>
      <c r="AC6" s="10">
        <v>17884015.120000001</v>
      </c>
      <c r="AD6" s="10">
        <v>17038837.82</v>
      </c>
      <c r="AE6" s="10">
        <v>16992940.59</v>
      </c>
      <c r="AF6" s="10">
        <v>16955757.890000001</v>
      </c>
      <c r="AG6" s="10">
        <v>17361007</v>
      </c>
      <c r="AH6" s="10">
        <v>17556785.420000002</v>
      </c>
      <c r="AI6" s="10">
        <v>16411084</v>
      </c>
      <c r="AJ6" s="10">
        <v>16515708.300000001</v>
      </c>
      <c r="AK6" s="10">
        <v>17954533.32</v>
      </c>
      <c r="AL6" s="10">
        <v>18117178.050000001</v>
      </c>
      <c r="AM6" s="10">
        <v>17863074.41</v>
      </c>
      <c r="AN6" s="10">
        <v>17542746.780000001</v>
      </c>
      <c r="AO6" s="10">
        <v>18011553</v>
      </c>
      <c r="AP6" s="10">
        <v>17130428.959999997</v>
      </c>
      <c r="AQ6" s="10">
        <v>18412699</v>
      </c>
      <c r="AR6" s="10">
        <v>17085086.77</v>
      </c>
      <c r="AS6" s="10">
        <v>18108744.740000002</v>
      </c>
      <c r="AT6" s="10">
        <v>2802793.3400000003</v>
      </c>
      <c r="AU6" s="10">
        <v>11771.140000000001</v>
      </c>
      <c r="AV6" s="10">
        <v>14783.55</v>
      </c>
      <c r="AW6" s="10">
        <v>0</v>
      </c>
      <c r="AX6" s="10">
        <v>28501.17</v>
      </c>
      <c r="AY6" s="10">
        <f>SUM(AS6:AX6)</f>
        <v>20966593.940000005</v>
      </c>
      <c r="AZ6" s="10">
        <v>7738547.0199999996</v>
      </c>
      <c r="BA6" s="10">
        <v>2600831.7499999995</v>
      </c>
      <c r="BB6" s="10">
        <v>13909.880000000001</v>
      </c>
      <c r="BC6" s="10">
        <v>8012.659999999998</v>
      </c>
      <c r="BD6" s="10">
        <v>0</v>
      </c>
      <c r="BE6" s="10">
        <v>28727.66</v>
      </c>
      <c r="BF6" s="10">
        <f>SUM(AZ6:BE6)</f>
        <v>10390028.970000001</v>
      </c>
      <c r="BG6" s="10">
        <v>16860858.890000001</v>
      </c>
      <c r="BH6" s="10">
        <v>2939805.1600000011</v>
      </c>
      <c r="BI6" s="10">
        <v>10670.05</v>
      </c>
      <c r="BJ6" s="10">
        <v>7135.15</v>
      </c>
      <c r="BK6" s="10">
        <v>0</v>
      </c>
      <c r="BL6" s="10">
        <v>34393.18</v>
      </c>
      <c r="BM6" s="10">
        <f>SUM(BG6:BL6)</f>
        <v>19852862.43</v>
      </c>
      <c r="BN6" s="10">
        <v>16352348.899999999</v>
      </c>
      <c r="BO6" s="10">
        <v>2980215.1800000006</v>
      </c>
      <c r="BP6" s="10">
        <v>5661.8300000000008</v>
      </c>
      <c r="BQ6" s="10">
        <v>15439.83</v>
      </c>
      <c r="BR6" s="10">
        <v>0</v>
      </c>
      <c r="BS6" s="10">
        <v>34265.599999999999</v>
      </c>
      <c r="BT6" s="10">
        <f>SUM(BN6:BS6)</f>
        <v>19387931.339999996</v>
      </c>
      <c r="BU6" s="10">
        <v>17099290.009999998</v>
      </c>
      <c r="BV6" s="10">
        <v>2711567.0700000003</v>
      </c>
      <c r="BW6" s="10">
        <v>18438.46</v>
      </c>
      <c r="BX6" s="10">
        <v>8518.9599999999991</v>
      </c>
      <c r="BY6" s="10">
        <v>0</v>
      </c>
      <c r="BZ6" s="10">
        <v>19739.93</v>
      </c>
      <c r="CA6" s="10">
        <f t="shared" ref="CA6:CA10" si="0">SUM(BU6:BZ6)</f>
        <v>19857554.43</v>
      </c>
      <c r="CB6" s="10">
        <v>17527510.93</v>
      </c>
      <c r="CC6" s="10">
        <v>2808658.7499999991</v>
      </c>
      <c r="CD6" s="10">
        <v>15569.169999999998</v>
      </c>
      <c r="CE6" s="10">
        <v>11144.650000000001</v>
      </c>
      <c r="CF6" s="10">
        <v>0</v>
      </c>
      <c r="CG6" s="10">
        <v>17034.560000000001</v>
      </c>
      <c r="CH6" s="10">
        <f t="shared" ref="CH6:CH10" si="1">SUM(CB6:CG6)</f>
        <v>20379918.059999999</v>
      </c>
      <c r="CI6" s="10"/>
      <c r="CJ6" s="10"/>
      <c r="CK6" s="10"/>
      <c r="CL6" s="10"/>
      <c r="CM6" s="10"/>
      <c r="CN6" s="10"/>
      <c r="CO6" s="10">
        <f>'[6]PCJ 2019'!$L$205</f>
        <v>20694291.329999994</v>
      </c>
      <c r="CP6" s="10"/>
      <c r="CQ6" s="10"/>
      <c r="CR6" s="10"/>
      <c r="CS6" s="10"/>
      <c r="CT6" s="10"/>
      <c r="CU6" s="10"/>
      <c r="CV6" s="10">
        <v>11544129.27</v>
      </c>
      <c r="CW6" s="10"/>
      <c r="CX6" s="10"/>
      <c r="CY6" s="10"/>
      <c r="CZ6" s="10"/>
      <c r="DA6" s="10"/>
      <c r="DB6" s="10"/>
      <c r="DC6" s="10">
        <f>'[7]PCJ 2020'!$L$151</f>
        <v>21583744.079999998</v>
      </c>
      <c r="DD6" s="10"/>
      <c r="DE6" s="10"/>
      <c r="DF6" s="10"/>
      <c r="DG6" s="10"/>
      <c r="DH6" s="10"/>
      <c r="DI6" s="10"/>
      <c r="DJ6" s="10">
        <f>'[3]2020'!$R$18</f>
        <v>9413680.5099999905</v>
      </c>
      <c r="DK6" s="10"/>
      <c r="DL6" s="10"/>
      <c r="DM6" s="10"/>
      <c r="DN6" s="10"/>
      <c r="DO6" s="10"/>
      <c r="DP6" s="10"/>
      <c r="DQ6" s="10">
        <f>'[8]PCJ 2021'!$L$135</f>
        <v>23622501.490000002</v>
      </c>
      <c r="DR6" s="10"/>
      <c r="DS6" s="10"/>
      <c r="DT6" s="10"/>
      <c r="DU6" s="10"/>
      <c r="DV6" s="10"/>
      <c r="DW6" s="10"/>
      <c r="DX6" s="10">
        <v>25323855.399999999</v>
      </c>
      <c r="DY6" s="10"/>
      <c r="DZ6" s="10"/>
      <c r="EA6" s="10"/>
      <c r="EB6" s="10"/>
      <c r="EC6" s="10"/>
      <c r="ED6" s="10"/>
      <c r="EE6" s="10">
        <f>'[9]CobrancaAprovada (4)'!$L$136</f>
        <v>27138245.299999993</v>
      </c>
      <c r="EF6" s="10"/>
      <c r="EG6" s="10"/>
      <c r="EH6" s="10"/>
      <c r="EI6" s="10"/>
      <c r="EJ6" s="10"/>
      <c r="EK6" s="10"/>
      <c r="EL6" s="10">
        <v>22056836.100000001</v>
      </c>
      <c r="EM6" s="10"/>
      <c r="EN6" s="10"/>
      <c r="EO6" s="10"/>
      <c r="EP6" s="10"/>
      <c r="EQ6" s="10"/>
      <c r="ER6" s="10"/>
      <c r="ES6" s="10">
        <v>26585012.510000005</v>
      </c>
      <c r="ET6" s="10"/>
      <c r="EU6" s="10"/>
      <c r="EV6" s="10"/>
      <c r="EW6" s="10"/>
      <c r="EX6" s="10"/>
      <c r="EY6" s="10"/>
      <c r="EZ6" s="10">
        <f>24127114.21+24424522.98</f>
        <v>48551637.189999998</v>
      </c>
      <c r="FA6" s="10"/>
      <c r="FB6" s="10"/>
      <c r="FC6" s="10"/>
      <c r="FD6" s="10"/>
      <c r="FE6" s="10"/>
      <c r="FF6" s="10"/>
      <c r="FG6" s="10">
        <v>0</v>
      </c>
      <c r="FH6" s="10"/>
      <c r="FI6" s="10"/>
      <c r="FJ6" s="10"/>
      <c r="FK6" s="10"/>
      <c r="FL6" s="10"/>
      <c r="FM6" s="10"/>
      <c r="FN6" s="10">
        <v>931589.88</v>
      </c>
      <c r="FO6" s="10"/>
      <c r="FP6" s="10"/>
      <c r="FQ6" s="10"/>
      <c r="FR6" s="10"/>
      <c r="FS6" s="10"/>
      <c r="FT6" s="10"/>
      <c r="FU6" s="10">
        <v>27409986.359999999</v>
      </c>
      <c r="FV6" s="10"/>
      <c r="FW6" s="10"/>
      <c r="FX6" s="10"/>
      <c r="FY6" s="10"/>
      <c r="FZ6" s="10"/>
      <c r="GA6" s="10"/>
      <c r="GB6" s="10">
        <v>28250095.149999999</v>
      </c>
      <c r="GC6" s="10">
        <f t="shared" ref="GC6:GC11" si="2">E6+G6+I6+K6+M6+O6+Q6+S6+U6+W6+Y6+AA6+AC6+AE6+AG6+AI6+AK6+AM6+AO6+AQ6+AY6+BM6+CA6+CO6+DC6+DQ6+EE6+ES6+FG6+FU6</f>
        <v>372644973.38</v>
      </c>
      <c r="GD6" s="10">
        <f t="shared" ref="GD6:GD11" si="3">F6+H6+J6+L6+N6+P6+R6+T6+V6+X6+Z6+AB6+AD6+AF6+AH6+AJ6+AL6+AN6+AP6+AR6+BF6+BT6+CH6+CV6+DJ6+DX6+EL6+EZ6+FN6+GB6</f>
        <v>357688074.00999999</v>
      </c>
      <c r="GE6" s="218"/>
      <c r="GG6" s="36"/>
      <c r="GH6" s="36"/>
      <c r="GI6" s="36"/>
      <c r="GJ6" s="36"/>
    </row>
    <row r="7" spans="1:192" s="5" customFormat="1" ht="12.75" x14ac:dyDescent="0.2">
      <c r="A7" s="247"/>
      <c r="B7" s="15" t="s">
        <v>69</v>
      </c>
      <c r="C7" s="1" t="s">
        <v>7</v>
      </c>
      <c r="D7" s="2">
        <v>40360</v>
      </c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12">
        <v>10592125.68</v>
      </c>
      <c r="AH7" s="10">
        <v>8631052.0099999998</v>
      </c>
      <c r="AI7" s="10">
        <v>21815684</v>
      </c>
      <c r="AJ7" s="10">
        <v>19582826</v>
      </c>
      <c r="AK7" s="10">
        <v>21809496.760000002</v>
      </c>
      <c r="AL7" s="10">
        <v>21500946.050000001</v>
      </c>
      <c r="AM7" s="10">
        <v>22905061.02</v>
      </c>
      <c r="AN7" s="10">
        <v>21759014.530000005</v>
      </c>
      <c r="AO7" s="10">
        <v>22492214</v>
      </c>
      <c r="AP7" s="10">
        <v>23056049.280000001</v>
      </c>
      <c r="AQ7" s="10">
        <v>23068966</v>
      </c>
      <c r="AR7" s="10">
        <v>22490082.5</v>
      </c>
      <c r="AS7" s="10">
        <v>18535403.479999997</v>
      </c>
      <c r="AT7" s="10">
        <v>220199.55</v>
      </c>
      <c r="AU7" s="10">
        <v>301897.88</v>
      </c>
      <c r="AV7" s="10">
        <v>3732715.3900000066</v>
      </c>
      <c r="AW7" s="10">
        <v>137030.39999999999</v>
      </c>
      <c r="AX7" s="10">
        <v>71554.92</v>
      </c>
      <c r="AY7" s="10">
        <f>SUM(AS7:AX7)</f>
        <v>22998801.620000005</v>
      </c>
      <c r="AZ7" s="77"/>
      <c r="BA7" s="77"/>
      <c r="BB7" s="77"/>
      <c r="BC7" s="77"/>
      <c r="BD7" s="77"/>
      <c r="BE7" s="77"/>
      <c r="BF7" s="10">
        <v>20953008.989999998</v>
      </c>
      <c r="BG7" s="10">
        <v>18974303.300000001</v>
      </c>
      <c r="BH7" s="10">
        <v>308335.67</v>
      </c>
      <c r="BI7" s="10">
        <v>742748.16000000003</v>
      </c>
      <c r="BJ7" s="10">
        <v>3198834.7599999844</v>
      </c>
      <c r="BK7" s="10">
        <v>136656</v>
      </c>
      <c r="BL7" s="10">
        <v>29454.57</v>
      </c>
      <c r="BM7" s="10">
        <f>SUM(BG7:BL7)</f>
        <v>23390332.459999986</v>
      </c>
      <c r="BN7" s="10">
        <v>18266205.460000001</v>
      </c>
      <c r="BO7" s="10">
        <v>283521.99</v>
      </c>
      <c r="BP7" s="10">
        <v>981147.49</v>
      </c>
      <c r="BQ7" s="10">
        <v>2716195.5699999942</v>
      </c>
      <c r="BR7" s="10">
        <v>0</v>
      </c>
      <c r="BS7" s="10">
        <v>45743.609999999993</v>
      </c>
      <c r="BT7" s="10">
        <f>SUM(BN7:BS7)</f>
        <v>22292814.11999999</v>
      </c>
      <c r="BU7" s="10">
        <v>19982002.260000002</v>
      </c>
      <c r="BV7" s="10">
        <v>306549.24000000011</v>
      </c>
      <c r="BW7" s="10">
        <v>766201.69</v>
      </c>
      <c r="BX7" s="10">
        <v>3734566.6600000006</v>
      </c>
      <c r="BY7" s="10">
        <v>140345.70000000001</v>
      </c>
      <c r="BZ7" s="10">
        <v>37667.980000000003</v>
      </c>
      <c r="CA7" s="10">
        <f t="shared" si="0"/>
        <v>24967333.530000001</v>
      </c>
      <c r="CB7" s="10">
        <v>18738274.729999997</v>
      </c>
      <c r="CC7" s="10">
        <v>310524.58999999997</v>
      </c>
      <c r="CD7" s="10">
        <v>744387</v>
      </c>
      <c r="CE7" s="10">
        <v>3261671.8800000018</v>
      </c>
      <c r="CF7" s="10">
        <v>0</v>
      </c>
      <c r="CG7" s="10">
        <v>25868.94</v>
      </c>
      <c r="CH7" s="10">
        <f t="shared" si="1"/>
        <v>23080727.140000001</v>
      </c>
      <c r="CI7" s="10"/>
      <c r="CJ7" s="10"/>
      <c r="CK7" s="10"/>
      <c r="CL7" s="10"/>
      <c r="CM7" s="10"/>
      <c r="CN7" s="10"/>
      <c r="CO7" s="10">
        <f>'[10]SF 2019'!$L$4484</f>
        <v>41148601.650000036</v>
      </c>
      <c r="CP7" s="10"/>
      <c r="CQ7" s="10"/>
      <c r="CR7" s="10"/>
      <c r="CS7" s="10"/>
      <c r="CT7" s="10"/>
      <c r="CU7" s="10"/>
      <c r="CV7" s="10">
        <v>33872593.439999998</v>
      </c>
      <c r="CW7" s="10"/>
      <c r="CX7" s="10"/>
      <c r="CY7" s="10"/>
      <c r="CZ7" s="10"/>
      <c r="DA7" s="10"/>
      <c r="DB7" s="10"/>
      <c r="DC7" s="10">
        <f>'[11]SF 2020'!$L$5155</f>
        <v>41322065.399999872</v>
      </c>
      <c r="DD7" s="10"/>
      <c r="DE7" s="10"/>
      <c r="DF7" s="10"/>
      <c r="DG7" s="10"/>
      <c r="DH7" s="10"/>
      <c r="DI7" s="10"/>
      <c r="DJ7" s="10">
        <f>'[3]2020'!$Q$13</f>
        <v>33949757.390000001</v>
      </c>
      <c r="DK7" s="10"/>
      <c r="DL7" s="10"/>
      <c r="DM7" s="10"/>
      <c r="DN7" s="10"/>
      <c r="DO7" s="10"/>
      <c r="DP7" s="10"/>
      <c r="DQ7" s="10">
        <f>'[12]SF 2021'!$L$5687</f>
        <v>42279976.620000333</v>
      </c>
      <c r="DR7" s="10"/>
      <c r="DS7" s="10"/>
      <c r="DT7" s="10"/>
      <c r="DU7" s="10"/>
      <c r="DV7" s="10"/>
      <c r="DW7" s="10"/>
      <c r="DX7" s="10">
        <f>32157557.92+13588.29</f>
        <v>32171146.210000001</v>
      </c>
      <c r="DY7" s="10"/>
      <c r="DZ7" s="10"/>
      <c r="EA7" s="10"/>
      <c r="EB7" s="10"/>
      <c r="EC7" s="10"/>
      <c r="ED7" s="10"/>
      <c r="EE7" s="10">
        <f>'[13]CobrancaAprovada (2)'!$L$6073</f>
        <v>48575313.019999571</v>
      </c>
      <c r="EF7" s="10"/>
      <c r="EG7" s="10"/>
      <c r="EH7" s="10"/>
      <c r="EI7" s="10"/>
      <c r="EJ7" s="10"/>
      <c r="EK7" s="10"/>
      <c r="EL7" s="10">
        <v>41064596.390000001</v>
      </c>
      <c r="EM7" s="10"/>
      <c r="EN7" s="10"/>
      <c r="EO7" s="10"/>
      <c r="EP7" s="10"/>
      <c r="EQ7" s="10"/>
      <c r="ER7" s="10"/>
      <c r="ES7" s="10">
        <v>56165158.410000131</v>
      </c>
      <c r="ET7" s="10"/>
      <c r="EU7" s="10"/>
      <c r="EV7" s="10"/>
      <c r="EW7" s="10"/>
      <c r="EX7" s="10"/>
      <c r="EY7" s="10"/>
      <c r="EZ7" s="10">
        <f>44508277.03+179.55+115900.41</f>
        <v>44624356.989999995</v>
      </c>
      <c r="FA7" s="10"/>
      <c r="FB7" s="10"/>
      <c r="FC7" s="10"/>
      <c r="FD7" s="10"/>
      <c r="FE7" s="10"/>
      <c r="FF7" s="10"/>
      <c r="FG7" s="10">
        <v>56153292.270000003</v>
      </c>
      <c r="FH7" s="10"/>
      <c r="FI7" s="10"/>
      <c r="FJ7" s="10"/>
      <c r="FK7" s="10"/>
      <c r="FL7" s="10"/>
      <c r="FM7" s="10"/>
      <c r="FN7" s="10">
        <f>42844326.89+118777.48</f>
        <v>42963104.369999997</v>
      </c>
      <c r="FO7" s="10"/>
      <c r="FP7" s="10"/>
      <c r="FQ7" s="10"/>
      <c r="FR7" s="10"/>
      <c r="FS7" s="10"/>
      <c r="FT7" s="10"/>
      <c r="FU7" s="10">
        <v>58088268.479999997</v>
      </c>
      <c r="FV7" s="10"/>
      <c r="FW7" s="10"/>
      <c r="FX7" s="10"/>
      <c r="FY7" s="10"/>
      <c r="FZ7" s="10"/>
      <c r="GA7" s="10"/>
      <c r="GB7" s="10">
        <v>50549244.200000003</v>
      </c>
      <c r="GC7" s="10">
        <f t="shared" si="2"/>
        <v>537772690.91999996</v>
      </c>
      <c r="GD7" s="10">
        <f t="shared" si="3"/>
        <v>462541319.60999995</v>
      </c>
      <c r="GE7" s="218"/>
      <c r="GG7" s="36"/>
      <c r="GH7" s="36"/>
      <c r="GI7" s="36"/>
      <c r="GJ7" s="36"/>
    </row>
    <row r="8" spans="1:192" s="5" customFormat="1" ht="14.25" x14ac:dyDescent="0.2">
      <c r="A8" s="247"/>
      <c r="B8" s="15" t="s">
        <v>245</v>
      </c>
      <c r="C8" s="1" t="s">
        <v>7</v>
      </c>
      <c r="D8" s="2">
        <v>40848</v>
      </c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  <c r="W8" s="50"/>
      <c r="X8" s="50"/>
      <c r="Y8" s="50"/>
      <c r="Z8" s="50"/>
      <c r="AA8" s="50"/>
      <c r="AB8" s="50"/>
      <c r="AC8" s="50"/>
      <c r="AD8" s="50"/>
      <c r="AE8" s="50"/>
      <c r="AF8" s="50"/>
      <c r="AG8" s="50"/>
      <c r="AH8" s="50"/>
      <c r="AI8" s="10">
        <v>1142191.3999999999</v>
      </c>
      <c r="AJ8" s="10">
        <v>0</v>
      </c>
      <c r="AK8" s="10">
        <v>9200487.1099999994</v>
      </c>
      <c r="AL8" s="10">
        <v>3438674.02</v>
      </c>
      <c r="AM8" s="10">
        <v>8404887.0399999991</v>
      </c>
      <c r="AN8" s="10">
        <v>6505081.04</v>
      </c>
      <c r="AO8" s="10">
        <v>9817054</v>
      </c>
      <c r="AP8" s="10">
        <v>9729725</v>
      </c>
      <c r="AQ8" s="10">
        <v>12577512</v>
      </c>
      <c r="AR8" s="89">
        <v>10699660.65</v>
      </c>
      <c r="AS8" s="10">
        <v>3572092.7899999996</v>
      </c>
      <c r="AT8" s="10">
        <v>7305339.7699999996</v>
      </c>
      <c r="AU8" s="10">
        <v>119197.18999999997</v>
      </c>
      <c r="AV8" s="10">
        <v>18140.57</v>
      </c>
      <c r="AW8" s="10">
        <v>0</v>
      </c>
      <c r="AX8" s="10">
        <v>26278.199999999997</v>
      </c>
      <c r="AY8" s="10">
        <f>SUM(AS8:AX8)</f>
        <v>11041048.519999998</v>
      </c>
      <c r="AZ8" s="79">
        <v>1824790.8099999998</v>
      </c>
      <c r="BA8" s="79">
        <v>7246005.4499999993</v>
      </c>
      <c r="BB8" s="79">
        <v>76352.91</v>
      </c>
      <c r="BC8" s="79">
        <v>16200.149999999998</v>
      </c>
      <c r="BD8" s="79">
        <v>0</v>
      </c>
      <c r="BE8" s="79">
        <v>25523.319999999996</v>
      </c>
      <c r="BF8" s="10">
        <f>SUM(AZ8:BE8)</f>
        <v>9188872.6400000006</v>
      </c>
      <c r="BG8" s="10">
        <v>3616953.8699999987</v>
      </c>
      <c r="BH8" s="10">
        <v>8180395.3100000005</v>
      </c>
      <c r="BI8" s="10">
        <v>112961.30999999998</v>
      </c>
      <c r="BJ8" s="10">
        <v>29280.96000000001</v>
      </c>
      <c r="BK8" s="10">
        <v>0</v>
      </c>
      <c r="BL8" s="10">
        <v>26845.940000000002</v>
      </c>
      <c r="BM8" s="10">
        <f>SUM(BG8:BL8)</f>
        <v>11966437.390000001</v>
      </c>
      <c r="BN8" s="10">
        <v>3688707.5799999996</v>
      </c>
      <c r="BO8" s="10">
        <v>7444909.1600000001</v>
      </c>
      <c r="BP8" s="10">
        <v>80630.070000000007</v>
      </c>
      <c r="BQ8" s="10">
        <v>26157.510000000002</v>
      </c>
      <c r="BR8" s="10">
        <v>0</v>
      </c>
      <c r="BS8" s="10">
        <v>22942.04</v>
      </c>
      <c r="BT8" s="10">
        <f>SUM(BN8:BS8)</f>
        <v>11263346.359999999</v>
      </c>
      <c r="BU8" s="10">
        <v>3391123.93</v>
      </c>
      <c r="BV8" s="10">
        <v>6494733.7999999998</v>
      </c>
      <c r="BW8" s="10">
        <v>126846.93</v>
      </c>
      <c r="BX8" s="10">
        <v>28719.159999999996</v>
      </c>
      <c r="BY8" s="10">
        <v>0</v>
      </c>
      <c r="BZ8" s="10">
        <v>35350.079999999994</v>
      </c>
      <c r="CA8" s="10">
        <f t="shared" si="0"/>
        <v>10076773.9</v>
      </c>
      <c r="CB8" s="10">
        <v>5061697.8</v>
      </c>
      <c r="CC8" s="10">
        <v>7084339.8100000005</v>
      </c>
      <c r="CD8" s="10">
        <v>103870.84999999999</v>
      </c>
      <c r="CE8" s="10">
        <v>24332.680000000004</v>
      </c>
      <c r="CF8" s="10">
        <v>0</v>
      </c>
      <c r="CG8" s="10">
        <v>30744.760000000002</v>
      </c>
      <c r="CH8" s="10">
        <f t="shared" si="1"/>
        <v>12304985.899999999</v>
      </c>
      <c r="CI8" s="10"/>
      <c r="CJ8" s="10"/>
      <c r="CK8" s="10"/>
      <c r="CL8" s="10"/>
      <c r="CM8" s="10"/>
      <c r="CN8" s="10"/>
      <c r="CO8" s="10">
        <f>'[14]DOCE 2019'!$L$278</f>
        <v>12038745.069999998</v>
      </c>
      <c r="CP8" s="10"/>
      <c r="CQ8" s="10"/>
      <c r="CR8" s="10"/>
      <c r="CS8" s="10"/>
      <c r="CT8" s="10"/>
      <c r="CU8" s="10"/>
      <c r="CV8" s="10">
        <v>13799098.43</v>
      </c>
      <c r="CW8" s="10"/>
      <c r="CX8" s="10"/>
      <c r="CY8" s="10"/>
      <c r="CZ8" s="10"/>
      <c r="DA8" s="10"/>
      <c r="DB8" s="10"/>
      <c r="DC8" s="10">
        <f>'[15]DOCE 2020'!$L$297</f>
        <v>13393384.6</v>
      </c>
      <c r="DD8" s="10"/>
      <c r="DE8" s="10"/>
      <c r="DF8" s="10"/>
      <c r="DG8" s="10"/>
      <c r="DH8" s="10"/>
      <c r="DI8" s="10"/>
      <c r="DJ8" s="10">
        <f>'[3]2020'!$R$15</f>
        <v>12144134.92</v>
      </c>
      <c r="DK8" s="10"/>
      <c r="DL8" s="10"/>
      <c r="DM8" s="10"/>
      <c r="DN8" s="10"/>
      <c r="DO8" s="10"/>
      <c r="DP8" s="10"/>
      <c r="DQ8" s="10">
        <f>'[16]DOCE 2021'!$L$310</f>
        <v>13605990.520000003</v>
      </c>
      <c r="DR8" s="10"/>
      <c r="DS8" s="10"/>
      <c r="DT8" s="10"/>
      <c r="DU8" s="10"/>
      <c r="DV8" s="10"/>
      <c r="DW8" s="10"/>
      <c r="DX8" s="10">
        <v>12031331.82</v>
      </c>
      <c r="DY8" s="10"/>
      <c r="DZ8" s="10"/>
      <c r="EA8" s="10"/>
      <c r="EB8" s="10"/>
      <c r="EC8" s="10"/>
      <c r="ED8" s="10"/>
      <c r="EE8" s="10">
        <f>[17]Doce!$L$323</f>
        <v>17419166.809999995</v>
      </c>
      <c r="EF8" s="10"/>
      <c r="EG8" s="10"/>
      <c r="EH8" s="10"/>
      <c r="EI8" s="10"/>
      <c r="EJ8" s="10"/>
      <c r="EK8" s="10"/>
      <c r="EL8" s="10">
        <v>15819982.32</v>
      </c>
      <c r="EM8" s="10"/>
      <c r="EN8" s="10"/>
      <c r="EO8" s="10"/>
      <c r="EP8" s="10"/>
      <c r="EQ8" s="10"/>
      <c r="ER8" s="10"/>
      <c r="ES8" s="10">
        <v>19525608.010000005</v>
      </c>
      <c r="ET8" s="10"/>
      <c r="EU8" s="10"/>
      <c r="EV8" s="10"/>
      <c r="EW8" s="10"/>
      <c r="EX8" s="10"/>
      <c r="EY8" s="10"/>
      <c r="EZ8" s="10">
        <f>17329431.92+2990.47+23135.37</f>
        <v>17355557.760000002</v>
      </c>
      <c r="FA8" s="10"/>
      <c r="FB8" s="10"/>
      <c r="FC8" s="10"/>
      <c r="FD8" s="10"/>
      <c r="FE8" s="10"/>
      <c r="FF8" s="10"/>
      <c r="FG8" s="10">
        <v>25759272.48</v>
      </c>
      <c r="FH8" s="10"/>
      <c r="FI8" s="10"/>
      <c r="FJ8" s="10"/>
      <c r="FK8" s="10"/>
      <c r="FL8" s="10"/>
      <c r="FM8" s="10"/>
      <c r="FN8" s="10">
        <v>24956394.620000001</v>
      </c>
      <c r="FO8" s="10"/>
      <c r="FP8" s="10"/>
      <c r="FQ8" s="10"/>
      <c r="FR8" s="10"/>
      <c r="FS8" s="10"/>
      <c r="FT8" s="10"/>
      <c r="FU8" s="10">
        <v>0</v>
      </c>
      <c r="FV8" s="10"/>
      <c r="FW8" s="10"/>
      <c r="FX8" s="10"/>
      <c r="FY8" s="10"/>
      <c r="FZ8" s="10"/>
      <c r="GA8" s="10"/>
      <c r="GB8" s="10">
        <v>5097713.34</v>
      </c>
      <c r="GC8" s="10">
        <f t="shared" si="2"/>
        <v>175968558.84999999</v>
      </c>
      <c r="GD8" s="10">
        <f t="shared" si="3"/>
        <v>164334558.81999999</v>
      </c>
      <c r="GE8" s="218"/>
      <c r="GG8" s="164"/>
      <c r="GH8" s="36"/>
      <c r="GI8" s="36"/>
      <c r="GJ8" s="36"/>
    </row>
    <row r="9" spans="1:192" s="5" customFormat="1" ht="14.25" x14ac:dyDescent="0.2">
      <c r="A9" s="248"/>
      <c r="B9" s="133" t="s">
        <v>132</v>
      </c>
      <c r="C9" s="130" t="s">
        <v>7</v>
      </c>
      <c r="D9" s="131">
        <v>42795</v>
      </c>
      <c r="E9" s="132"/>
      <c r="F9" s="132"/>
      <c r="G9" s="132"/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83">
        <v>4876905.2700000005</v>
      </c>
      <c r="BV9" s="83">
        <v>1237836.19</v>
      </c>
      <c r="BW9" s="83">
        <v>306271.7</v>
      </c>
      <c r="BX9" s="83">
        <v>535773.43000000005</v>
      </c>
      <c r="BY9" s="83">
        <v>0</v>
      </c>
      <c r="BZ9" s="83">
        <v>28659.57</v>
      </c>
      <c r="CA9" s="10">
        <f t="shared" si="0"/>
        <v>6985446.1600000011</v>
      </c>
      <c r="CB9" s="83">
        <v>4841663.46</v>
      </c>
      <c r="CC9" s="83">
        <v>1093434.8500000001</v>
      </c>
      <c r="CD9" s="83">
        <v>297619</v>
      </c>
      <c r="CE9" s="83">
        <v>396689.25000000012</v>
      </c>
      <c r="CF9" s="83">
        <v>0</v>
      </c>
      <c r="CG9" s="83">
        <v>17159.43</v>
      </c>
      <c r="CH9" s="10">
        <f t="shared" si="1"/>
        <v>6646565.9900000002</v>
      </c>
      <c r="CI9" s="10"/>
      <c r="CJ9" s="10"/>
      <c r="CK9" s="10"/>
      <c r="CL9" s="10"/>
      <c r="CM9" s="10"/>
      <c r="CN9" s="10"/>
      <c r="CO9" s="10">
        <f>'[18]PARANAIBA 2018 cobrado em 2019'!$L$526</f>
        <v>7924945.5299999956</v>
      </c>
      <c r="CP9" s="10"/>
      <c r="CQ9" s="10"/>
      <c r="CR9" s="10"/>
      <c r="CS9" s="10"/>
      <c r="CT9" s="10"/>
      <c r="CU9" s="10"/>
      <c r="CV9" s="10">
        <v>7520524.1699999999</v>
      </c>
      <c r="CW9" s="83"/>
      <c r="CX9" s="83"/>
      <c r="CY9" s="83"/>
      <c r="CZ9" s="83"/>
      <c r="DA9" s="83"/>
      <c r="DB9" s="83"/>
      <c r="DC9" s="83">
        <f>'[19]PARANAIBA 2019 cobrado em 2020'!$L$621</f>
        <v>12071792.800000001</v>
      </c>
      <c r="DD9" s="83"/>
      <c r="DE9" s="83"/>
      <c r="DF9" s="83"/>
      <c r="DG9" s="83"/>
      <c r="DH9" s="83"/>
      <c r="DI9" s="83"/>
      <c r="DJ9" s="83">
        <f>'[3]2020'!$R$17</f>
        <v>11061655.99</v>
      </c>
      <c r="DK9" s="83"/>
      <c r="DL9" s="83"/>
      <c r="DM9" s="83"/>
      <c r="DN9" s="83"/>
      <c r="DO9" s="83"/>
      <c r="DP9" s="83"/>
      <c r="DQ9" s="83">
        <f>'[20]PARANAIBA 2020 cobrado em 2021'!$L$754</f>
        <v>12511245.519999996</v>
      </c>
      <c r="DR9" s="83"/>
      <c r="DS9" s="83"/>
      <c r="DT9" s="83"/>
      <c r="DU9" s="83"/>
      <c r="DV9" s="83"/>
      <c r="DW9" s="83"/>
      <c r="DX9" s="83">
        <v>11226688.6</v>
      </c>
      <c r="DY9" s="83"/>
      <c r="DZ9" s="83"/>
      <c r="EA9" s="83"/>
      <c r="EB9" s="83"/>
      <c r="EC9" s="83"/>
      <c r="ED9" s="83"/>
      <c r="EE9" s="83">
        <f>'[21]CobrancaAprovada (6)'!$L$933</f>
        <v>17222178.499999981</v>
      </c>
      <c r="EF9" s="83"/>
      <c r="EG9" s="83"/>
      <c r="EH9" s="83"/>
      <c r="EI9" s="83"/>
      <c r="EJ9" s="83"/>
      <c r="EK9" s="83"/>
      <c r="EL9" s="83">
        <v>17500617.969999999</v>
      </c>
      <c r="EM9" s="83"/>
      <c r="EN9" s="83"/>
      <c r="EO9" s="83"/>
      <c r="EP9" s="83"/>
      <c r="EQ9" s="83"/>
      <c r="ER9" s="83"/>
      <c r="ES9" s="83">
        <v>18583945.179999996</v>
      </c>
      <c r="ET9" s="83"/>
      <c r="EU9" s="83"/>
      <c r="EV9" s="83"/>
      <c r="EW9" s="83"/>
      <c r="EX9" s="83"/>
      <c r="EY9" s="83"/>
      <c r="EZ9" s="83">
        <v>17845383.420000002</v>
      </c>
      <c r="FA9" s="83"/>
      <c r="FB9" s="83"/>
      <c r="FC9" s="83"/>
      <c r="FD9" s="83"/>
      <c r="FE9" s="83"/>
      <c r="FF9" s="83"/>
      <c r="FG9" s="83">
        <v>20004460.43</v>
      </c>
      <c r="FH9" s="83"/>
      <c r="FI9" s="83"/>
      <c r="FJ9" s="83"/>
      <c r="FK9" s="83"/>
      <c r="FL9" s="83"/>
      <c r="FM9" s="83"/>
      <c r="FN9" s="83">
        <f>20228747.03+22961.53</f>
        <v>20251708.560000002</v>
      </c>
      <c r="FO9" s="83"/>
      <c r="FP9" s="83"/>
      <c r="FQ9" s="83"/>
      <c r="FR9" s="83"/>
      <c r="FS9" s="83"/>
      <c r="FT9" s="83"/>
      <c r="FU9" s="83">
        <v>20842162.329999998</v>
      </c>
      <c r="FV9" s="83"/>
      <c r="FW9" s="83"/>
      <c r="FX9" s="83"/>
      <c r="FY9" s="83"/>
      <c r="FZ9" s="83"/>
      <c r="GA9" s="83"/>
      <c r="GB9" s="83">
        <v>19322755.170000002</v>
      </c>
      <c r="GC9" s="10">
        <f t="shared" si="2"/>
        <v>116146176.44999997</v>
      </c>
      <c r="GD9" s="10">
        <f t="shared" si="3"/>
        <v>111375899.87</v>
      </c>
      <c r="GE9" s="218"/>
      <c r="GG9" s="36"/>
      <c r="GH9" s="36"/>
      <c r="GI9" s="36"/>
      <c r="GJ9" s="36"/>
    </row>
    <row r="10" spans="1:192" s="5" customFormat="1" ht="14.25" x14ac:dyDescent="0.2">
      <c r="A10" s="248"/>
      <c r="B10" s="15" t="s">
        <v>138</v>
      </c>
      <c r="C10" s="130" t="s">
        <v>7</v>
      </c>
      <c r="D10" s="131">
        <v>42826</v>
      </c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  <c r="U10" s="132"/>
      <c r="V10" s="132"/>
      <c r="W10" s="132"/>
      <c r="X10" s="132"/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83">
        <v>42174.42</v>
      </c>
      <c r="BV10" s="83">
        <v>687.71</v>
      </c>
      <c r="BW10" s="83">
        <v>0</v>
      </c>
      <c r="BX10" s="83">
        <v>50075.630000000005</v>
      </c>
      <c r="BY10" s="83">
        <v>0</v>
      </c>
      <c r="BZ10" s="83">
        <v>0</v>
      </c>
      <c r="CA10" s="10">
        <f t="shared" si="0"/>
        <v>92937.760000000009</v>
      </c>
      <c r="CB10" s="83">
        <v>34910.6</v>
      </c>
      <c r="CC10" s="83">
        <v>589.44000000000005</v>
      </c>
      <c r="CD10" s="83">
        <v>0</v>
      </c>
      <c r="CE10" s="83">
        <v>33546.549999999988</v>
      </c>
      <c r="CF10" s="83">
        <v>0</v>
      </c>
      <c r="CG10" s="83">
        <v>0</v>
      </c>
      <c r="CH10" s="10">
        <f t="shared" si="1"/>
        <v>69046.59</v>
      </c>
      <c r="CI10" s="10"/>
      <c r="CJ10" s="10"/>
      <c r="CK10" s="10"/>
      <c r="CL10" s="10"/>
      <c r="CM10" s="10"/>
      <c r="CN10" s="10"/>
      <c r="CO10" s="10">
        <f>'[22]VG 2018 cobrado em 2019'!$L$169</f>
        <v>208821.07000000004</v>
      </c>
      <c r="CP10" s="10"/>
      <c r="CQ10" s="10"/>
      <c r="CR10" s="10"/>
      <c r="CS10" s="10"/>
      <c r="CT10" s="10"/>
      <c r="CU10" s="10"/>
      <c r="CV10" s="10">
        <v>195234</v>
      </c>
      <c r="CW10" s="83"/>
      <c r="CX10" s="83"/>
      <c r="CY10" s="83"/>
      <c r="CZ10" s="83"/>
      <c r="DA10" s="83"/>
      <c r="DB10" s="83"/>
      <c r="DC10" s="83">
        <f>'[23]VG 2019 cobrado em 2020'!$L$185</f>
        <v>151546.7699999999</v>
      </c>
      <c r="DD10" s="83"/>
      <c r="DE10" s="83"/>
      <c r="DF10" s="83"/>
      <c r="DG10" s="83"/>
      <c r="DH10" s="83"/>
      <c r="DI10" s="83"/>
      <c r="DJ10" s="83">
        <f>'[3]2020'!$Q$14</f>
        <v>124927.49</v>
      </c>
      <c r="DK10" s="83"/>
      <c r="DL10" s="83"/>
      <c r="DM10" s="83"/>
      <c r="DN10" s="83"/>
      <c r="DO10" s="83"/>
      <c r="DP10" s="83"/>
      <c r="DQ10" s="83">
        <f>'[24]VG 2020 cobrado em 2021'!$L$199</f>
        <v>141054.87999999998</v>
      </c>
      <c r="DR10" s="83"/>
      <c r="DS10" s="83"/>
      <c r="DT10" s="83"/>
      <c r="DU10" s="83"/>
      <c r="DV10" s="83"/>
      <c r="DW10" s="83"/>
      <c r="DX10" s="83">
        <v>126236.94</v>
      </c>
      <c r="DY10" s="83"/>
      <c r="DZ10" s="83"/>
      <c r="EA10" s="83"/>
      <c r="EB10" s="83"/>
      <c r="EC10" s="83"/>
      <c r="ED10" s="83"/>
      <c r="EE10" s="83">
        <f>'[25]Verde Grande 2021 cobrado em 20'!$L$165</f>
        <v>127818.37000000002</v>
      </c>
      <c r="EF10" s="83"/>
      <c r="EG10" s="83"/>
      <c r="EH10" s="83"/>
      <c r="EI10" s="83"/>
      <c r="EJ10" s="83"/>
      <c r="EK10" s="83"/>
      <c r="EL10" s="83">
        <v>106474.75</v>
      </c>
      <c r="EM10" s="83"/>
      <c r="EN10" s="83"/>
      <c r="EO10" s="83"/>
      <c r="EP10" s="83"/>
      <c r="EQ10" s="83"/>
      <c r="ER10" s="83"/>
      <c r="ES10" s="83">
        <v>274461.59999999992</v>
      </c>
      <c r="ET10" s="83"/>
      <c r="EU10" s="83"/>
      <c r="EV10" s="83"/>
      <c r="EW10" s="83"/>
      <c r="EX10" s="83"/>
      <c r="EY10" s="83"/>
      <c r="EZ10" s="83">
        <v>262371.63</v>
      </c>
      <c r="FA10" s="83"/>
      <c r="FB10" s="83"/>
      <c r="FC10" s="83"/>
      <c r="FD10" s="83"/>
      <c r="FE10" s="83"/>
      <c r="FF10" s="83"/>
      <c r="FG10" s="83">
        <v>690765.56</v>
      </c>
      <c r="FH10" s="83"/>
      <c r="FI10" s="83"/>
      <c r="FJ10" s="83"/>
      <c r="FK10" s="83"/>
      <c r="FL10" s="83"/>
      <c r="FM10" s="83"/>
      <c r="FN10" s="83">
        <v>782690.92</v>
      </c>
      <c r="FO10" s="83"/>
      <c r="FP10" s="83"/>
      <c r="FQ10" s="83"/>
      <c r="FR10" s="83"/>
      <c r="FS10" s="83"/>
      <c r="FT10" s="83"/>
      <c r="FU10" s="83">
        <v>633900.61</v>
      </c>
      <c r="FV10" s="83"/>
      <c r="FW10" s="83"/>
      <c r="FX10" s="83"/>
      <c r="FY10" s="83"/>
      <c r="FZ10" s="83"/>
      <c r="GA10" s="83"/>
      <c r="GB10" s="83">
        <v>580474.22</v>
      </c>
      <c r="GC10" s="10">
        <f t="shared" si="2"/>
        <v>2321306.62</v>
      </c>
      <c r="GD10" s="10">
        <f t="shared" si="3"/>
        <v>2247456.54</v>
      </c>
      <c r="GE10" s="218"/>
      <c r="GG10" s="36"/>
      <c r="GH10" s="36"/>
      <c r="GI10" s="36"/>
      <c r="GJ10" s="36"/>
    </row>
    <row r="11" spans="1:192" s="5" customFormat="1" ht="12.75" x14ac:dyDescent="0.2">
      <c r="A11" s="248"/>
      <c r="B11" s="15" t="s">
        <v>247</v>
      </c>
      <c r="C11" s="130" t="s">
        <v>7</v>
      </c>
      <c r="D11" s="131">
        <v>45292</v>
      </c>
      <c r="E11" s="132"/>
      <c r="F11" s="132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83"/>
      <c r="FP11" s="83"/>
      <c r="FQ11" s="83"/>
      <c r="FR11" s="83"/>
      <c r="FS11" s="83"/>
      <c r="FT11" s="83"/>
      <c r="FU11" s="83">
        <v>25307016.18</v>
      </c>
      <c r="FV11" s="83"/>
      <c r="FW11" s="83"/>
      <c r="FX11" s="83"/>
      <c r="FY11" s="83"/>
      <c r="FZ11" s="83"/>
      <c r="GA11" s="83"/>
      <c r="GB11" s="83">
        <v>20763747.75</v>
      </c>
      <c r="GC11" s="10">
        <f t="shared" si="2"/>
        <v>25307016.18</v>
      </c>
      <c r="GD11" s="10">
        <f t="shared" si="3"/>
        <v>20763747.75</v>
      </c>
      <c r="GE11" s="219"/>
      <c r="GG11" s="36"/>
      <c r="GH11" s="36"/>
      <c r="GI11" s="36"/>
      <c r="GJ11" s="36"/>
    </row>
    <row r="12" spans="1:192" s="5" customFormat="1" ht="12.75" x14ac:dyDescent="0.2">
      <c r="A12" s="248"/>
      <c r="B12" s="253" t="s">
        <v>60</v>
      </c>
      <c r="C12" s="254"/>
      <c r="D12" s="254"/>
      <c r="E12" s="57">
        <f>E8+E7+E6+E5+E9+E10</f>
        <v>0</v>
      </c>
      <c r="F12" s="57">
        <f t="shared" ref="F12:I12" si="4">F8+F7+F6+F5+F9+F10</f>
        <v>0</v>
      </c>
      <c r="G12" s="57">
        <f t="shared" si="4"/>
        <v>0</v>
      </c>
      <c r="H12" s="57">
        <f t="shared" si="4"/>
        <v>0</v>
      </c>
      <c r="I12" s="57">
        <f t="shared" si="4"/>
        <v>0</v>
      </c>
      <c r="J12" s="57">
        <f t="shared" ref="J12" si="5">J8+J7+J6+J5+J9+J10</f>
        <v>0</v>
      </c>
      <c r="K12" s="57">
        <f t="shared" ref="K12" si="6">K8+K7+K6+K5+K9+K10</f>
        <v>0</v>
      </c>
      <c r="L12" s="57">
        <f t="shared" ref="L12:M12" si="7">L8+L7+L6+L5+L9+L10</f>
        <v>0</v>
      </c>
      <c r="M12" s="57">
        <f t="shared" si="7"/>
        <v>0</v>
      </c>
      <c r="N12" s="57">
        <f t="shared" ref="N12" si="8">N8+N7+N6+N5+N9+N10</f>
        <v>0</v>
      </c>
      <c r="O12" s="57">
        <f t="shared" ref="O12" si="9">O8+O7+O6+O5+O9+O10</f>
        <v>0</v>
      </c>
      <c r="P12" s="57">
        <f t="shared" ref="P12:Q12" si="10">P8+P7+P6+P5+P9+P10</f>
        <v>0</v>
      </c>
      <c r="Q12" s="57">
        <f t="shared" si="10"/>
        <v>0</v>
      </c>
      <c r="R12" s="57">
        <f t="shared" ref="R12" si="11">R8+R7+R6+R5+R9+R10</f>
        <v>0</v>
      </c>
      <c r="S12" s="57">
        <f t="shared" ref="S12" si="12">S8+S7+S6+S5+S9+S10</f>
        <v>8664360.0999999996</v>
      </c>
      <c r="T12" s="57">
        <f>T8+T7+T6+T5+T9+T10</f>
        <v>5904038.1600000001</v>
      </c>
      <c r="U12" s="57">
        <f t="shared" ref="U12" si="13">U8+U7+U6+U5+U9+U10</f>
        <v>10067367.73</v>
      </c>
      <c r="V12" s="57">
        <f t="shared" ref="V12" si="14">V8+V7+V6+V5+V9+V10</f>
        <v>5957932.7000000002</v>
      </c>
      <c r="W12" s="57">
        <f>W8+W7+W6+W5+W9+W10</f>
        <v>10515169.449999999</v>
      </c>
      <c r="X12" s="57">
        <f t="shared" ref="X12" si="15">X8+X7+X6+X5+X9+X10</f>
        <v>6271188.2400000002</v>
      </c>
      <c r="Y12" s="57">
        <f t="shared" ref="Y12" si="16">Y8+Y7+Y6+Y5+Y9+Y10</f>
        <v>21614620.34</v>
      </c>
      <c r="Z12" s="57">
        <f t="shared" ref="Z12" si="17">Z8+Z7+Z6+Z5+Z9+Z10</f>
        <v>16745923.049999999</v>
      </c>
      <c r="AA12" s="57">
        <f t="shared" ref="AA12" si="18">AA8+AA7+AA6+AA5+AA9+AA10</f>
        <v>22145635.200000003</v>
      </c>
      <c r="AB12" s="57">
        <f t="shared" ref="AB12" si="19">AB8+AB7+AB6+AB5+AB9+AB10</f>
        <v>19683565.719999999</v>
      </c>
      <c r="AC12" s="57">
        <f t="shared" ref="AC12" si="20">AC8+AC7+AC6+AC5+AC9+AC10</f>
        <v>27044932.609999999</v>
      </c>
      <c r="AD12" s="57">
        <f t="shared" ref="AD12" si="21">AD8+AD7+AD6+AD5+AD9+AD10</f>
        <v>25117813.390000001</v>
      </c>
      <c r="AE12" s="57">
        <f t="shared" ref="AE12" si="22">AE8+AE7+AE6+AE5+AE9+AE10</f>
        <v>27293730.259999998</v>
      </c>
      <c r="AF12" s="57">
        <f t="shared" ref="AF12" si="23">AF8+AF7+AF6+AF5+AF9+AF10</f>
        <v>26847717.509999998</v>
      </c>
      <c r="AG12" s="57">
        <f t="shared" ref="AG12" si="24">AG8+AG7+AG6+AG5+AG9+AG10</f>
        <v>38792875.119999997</v>
      </c>
      <c r="AH12" s="57">
        <f t="shared" ref="AH12" si="25">AH8+AH7+AH6+AH5+AH9+AH10</f>
        <v>38599991.579999998</v>
      </c>
      <c r="AI12" s="57">
        <f t="shared" ref="AI12" si="26">AI8+AI7+AI6+AI5+AI9+AI10</f>
        <v>49664122.18</v>
      </c>
      <c r="AJ12" s="57">
        <f>AJ8+AJ7+AJ6+AJ5+AJ9+AJ10</f>
        <v>61663955.849999994</v>
      </c>
      <c r="AK12" s="57">
        <f t="shared" ref="AK12" si="27">AK8+AK7+AK6+AK5+AK9+AK10</f>
        <v>59030168.489999995</v>
      </c>
      <c r="AL12" s="57">
        <f t="shared" ref="AL12" si="28">AL8+AL7+AL6+AL5+AL9+AL10</f>
        <v>53366955.480000004</v>
      </c>
      <c r="AM12" s="57">
        <f t="shared" ref="AM12" si="29">AM8+AM7+AM6+AM5+AM9+AM10</f>
        <v>60478427.859999999</v>
      </c>
      <c r="AN12" s="57">
        <f t="shared" ref="AN12" si="30">AN8+AN7+AN6+AN5+AN9+AN10</f>
        <v>56703518.080000013</v>
      </c>
      <c r="AO12" s="57">
        <f t="shared" ref="AO12" si="31">AO8+AO7+AO6+AO5+AO9+AO10</f>
        <v>61968040</v>
      </c>
      <c r="AP12" s="57">
        <f t="shared" ref="AP12" si="32">AP8+AP7+AP6+AP5+AP9+AP10</f>
        <v>61440556.199999996</v>
      </c>
      <c r="AQ12" s="57">
        <f t="shared" ref="AQ12" si="33">AQ8+AQ7+AQ6+AQ5+AQ9+AQ10</f>
        <v>64807955.079999998</v>
      </c>
      <c r="AR12" s="57">
        <f t="shared" ref="AR12" si="34">AR8+AR7+AR6+AR5+AR9+AR10</f>
        <v>60940614.920000002</v>
      </c>
      <c r="AS12" s="57">
        <f t="shared" ref="AS12" si="35">AS8+AS7+AS6+AS5+AS9+AS10</f>
        <v>47700867.419999994</v>
      </c>
      <c r="AT12" s="57">
        <f t="shared" ref="AT12" si="36">AT8+AT7+AT6+AT5+AT9+AT10</f>
        <v>13612914.890000001</v>
      </c>
      <c r="AU12" s="57">
        <f t="shared" ref="AU12" si="37">AU8+AU7+AU6+AU5+AU9+AU10</f>
        <v>505892.06999999995</v>
      </c>
      <c r="AV12" s="57">
        <f t="shared" ref="AV12" si="38">AV8+AV7+AV6+AV5+AV9+AV10</f>
        <v>3822525.9000000064</v>
      </c>
      <c r="AW12" s="57">
        <f t="shared" ref="AW12" si="39">AW8+AW7+AW6+AW5+AW9+AW10</f>
        <v>216294.91999999998</v>
      </c>
      <c r="AX12" s="57">
        <f t="shared" ref="AX12" si="40">AX8+AX7+AX6+AX5+AX9+AX10</f>
        <v>149394.37</v>
      </c>
      <c r="AY12" s="57">
        <f>AY8+AY7+AY6+AY5+AY9+AY10</f>
        <v>66007889.570000008</v>
      </c>
      <c r="AZ12" s="57">
        <f t="shared" ref="AZ12" si="41">AZ8+AZ7+AZ6+AZ5+AZ9+AZ10</f>
        <v>17085378.240000002</v>
      </c>
      <c r="BA12" s="57">
        <f t="shared" ref="BA12" si="42">BA8+BA7+BA6+BA5+BA9+BA10</f>
        <v>12872335.549999999</v>
      </c>
      <c r="BB12" s="57">
        <f>BB8+BB7+BB6+BB5+BB9+BB10</f>
        <v>138711.59000000003</v>
      </c>
      <c r="BC12" s="57">
        <f t="shared" ref="BC12" si="43">BC8+BC7+BC6+BC5+BC9+BC10</f>
        <v>67843.850000000006</v>
      </c>
      <c r="BD12" s="57">
        <f t="shared" ref="BD12" si="44">BD8+BD7+BD6+BD5+BD9+BD10</f>
        <v>79422.459999999992</v>
      </c>
      <c r="BE12" s="57">
        <f t="shared" ref="BE12" si="45">BE8+BE7+BE6+BE5+BE9+BE10</f>
        <v>75579.61</v>
      </c>
      <c r="BF12" s="57">
        <f>BF8+BF7+BF6+BF5+BF9+BF10</f>
        <v>51272280.290000007</v>
      </c>
      <c r="BG12" s="57">
        <f>BG8+BG7+BG6+BG5+BG9+BG10</f>
        <v>47575504.349999994</v>
      </c>
      <c r="BH12" s="57">
        <f>BH8+BH7+BH6+BH5+BH9+BH10</f>
        <v>14963529.84</v>
      </c>
      <c r="BI12" s="57">
        <f t="shared" ref="BI12" si="46">BI8+BI7+BI6+BI5+BI9+BI10</f>
        <v>947426.63</v>
      </c>
      <c r="BJ12" s="57">
        <f t="shared" ref="BJ12" si="47">BJ8+BJ7+BJ6+BJ5+BJ9+BJ10</f>
        <v>3284207.7599999844</v>
      </c>
      <c r="BK12" s="57">
        <f t="shared" ref="BK12" si="48">BK8+BK7+BK6+BK5+BK9+BK10</f>
        <v>152909.23000000001</v>
      </c>
      <c r="BL12" s="57">
        <f t="shared" ref="BL12" si="49">BL8+BL7+BL6+BL5+BL9+BL10</f>
        <v>105356.64</v>
      </c>
      <c r="BM12" s="57">
        <f>BM8+BM7+BM6+BM5+BM9+BM10</f>
        <v>67028934.449999981</v>
      </c>
      <c r="BN12" s="57">
        <f>BN8+BN7+BN6+BN5+BN9+BN10</f>
        <v>46525423.839999996</v>
      </c>
      <c r="BO12" s="57">
        <f>BO8+BO7+BO6+BO5+BO9+BO10</f>
        <v>14078114.530000003</v>
      </c>
      <c r="BP12" s="57">
        <f>BP8+BP7+BP6+BP5+BP9+BP10</f>
        <v>1112695.4200000002</v>
      </c>
      <c r="BQ12" s="57">
        <f t="shared" ref="BQ12" si="50">BQ8+BQ7+BQ6+BQ5+BQ9+BQ10</f>
        <v>2795766.099999994</v>
      </c>
      <c r="BR12" s="57">
        <f t="shared" ref="BR12" si="51">BR8+BR7+BR6+BR5+BR9+BR10</f>
        <v>14447.28</v>
      </c>
      <c r="BS12" s="57">
        <f t="shared" ref="BS12" si="52">BS8+BS7+BS6+BS5+BS9+BS10</f>
        <v>119817.13</v>
      </c>
      <c r="BT12" s="57">
        <f>BT8+BT7+BT6+BT5+BT9+BT10</f>
        <v>64646264.299999982</v>
      </c>
      <c r="BU12" s="57">
        <f t="shared" ref="BU12:CN12" si="53">BU8+BU7+BU6+BU5+BU9+BU10</f>
        <v>53931439.890000008</v>
      </c>
      <c r="BV12" s="57">
        <f t="shared" si="53"/>
        <v>14330720.01</v>
      </c>
      <c r="BW12" s="57">
        <f t="shared" si="53"/>
        <v>1296250.7799999998</v>
      </c>
      <c r="BX12" s="57">
        <f>BX8+BX7+BX6+BX5+BX9+BX10</f>
        <v>4387496.8400000008</v>
      </c>
      <c r="BY12" s="57">
        <f t="shared" si="53"/>
        <v>189683.7</v>
      </c>
      <c r="BZ12" s="57">
        <f t="shared" si="53"/>
        <v>132474.56</v>
      </c>
      <c r="CA12" s="57">
        <f t="shared" si="53"/>
        <v>74268065.780000001</v>
      </c>
      <c r="CB12" s="57">
        <f t="shared" si="53"/>
        <v>54850750.979999997</v>
      </c>
      <c r="CC12" s="57">
        <f t="shared" si="53"/>
        <v>14841181.349999998</v>
      </c>
      <c r="CD12" s="57">
        <f t="shared" si="53"/>
        <v>1226550.02</v>
      </c>
      <c r="CE12" s="57">
        <f t="shared" si="53"/>
        <v>3748497.1700000018</v>
      </c>
      <c r="CF12" s="57">
        <f t="shared" si="53"/>
        <v>51144.1</v>
      </c>
      <c r="CG12" s="57">
        <f t="shared" si="53"/>
        <v>109699.98999999999</v>
      </c>
      <c r="CH12" s="57">
        <f t="shared" si="53"/>
        <v>74827823.609999999</v>
      </c>
      <c r="CI12" s="57">
        <f t="shared" si="53"/>
        <v>0</v>
      </c>
      <c r="CJ12" s="57">
        <f t="shared" si="53"/>
        <v>0</v>
      </c>
      <c r="CK12" s="57">
        <f t="shared" si="53"/>
        <v>0</v>
      </c>
      <c r="CL12" s="57">
        <f t="shared" si="53"/>
        <v>0</v>
      </c>
      <c r="CM12" s="57">
        <f t="shared" si="53"/>
        <v>0</v>
      </c>
      <c r="CN12" s="57">
        <f t="shared" si="53"/>
        <v>0</v>
      </c>
      <c r="CO12" s="57">
        <f>SUM(CO5:CO10)</f>
        <v>97191198.870000005</v>
      </c>
      <c r="CP12" s="57">
        <f t="shared" ref="CP12:CU12" si="54">SUM(CP5:CP10)</f>
        <v>0</v>
      </c>
      <c r="CQ12" s="57">
        <f t="shared" si="54"/>
        <v>0</v>
      </c>
      <c r="CR12" s="57">
        <f t="shared" si="54"/>
        <v>0</v>
      </c>
      <c r="CS12" s="57">
        <f t="shared" si="54"/>
        <v>0</v>
      </c>
      <c r="CT12" s="57">
        <f t="shared" si="54"/>
        <v>0</v>
      </c>
      <c r="CU12" s="57">
        <f t="shared" si="54"/>
        <v>0</v>
      </c>
      <c r="CV12" s="57">
        <f>SUM(CV5:CV10)</f>
        <v>81683070.780000001</v>
      </c>
      <c r="CW12" s="57"/>
      <c r="CX12" s="57"/>
      <c r="CY12" s="57"/>
      <c r="CZ12" s="57"/>
      <c r="DA12" s="57"/>
      <c r="DB12" s="57"/>
      <c r="DC12" s="57">
        <f>SUM(DC5:DC10)</f>
        <v>111532019.46999985</v>
      </c>
      <c r="DD12" s="57"/>
      <c r="DE12" s="57"/>
      <c r="DF12" s="57"/>
      <c r="DG12" s="57"/>
      <c r="DH12" s="57"/>
      <c r="DI12" s="57"/>
      <c r="DJ12" s="57">
        <f>SUM(DJ5:DJ10)</f>
        <v>87421706.819999978</v>
      </c>
      <c r="DK12" s="57"/>
      <c r="DL12" s="57"/>
      <c r="DM12" s="57"/>
      <c r="DN12" s="57"/>
      <c r="DO12" s="57"/>
      <c r="DP12" s="57"/>
      <c r="DQ12" s="57">
        <f t="shared" ref="DQ12:EL12" si="55">DQ8+DQ7+DQ6+DQ5+DQ9+DQ10</f>
        <v>115635815.16000034</v>
      </c>
      <c r="DR12" s="57">
        <f t="shared" si="55"/>
        <v>0</v>
      </c>
      <c r="DS12" s="57">
        <f t="shared" si="55"/>
        <v>0</v>
      </c>
      <c r="DT12" s="57">
        <f t="shared" si="55"/>
        <v>0</v>
      </c>
      <c r="DU12" s="57">
        <f t="shared" si="55"/>
        <v>0</v>
      </c>
      <c r="DV12" s="57">
        <f t="shared" si="55"/>
        <v>0</v>
      </c>
      <c r="DW12" s="57">
        <f t="shared" si="55"/>
        <v>0</v>
      </c>
      <c r="DX12" s="57">
        <f t="shared" si="55"/>
        <v>102727213.86</v>
      </c>
      <c r="DY12" s="57">
        <f t="shared" si="55"/>
        <v>0</v>
      </c>
      <c r="DZ12" s="57">
        <f t="shared" si="55"/>
        <v>0</v>
      </c>
      <c r="EA12" s="57">
        <f t="shared" si="55"/>
        <v>0</v>
      </c>
      <c r="EB12" s="57">
        <f t="shared" si="55"/>
        <v>0</v>
      </c>
      <c r="EC12" s="57">
        <f t="shared" si="55"/>
        <v>0</v>
      </c>
      <c r="ED12" s="57">
        <f t="shared" si="55"/>
        <v>0</v>
      </c>
      <c r="EE12" s="57">
        <f t="shared" si="55"/>
        <v>138703404.08999956</v>
      </c>
      <c r="EF12" s="57">
        <f t="shared" si="55"/>
        <v>0</v>
      </c>
      <c r="EG12" s="57">
        <f t="shared" si="55"/>
        <v>0</v>
      </c>
      <c r="EH12" s="57">
        <f t="shared" si="55"/>
        <v>0</v>
      </c>
      <c r="EI12" s="57">
        <f t="shared" si="55"/>
        <v>0</v>
      </c>
      <c r="EJ12" s="57">
        <f t="shared" si="55"/>
        <v>0</v>
      </c>
      <c r="EK12" s="57">
        <f t="shared" si="55"/>
        <v>0</v>
      </c>
      <c r="EL12" s="57">
        <f t="shared" si="55"/>
        <v>124485643.24000001</v>
      </c>
      <c r="EM12" s="57">
        <f t="shared" ref="EM12:FM12" si="56">EM8+EM7+EM6+EM5+EM9+EM10</f>
        <v>0</v>
      </c>
      <c r="EN12" s="57">
        <f t="shared" si="56"/>
        <v>0</v>
      </c>
      <c r="EO12" s="57">
        <f t="shared" si="56"/>
        <v>0</v>
      </c>
      <c r="EP12" s="57">
        <f t="shared" si="56"/>
        <v>0</v>
      </c>
      <c r="EQ12" s="57">
        <f t="shared" si="56"/>
        <v>0</v>
      </c>
      <c r="ER12" s="57">
        <f t="shared" si="56"/>
        <v>0</v>
      </c>
      <c r="ES12" s="57">
        <f t="shared" si="56"/>
        <v>151107743.46000013</v>
      </c>
      <c r="ET12" s="57">
        <f t="shared" si="56"/>
        <v>0</v>
      </c>
      <c r="EU12" s="57">
        <f t="shared" si="56"/>
        <v>0</v>
      </c>
      <c r="EV12" s="57">
        <f t="shared" si="56"/>
        <v>0</v>
      </c>
      <c r="EW12" s="57">
        <f t="shared" si="56"/>
        <v>0</v>
      </c>
      <c r="EX12" s="57">
        <f t="shared" si="56"/>
        <v>0</v>
      </c>
      <c r="EY12" s="57">
        <f t="shared" si="56"/>
        <v>0</v>
      </c>
      <c r="EZ12" s="57">
        <f t="shared" si="56"/>
        <v>157409294.54000002</v>
      </c>
      <c r="FA12" s="57">
        <f t="shared" si="56"/>
        <v>0</v>
      </c>
      <c r="FB12" s="57">
        <f t="shared" si="56"/>
        <v>0</v>
      </c>
      <c r="FC12" s="57">
        <f t="shared" si="56"/>
        <v>0</v>
      </c>
      <c r="FD12" s="57">
        <f t="shared" si="56"/>
        <v>0</v>
      </c>
      <c r="FE12" s="57">
        <f t="shared" si="56"/>
        <v>0</v>
      </c>
      <c r="FF12" s="57">
        <f t="shared" si="56"/>
        <v>0</v>
      </c>
      <c r="FG12" s="57">
        <f t="shared" si="56"/>
        <v>133149708.16</v>
      </c>
      <c r="FH12" s="57">
        <f t="shared" si="56"/>
        <v>0</v>
      </c>
      <c r="FI12" s="57">
        <f t="shared" si="56"/>
        <v>0</v>
      </c>
      <c r="FJ12" s="57">
        <f t="shared" si="56"/>
        <v>0</v>
      </c>
      <c r="FK12" s="57">
        <f t="shared" si="56"/>
        <v>0</v>
      </c>
      <c r="FL12" s="57">
        <f t="shared" si="56"/>
        <v>0</v>
      </c>
      <c r="FM12" s="57">
        <f t="shared" si="56"/>
        <v>0</v>
      </c>
      <c r="FN12" s="57">
        <f>FN8+FN7+FN6+FN5+FN9+FN10</f>
        <v>118506466.02999999</v>
      </c>
      <c r="FO12" s="57">
        <f t="shared" ref="FO12:GA12" si="57">FO8+FO7+FO6+FO5+FO9+FO10</f>
        <v>0</v>
      </c>
      <c r="FP12" s="57">
        <f t="shared" si="57"/>
        <v>0</v>
      </c>
      <c r="FQ12" s="57">
        <f t="shared" si="57"/>
        <v>0</v>
      </c>
      <c r="FR12" s="57">
        <f t="shared" si="57"/>
        <v>0</v>
      </c>
      <c r="FS12" s="57">
        <f t="shared" si="57"/>
        <v>0</v>
      </c>
      <c r="FT12" s="57">
        <f t="shared" si="57"/>
        <v>0</v>
      </c>
      <c r="FU12" s="57">
        <f>FU8+FU7+FU6+FU5+FU9+FU10+FU11</f>
        <v>132281333.96000001</v>
      </c>
      <c r="FV12" s="57">
        <f t="shared" si="57"/>
        <v>0</v>
      </c>
      <c r="FW12" s="57">
        <f t="shared" si="57"/>
        <v>0</v>
      </c>
      <c r="FX12" s="57">
        <f t="shared" si="57"/>
        <v>0</v>
      </c>
      <c r="FY12" s="57">
        <f t="shared" si="57"/>
        <v>0</v>
      </c>
      <c r="FZ12" s="57">
        <f t="shared" si="57"/>
        <v>0</v>
      </c>
      <c r="GA12" s="57">
        <f t="shared" si="57"/>
        <v>0</v>
      </c>
      <c r="GB12" s="57">
        <f>GB8+GB7+GB6+GB5+GB9+GB10+GB11</f>
        <v>125716174.45</v>
      </c>
      <c r="GC12" s="57">
        <f>GC8+GC7+GC6+GC5+GC9+GC10+GC11</f>
        <v>1548993517.3900001</v>
      </c>
      <c r="GD12" s="57">
        <f>GD8+GD7+GD6+GD5+GD9+GD10+GD11</f>
        <v>1427939708.7999997</v>
      </c>
      <c r="GE12" s="63"/>
      <c r="GG12" s="196"/>
      <c r="GH12" s="36"/>
      <c r="GI12" s="36"/>
      <c r="GJ12" s="36"/>
    </row>
    <row r="13" spans="1:192" s="5" customFormat="1" ht="12.75" x14ac:dyDescent="0.2">
      <c r="A13" s="251" t="s">
        <v>127</v>
      </c>
      <c r="B13" s="4" t="s">
        <v>97</v>
      </c>
      <c r="C13" s="1" t="s">
        <v>26</v>
      </c>
      <c r="D13" s="7">
        <v>35370</v>
      </c>
      <c r="E13" s="65">
        <v>268410</v>
      </c>
      <c r="F13" s="59">
        <v>268410</v>
      </c>
      <c r="G13" s="59">
        <v>2470181.7799999998</v>
      </c>
      <c r="H13" s="59">
        <v>2214215.56</v>
      </c>
      <c r="I13" s="59">
        <v>3519212.05</v>
      </c>
      <c r="J13" s="59">
        <v>3511912.83</v>
      </c>
      <c r="K13" s="59">
        <v>5066229.42</v>
      </c>
      <c r="L13" s="59">
        <v>4731586.53</v>
      </c>
      <c r="M13" s="59">
        <v>7752867.96</v>
      </c>
      <c r="N13" s="59">
        <v>6276712.0999999996</v>
      </c>
      <c r="O13" s="59">
        <v>9707824.8599999994</v>
      </c>
      <c r="P13" s="59">
        <v>7952960.5700000003</v>
      </c>
      <c r="Q13" s="59">
        <v>10032037.59</v>
      </c>
      <c r="R13" s="59">
        <v>10649416.25</v>
      </c>
      <c r="S13" s="59">
        <v>11747468.17</v>
      </c>
      <c r="T13" s="59">
        <v>8290738.4400000004</v>
      </c>
      <c r="U13" s="59">
        <v>19471302.629999999</v>
      </c>
      <c r="V13" s="59">
        <v>19719019.050000001</v>
      </c>
      <c r="W13" s="59">
        <v>21984644.32</v>
      </c>
      <c r="X13" s="59">
        <v>21030986.870000001</v>
      </c>
      <c r="Y13" s="59">
        <v>27370337.57</v>
      </c>
      <c r="Z13" s="59">
        <v>25213821.579999998</v>
      </c>
      <c r="AA13" s="59">
        <v>28795594</v>
      </c>
      <c r="AB13" s="59">
        <v>27121635.609999999</v>
      </c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/>
      <c r="FZ13" s="77"/>
      <c r="GA13" s="77"/>
      <c r="GB13" s="77"/>
      <c r="GC13" s="151">
        <f>E13+G13+I13+K13+M13+O13+Q13+S13+U13+W13+Y13+AA13+AC13+AE13+AG13+AI13+AK13+AM13+AO13+AQ13+AY13+BM13+CA13+CO13+DC13+DQ13+EE13+ES13+FG13+FU13</f>
        <v>148186110.34999999</v>
      </c>
      <c r="GD13" s="151">
        <f>F13+H13+J13+L13+N13+P13+R13+T13+V13+X13+Z13+AB13+AD13+AF13+AH13+AJ13+AL13+AN13+AP13+AR13+BF13+BT13+CH13+CV13+DJ13+DX13+EL13+EZ13+FN13+GB13</f>
        <v>136981415.38999999</v>
      </c>
      <c r="GE13" s="217" t="s">
        <v>27</v>
      </c>
      <c r="GG13" s="36"/>
      <c r="GH13" s="36"/>
      <c r="GI13" s="36"/>
      <c r="GJ13" s="36"/>
    </row>
    <row r="14" spans="1:192" s="5" customFormat="1" ht="12.75" x14ac:dyDescent="0.2">
      <c r="A14" s="252"/>
      <c r="B14" s="4" t="s">
        <v>79</v>
      </c>
      <c r="C14" s="66" t="s">
        <v>26</v>
      </c>
      <c r="D14" s="67">
        <v>35370</v>
      </c>
      <c r="E14" s="75" t="s">
        <v>11</v>
      </c>
      <c r="F14" s="75" t="s">
        <v>11</v>
      </c>
      <c r="G14" s="75" t="s">
        <v>11</v>
      </c>
      <c r="H14" s="75" t="s">
        <v>11</v>
      </c>
      <c r="I14" s="75" t="s">
        <v>11</v>
      </c>
      <c r="J14" s="75" t="s">
        <v>11</v>
      </c>
      <c r="K14" s="75" t="s">
        <v>11</v>
      </c>
      <c r="L14" s="75" t="s">
        <v>11</v>
      </c>
      <c r="M14" s="75" t="s">
        <v>11</v>
      </c>
      <c r="N14" s="75" t="s">
        <v>11</v>
      </c>
      <c r="O14" s="75" t="s">
        <v>11</v>
      </c>
      <c r="P14" s="75" t="s">
        <v>11</v>
      </c>
      <c r="Q14" s="75" t="s">
        <v>11</v>
      </c>
      <c r="R14" s="75" t="s">
        <v>11</v>
      </c>
      <c r="S14" s="75" t="s">
        <v>11</v>
      </c>
      <c r="T14" s="75" t="s">
        <v>11</v>
      </c>
      <c r="U14" s="75" t="s">
        <v>11</v>
      </c>
      <c r="V14" s="75" t="s">
        <v>11</v>
      </c>
      <c r="W14" s="75" t="s">
        <v>11</v>
      </c>
      <c r="X14" s="75" t="s">
        <v>11</v>
      </c>
      <c r="Y14" s="75" t="s">
        <v>11</v>
      </c>
      <c r="Z14" s="75" t="s">
        <v>11</v>
      </c>
      <c r="AA14" s="75" t="s">
        <v>11</v>
      </c>
      <c r="AB14" s="75" t="s">
        <v>11</v>
      </c>
      <c r="AC14" s="68">
        <v>141617.28</v>
      </c>
      <c r="AD14" s="68">
        <v>102545.31000000001</v>
      </c>
      <c r="AE14" s="68">
        <v>133265.78</v>
      </c>
      <c r="AF14" s="68">
        <v>84163.55</v>
      </c>
      <c r="AG14" s="68">
        <v>179448.26</v>
      </c>
      <c r="AH14" s="68">
        <v>163012.50999999998</v>
      </c>
      <c r="AI14" s="68">
        <v>172341.43</v>
      </c>
      <c r="AJ14" s="68">
        <v>190253.64999999997</v>
      </c>
      <c r="AK14" s="68">
        <v>1701561.13</v>
      </c>
      <c r="AL14" s="68">
        <v>198597.61000000002</v>
      </c>
      <c r="AM14" s="68">
        <v>154161</v>
      </c>
      <c r="AN14" s="69">
        <v>169097.99000000002</v>
      </c>
      <c r="AO14" s="72">
        <v>146017.42000000001</v>
      </c>
      <c r="AP14" s="72">
        <v>173997.18</v>
      </c>
      <c r="AQ14" s="72">
        <v>164989.74</v>
      </c>
      <c r="AR14" s="72">
        <v>163975.53</v>
      </c>
      <c r="AS14" s="110">
        <v>178284.7</v>
      </c>
      <c r="AT14" s="110">
        <v>4231</v>
      </c>
      <c r="AU14" s="77"/>
      <c r="AV14" s="110">
        <v>0</v>
      </c>
      <c r="AW14" s="77"/>
      <c r="AX14" s="110">
        <v>5820.58</v>
      </c>
      <c r="AY14" s="10">
        <f t="shared" ref="AY14:AY26" si="58">SUM(AS14:AX14)</f>
        <v>188336.28</v>
      </c>
      <c r="AZ14" s="110">
        <v>178284.7</v>
      </c>
      <c r="BA14" s="110">
        <v>3573.06</v>
      </c>
      <c r="BB14" s="77"/>
      <c r="BC14" s="110">
        <v>0</v>
      </c>
      <c r="BD14" s="77"/>
      <c r="BE14" s="110">
        <v>5820.58</v>
      </c>
      <c r="BF14" s="10">
        <f t="shared" ref="BF14:BF26" si="59">SUM(AZ14:BE14)</f>
        <v>187678.34</v>
      </c>
      <c r="BG14" s="10">
        <v>234584</v>
      </c>
      <c r="BH14" s="10">
        <v>5888</v>
      </c>
      <c r="BI14" s="10">
        <v>0</v>
      </c>
      <c r="BJ14" s="10">
        <v>2044</v>
      </c>
      <c r="BK14" s="10">
        <v>0</v>
      </c>
      <c r="BL14" s="10">
        <v>128</v>
      </c>
      <c r="BM14" s="79">
        <f>SUM(BG14:BL14)</f>
        <v>242644</v>
      </c>
      <c r="BN14" s="10">
        <v>234584</v>
      </c>
      <c r="BO14" s="10">
        <v>4783</v>
      </c>
      <c r="BP14" s="10">
        <v>0</v>
      </c>
      <c r="BQ14" s="10">
        <v>2044</v>
      </c>
      <c r="BR14" s="10">
        <v>0</v>
      </c>
      <c r="BS14" s="10">
        <v>128</v>
      </c>
      <c r="BT14" s="135">
        <f>SUM(BN14:BS14)</f>
        <v>241539</v>
      </c>
      <c r="BU14" s="135">
        <v>221312.27</v>
      </c>
      <c r="BV14" s="135">
        <v>3347.2</v>
      </c>
      <c r="BW14" s="79">
        <v>0</v>
      </c>
      <c r="BX14" s="135">
        <v>3077.6</v>
      </c>
      <c r="BY14" s="79">
        <v>0</v>
      </c>
      <c r="BZ14" s="79">
        <v>5600.81</v>
      </c>
      <c r="CA14" s="10">
        <f>SUM(BU14:BZ14)</f>
        <v>233337.88</v>
      </c>
      <c r="CB14" s="135">
        <v>221312.27</v>
      </c>
      <c r="CC14" s="135">
        <v>2664.63</v>
      </c>
      <c r="CD14" s="79">
        <v>0</v>
      </c>
      <c r="CE14" s="135">
        <v>3077.6</v>
      </c>
      <c r="CF14" s="79">
        <v>0</v>
      </c>
      <c r="CG14" s="79">
        <v>5599.04</v>
      </c>
      <c r="CH14" s="10">
        <f>SUM(CB14:CG14)</f>
        <v>232653.54</v>
      </c>
      <c r="CI14" s="10">
        <f>[26]CE!$I$116</f>
        <v>246701.01</v>
      </c>
      <c r="CJ14" s="10">
        <f>[26]CE!$I$117</f>
        <v>4031.07</v>
      </c>
      <c r="CK14" s="10"/>
      <c r="CL14" s="10">
        <f>[26]CE!$I$118+[26]CE!$I$120+[26]CE!$I$122</f>
        <v>2557.91</v>
      </c>
      <c r="CM14" s="10"/>
      <c r="CN14" s="10">
        <f>[26]CE!$I$119+[26]CE!$I$121+[26]CE!$I$123</f>
        <v>10049.58</v>
      </c>
      <c r="CO14" s="10">
        <f>SUM(CI14:CN14)</f>
        <v>263339.57</v>
      </c>
      <c r="CP14" s="10">
        <f>[26]CE!$I$124</f>
        <v>246701.01</v>
      </c>
      <c r="CQ14" s="10">
        <f>[26]CE!$I$125</f>
        <v>3660.02</v>
      </c>
      <c r="CR14" s="10"/>
      <c r="CS14" s="10">
        <f>[26]CE!$I$126+[26]CE!$I$128+[26]CE!$I$130</f>
        <v>1972.21</v>
      </c>
      <c r="CT14" s="10"/>
      <c r="CU14" s="10">
        <f>[26]CE!$I$127+[26]CE!$I$129+[26]CE!$I$131</f>
        <v>37320.69</v>
      </c>
      <c r="CV14" s="10">
        <f>SUM(CP14:CU14)</f>
        <v>289653.93</v>
      </c>
      <c r="CW14" s="10">
        <f>[26]CE!$H$116</f>
        <v>259468.69</v>
      </c>
      <c r="CX14" s="10">
        <f>[26]CE!$H$117</f>
        <v>7377.1</v>
      </c>
      <c r="CY14" s="10"/>
      <c r="CZ14" s="10">
        <f>[26]CE!$H$118+[26]CE!$H$120+[26]CE!$H$122</f>
        <v>4768.63</v>
      </c>
      <c r="DA14" s="10"/>
      <c r="DB14" s="10">
        <f>[26]CE!$H$119+[26]CE!$H$121+[26]CE!$H$123</f>
        <v>12993.08</v>
      </c>
      <c r="DC14" s="10">
        <f>SUM(CW14:DB14)</f>
        <v>284607.5</v>
      </c>
      <c r="DD14" s="10">
        <f>[26]CE!$H$124</f>
        <v>253227.15</v>
      </c>
      <c r="DE14" s="10">
        <f>[26]CE!$H$125</f>
        <v>6404.87</v>
      </c>
      <c r="DF14" s="10"/>
      <c r="DG14" s="10">
        <f>[26]CE!$H$126+[26]CE!$H$128+[26]CE!$H$130</f>
        <v>4748.28</v>
      </c>
      <c r="DH14" s="10"/>
      <c r="DI14" s="10">
        <f>[26]CE!$H$127+[26]CE!$H$129+[26]CE!$H$131</f>
        <v>22357.13</v>
      </c>
      <c r="DJ14" s="10">
        <f>SUM(DD14:DI14)</f>
        <v>286737.43</v>
      </c>
      <c r="DK14" s="10">
        <f>[26]CE!$G$116</f>
        <v>283259.25</v>
      </c>
      <c r="DL14" s="10">
        <f>[26]CE!$G$117</f>
        <v>5820.34</v>
      </c>
      <c r="DM14" s="10"/>
      <c r="DN14" s="10">
        <f>[26]CE!$G$118+[26]CE!$G$120+[26]CE!$G$122</f>
        <v>2353.23</v>
      </c>
      <c r="DO14" s="10"/>
      <c r="DP14" s="10">
        <f>[26]CE!$G$119+[26]CE!$G$121+[26]CE!$G$123</f>
        <v>25462.21</v>
      </c>
      <c r="DQ14" s="10">
        <f>SUM(DK14:DP14)</f>
        <v>316895.03000000003</v>
      </c>
      <c r="DR14" s="10">
        <f>[26]CE!$G$124</f>
        <v>283259.25</v>
      </c>
      <c r="DS14" s="10">
        <f>[26]CE!$G$125</f>
        <v>5685.68</v>
      </c>
      <c r="DT14" s="10"/>
      <c r="DU14" s="10">
        <f>[26]CE!$G$126+[26]CE!$G$128+[26]CE!$G$130</f>
        <v>2353.23</v>
      </c>
      <c r="DV14" s="10"/>
      <c r="DW14" s="10">
        <f>[26]CE!$G$127+[26]CE!$G$129+[26]CE!$G$131</f>
        <v>44629.39</v>
      </c>
      <c r="DX14" s="10">
        <f>SUM(DR14:DW14)</f>
        <v>335927.55</v>
      </c>
      <c r="DY14" s="10">
        <f>[26]CE!$F$116</f>
        <v>370176.97</v>
      </c>
      <c r="DZ14" s="10">
        <f>[26]CE!$F$117</f>
        <v>5360.24</v>
      </c>
      <c r="EA14" s="10"/>
      <c r="EB14" s="10">
        <f>[26]CE!$F$118+[26]CE!$F$120+[26]CE!$F$122</f>
        <v>2434.8200000000002</v>
      </c>
      <c r="EC14" s="10"/>
      <c r="ED14" s="10">
        <f>[26]CE!$F$119+[26]CE!$F$121+[26]CE!$F$123</f>
        <v>23748.17</v>
      </c>
      <c r="EE14" s="10">
        <f>SUM(DY14:ED14)</f>
        <v>401720.19999999995</v>
      </c>
      <c r="EF14" s="10">
        <f>[26]CE!$F$124</f>
        <v>370176.97</v>
      </c>
      <c r="EG14" s="10">
        <f>[26]CE!$F$125</f>
        <v>5360.24</v>
      </c>
      <c r="EH14" s="10"/>
      <c r="EI14" s="10">
        <f>[26]CE!$F$126+[26]CE!$F$128+[26]CE!$F$130</f>
        <v>2434.8200000000002</v>
      </c>
      <c r="EJ14" s="10"/>
      <c r="EK14" s="10">
        <f>[26]CE!$F$127+[26]CE!$F$129+[26]CE!$F$131</f>
        <v>48771.54</v>
      </c>
      <c r="EL14" s="10">
        <f>SUM(EF14:EK14)</f>
        <v>426743.56999999995</v>
      </c>
      <c r="EM14" s="10">
        <f>[26]CE!$E$116</f>
        <v>425621.04</v>
      </c>
      <c r="EN14" s="10">
        <f>[26]CE!$E$117</f>
        <v>6278.26</v>
      </c>
      <c r="EO14" s="10"/>
      <c r="EP14" s="10">
        <f>[26]CE!$E$118+[26]CE!$E$120+[26]CE!$E$122</f>
        <v>2775.32</v>
      </c>
      <c r="EQ14" s="10"/>
      <c r="ER14" s="10">
        <f>[26]CE!$E$119+[26]CE!$E$121+[26]CE!$E$123</f>
        <v>40096.47</v>
      </c>
      <c r="ES14" s="10">
        <f>SUM(EM14:ER14)</f>
        <v>474771.08999999997</v>
      </c>
      <c r="ET14" s="10">
        <f>[26]CE!$E$124</f>
        <v>3699311.01</v>
      </c>
      <c r="EU14" s="10">
        <f>[26]CE!$E$125</f>
        <v>939040.19</v>
      </c>
      <c r="EV14" s="10"/>
      <c r="EW14" s="10">
        <f>[26]CE!$E$126+[26]CE!$E$128+[26]CE!$E$130</f>
        <v>180919.24</v>
      </c>
      <c r="EX14" s="10"/>
      <c r="EY14" s="10">
        <f>[26]CE!$E$127+[26]CE!$E$129+[26]CE!$E$131</f>
        <v>276918.18</v>
      </c>
      <c r="EZ14" s="10">
        <f>SUM(ET14:EY14)</f>
        <v>5096188.6199999992</v>
      </c>
      <c r="FA14" s="10">
        <f>[27]CE!$R$16</f>
        <v>486046.98</v>
      </c>
      <c r="FB14" s="10">
        <f>[27]CE!$S$16</f>
        <v>9043.57</v>
      </c>
      <c r="FC14" s="10"/>
      <c r="FD14" s="10">
        <f>[27]CE!$Q$16</f>
        <v>3960.27</v>
      </c>
      <c r="FE14" s="10"/>
      <c r="FF14" s="10">
        <f>[27]CE!$T$16</f>
        <v>167362.28</v>
      </c>
      <c r="FG14" s="10">
        <f t="shared" ref="FG14:FG18" si="60">SUM(FA14:FF14)</f>
        <v>666413.1</v>
      </c>
      <c r="FH14" s="10">
        <f>[27]CE!$V$16</f>
        <v>503989.63</v>
      </c>
      <c r="FI14" s="10">
        <f>[27]CE!$W$16</f>
        <v>8039.42</v>
      </c>
      <c r="FJ14" s="10"/>
      <c r="FK14" s="10">
        <f>[27]CE!$U$16</f>
        <v>4215.6400000000003</v>
      </c>
      <c r="FL14" s="10"/>
      <c r="FM14" s="10">
        <f>[27]CE!$X$16</f>
        <v>165126.45000000001</v>
      </c>
      <c r="FN14" s="10">
        <f t="shared" ref="FN14:FN18" si="61">SUM(FH14:FM14)</f>
        <v>681371.14</v>
      </c>
      <c r="FO14" s="233">
        <f>[28]CE!R15</f>
        <v>4875106.3899999997</v>
      </c>
      <c r="FP14" s="233">
        <f>[28]CE!S15</f>
        <v>1091956.3999999999</v>
      </c>
      <c r="FQ14" s="233"/>
      <c r="FR14" s="233">
        <f>[28]CE!Q15</f>
        <v>292802.09000000003</v>
      </c>
      <c r="FS14" s="233"/>
      <c r="FT14" s="233">
        <f>[28]CE!T15</f>
        <v>694736.46</v>
      </c>
      <c r="FU14" s="233">
        <f>SUM(FO14:FT14)</f>
        <v>6954601.3399999989</v>
      </c>
      <c r="FV14" s="233">
        <f>[28]CE!V15</f>
        <v>4875541.5</v>
      </c>
      <c r="FW14" s="233">
        <f>[28]CE!W15</f>
        <v>1136107.3999999999</v>
      </c>
      <c r="FX14" s="233"/>
      <c r="FY14" s="233">
        <f>[28]CE!U15</f>
        <v>281713.58</v>
      </c>
      <c r="FZ14" s="233"/>
      <c r="GA14" s="223">
        <f>[28]CE!X15</f>
        <v>710989.26</v>
      </c>
      <c r="GB14" s="223">
        <f>SUM(FV14:GA14)</f>
        <v>7004351.7400000002</v>
      </c>
      <c r="GC14" s="152">
        <f>AC14+AE14+AG14+AI14+AK14+AM14+AO14+AQ14+AY14+BM14+CA14+CO14+DC14+DQ14+EE14+ES14+FG14+FU14</f>
        <v>12820068.029999997</v>
      </c>
      <c r="GD14" s="151">
        <f>AD14+AF14+AH14+AJ14+AL14+AN14+AP14+AR14+BF14+BT14+CH14+CV14+DJ14+DX14+EL14+EZ14+FN14+GB14</f>
        <v>16028488.189999999</v>
      </c>
      <c r="GE14" s="218"/>
      <c r="GG14" s="36"/>
      <c r="GH14" s="36"/>
      <c r="GI14" s="36"/>
      <c r="GJ14" s="36"/>
    </row>
    <row r="15" spans="1:192" s="5" customFormat="1" ht="12.75" x14ac:dyDescent="0.2">
      <c r="A15" s="252"/>
      <c r="B15" s="4" t="s">
        <v>80</v>
      </c>
      <c r="C15" s="66" t="s">
        <v>26</v>
      </c>
      <c r="D15" s="67">
        <f t="shared" ref="D15:D26" si="62">D14</f>
        <v>35370</v>
      </c>
      <c r="E15" s="75" t="s">
        <v>11</v>
      </c>
      <c r="F15" s="75" t="s">
        <v>11</v>
      </c>
      <c r="G15" s="75" t="s">
        <v>11</v>
      </c>
      <c r="H15" s="75" t="s">
        <v>11</v>
      </c>
      <c r="I15" s="75" t="s">
        <v>11</v>
      </c>
      <c r="J15" s="75" t="s">
        <v>11</v>
      </c>
      <c r="K15" s="75" t="s">
        <v>11</v>
      </c>
      <c r="L15" s="75" t="s">
        <v>11</v>
      </c>
      <c r="M15" s="75" t="s">
        <v>11</v>
      </c>
      <c r="N15" s="75" t="s">
        <v>11</v>
      </c>
      <c r="O15" s="75" t="s">
        <v>11</v>
      </c>
      <c r="P15" s="75" t="s">
        <v>11</v>
      </c>
      <c r="Q15" s="75" t="s">
        <v>11</v>
      </c>
      <c r="R15" s="75" t="s">
        <v>11</v>
      </c>
      <c r="S15" s="75" t="s">
        <v>11</v>
      </c>
      <c r="T15" s="75" t="s">
        <v>11</v>
      </c>
      <c r="U15" s="75" t="s">
        <v>11</v>
      </c>
      <c r="V15" s="75" t="s">
        <v>11</v>
      </c>
      <c r="W15" s="75" t="s">
        <v>11</v>
      </c>
      <c r="X15" s="75" t="s">
        <v>11</v>
      </c>
      <c r="Y15" s="75" t="s">
        <v>11</v>
      </c>
      <c r="Z15" s="75" t="s">
        <v>11</v>
      </c>
      <c r="AA15" s="75" t="s">
        <v>11</v>
      </c>
      <c r="AB15" s="75" t="s">
        <v>11</v>
      </c>
      <c r="AC15" s="68">
        <v>1054064.45</v>
      </c>
      <c r="AD15" s="68">
        <v>838262.7899999998</v>
      </c>
      <c r="AE15" s="68">
        <v>903280.33</v>
      </c>
      <c r="AF15" s="68">
        <v>760824.92</v>
      </c>
      <c r="AG15" s="68">
        <v>1178116.3400000001</v>
      </c>
      <c r="AH15" s="68">
        <v>1236873.92</v>
      </c>
      <c r="AI15" s="68">
        <v>1149394.0900000001</v>
      </c>
      <c r="AJ15" s="68">
        <v>1282637.6100000003</v>
      </c>
      <c r="AK15" s="68">
        <v>1520107.98</v>
      </c>
      <c r="AL15" s="68">
        <v>1367917.2200000002</v>
      </c>
      <c r="AM15" s="68">
        <v>1708911</v>
      </c>
      <c r="AN15" s="69">
        <v>1645635.0700000005</v>
      </c>
      <c r="AO15" s="72">
        <v>1945603.7999999998</v>
      </c>
      <c r="AP15" s="72">
        <v>2001393.15</v>
      </c>
      <c r="AQ15" s="72">
        <v>2007860.6</v>
      </c>
      <c r="AR15" s="72">
        <v>1897370.96</v>
      </c>
      <c r="AS15" s="110">
        <v>1820052.14</v>
      </c>
      <c r="AT15" s="110">
        <v>364117.37</v>
      </c>
      <c r="AU15" s="77"/>
      <c r="AV15" s="110">
        <v>4545.4399999999996</v>
      </c>
      <c r="AW15" s="77"/>
      <c r="AX15" s="110">
        <v>55486.44</v>
      </c>
      <c r="AY15" s="10">
        <f t="shared" si="58"/>
        <v>2244201.3899999997</v>
      </c>
      <c r="AZ15" s="110">
        <v>1697682.06</v>
      </c>
      <c r="BA15" s="110">
        <v>318255.52</v>
      </c>
      <c r="BB15" s="77"/>
      <c r="BC15" s="110">
        <v>4335.72</v>
      </c>
      <c r="BD15" s="77"/>
      <c r="BE15" s="110">
        <v>48608.95</v>
      </c>
      <c r="BF15" s="10">
        <f t="shared" si="59"/>
        <v>2068882.25</v>
      </c>
      <c r="BG15" s="10">
        <v>2046268</v>
      </c>
      <c r="BH15" s="10">
        <v>335595</v>
      </c>
      <c r="BI15" s="10">
        <v>0</v>
      </c>
      <c r="BJ15" s="10">
        <v>7744</v>
      </c>
      <c r="BK15" s="10">
        <v>0</v>
      </c>
      <c r="BL15" s="10">
        <v>58149</v>
      </c>
      <c r="BM15" s="79">
        <f t="shared" ref="BM15:BM26" si="63">SUM(BG15:BL15)</f>
        <v>2447756</v>
      </c>
      <c r="BN15" s="10">
        <v>2015636</v>
      </c>
      <c r="BO15" s="10">
        <v>315175</v>
      </c>
      <c r="BP15" s="10">
        <v>0</v>
      </c>
      <c r="BQ15" s="10">
        <v>7744</v>
      </c>
      <c r="BR15" s="10">
        <v>0</v>
      </c>
      <c r="BS15" s="10">
        <v>52709</v>
      </c>
      <c r="BT15" s="135">
        <f t="shared" ref="BT15:BT26" si="64">SUM(BN15:BS15)</f>
        <v>2391264</v>
      </c>
      <c r="BU15" s="135">
        <v>2167061.67</v>
      </c>
      <c r="BV15" s="135">
        <v>315228.74</v>
      </c>
      <c r="BW15" s="79">
        <v>0</v>
      </c>
      <c r="BX15" s="135">
        <v>3243.61</v>
      </c>
      <c r="BY15" s="79">
        <v>0</v>
      </c>
      <c r="BZ15" s="135">
        <v>119722.18000000001</v>
      </c>
      <c r="CA15" s="10">
        <f t="shared" ref="CA15:CA99" si="65">SUM(BU15:BZ15)</f>
        <v>2605256.2000000002</v>
      </c>
      <c r="CB15" s="135">
        <v>2143374.5</v>
      </c>
      <c r="CC15" s="135">
        <v>298748.61</v>
      </c>
      <c r="CD15" s="79">
        <v>0</v>
      </c>
      <c r="CE15" s="135">
        <v>3183.36</v>
      </c>
      <c r="CF15" s="79">
        <v>0</v>
      </c>
      <c r="CG15" s="135">
        <v>83391.520000000004</v>
      </c>
      <c r="CH15" s="10">
        <f t="shared" ref="CH15:CH26" si="66">SUM(CB15:CG15)</f>
        <v>2528697.9899999998</v>
      </c>
      <c r="CI15" s="10">
        <f>[26]CE!$I$4</f>
        <v>2518184.2000000002</v>
      </c>
      <c r="CJ15" s="10">
        <f>[26]CE!$I$5</f>
        <v>354247.83</v>
      </c>
      <c r="CK15" s="10"/>
      <c r="CL15" s="10">
        <f>[26]CE!$I$6+[26]CE!$I$8+[26]CE!$I$10</f>
        <v>4917.3900000000003</v>
      </c>
      <c r="CM15" s="10"/>
      <c r="CN15" s="10">
        <f>[26]CE!$I$7+[26]CE!$I$9+[26]CE!$I$11</f>
        <v>128341.88</v>
      </c>
      <c r="CO15" s="10">
        <f>SUM(CI15:CN15)</f>
        <v>3005691.3000000003</v>
      </c>
      <c r="CP15" s="10">
        <f>[26]CE!$I$12</f>
        <v>2447190.54</v>
      </c>
      <c r="CQ15" s="10">
        <f>[26]CE!$I$13</f>
        <v>332193.46000000002</v>
      </c>
      <c r="CR15" s="10"/>
      <c r="CS15" s="10">
        <f>[26]CE!$I$14+[26]CE!$I$16+[26]CE!$I$18</f>
        <v>4286.3599999999997</v>
      </c>
      <c r="CT15" s="10"/>
      <c r="CU15" s="10">
        <f>[26]CE!$I$15+[26]CE!$I$17+[26]CE!$I$19</f>
        <v>90385.11</v>
      </c>
      <c r="CV15" s="10">
        <f>SUM(CP15:CU15)</f>
        <v>2874055.4699999997</v>
      </c>
      <c r="CW15" s="10">
        <f>[26]CE!$H$4</f>
        <v>2630331.2999999998</v>
      </c>
      <c r="CX15" s="10">
        <f>[26]CE!$H$5</f>
        <v>465062.31</v>
      </c>
      <c r="CY15" s="10"/>
      <c r="CZ15" s="10">
        <f>[26]CE!$H$6+[26]CE!$H$8+[26]CE!$H$10</f>
        <v>3645.29</v>
      </c>
      <c r="DA15" s="10"/>
      <c r="DB15" s="10">
        <f>[26]CE!$H$7+[26]CE!$H$9+[26]CE!$H$11</f>
        <v>148247.58000000002</v>
      </c>
      <c r="DC15" s="10">
        <f>SUM(CW15:DB15)</f>
        <v>3247286.48</v>
      </c>
      <c r="DD15" s="10">
        <f>[26]CE!$H$12</f>
        <v>2611475.9700000002</v>
      </c>
      <c r="DE15" s="10">
        <f>[26]CE!$H$13</f>
        <v>437877.36</v>
      </c>
      <c r="DF15" s="10"/>
      <c r="DG15" s="10">
        <f>[26]CE!$H$14+[26]CE!$H$16+[26]CE!$H$18</f>
        <v>3397.0699999999997</v>
      </c>
      <c r="DH15" s="10"/>
      <c r="DI15" s="10">
        <f>[26]CE!$H$15+[26]CE!$H$17+[26]CE!$H$19</f>
        <v>113673.45999999999</v>
      </c>
      <c r="DJ15" s="10">
        <f>SUM(DD15:DI15)</f>
        <v>3166423.86</v>
      </c>
      <c r="DK15" s="10">
        <f>[26]CE!$G$4</f>
        <v>2906971.64</v>
      </c>
      <c r="DL15" s="10">
        <f>[26]CE!$G$5</f>
        <v>883956.59</v>
      </c>
      <c r="DM15" s="10"/>
      <c r="DN15" s="10">
        <f>[26]CE!$G$6+[26]CE!$G$8+[26]CE!$G$10</f>
        <v>13155.239999999998</v>
      </c>
      <c r="DO15" s="10"/>
      <c r="DP15" s="10">
        <f>[26]CE!$G$7+[26]CE!$G$9+[26]CE!$G$11</f>
        <v>223938.7</v>
      </c>
      <c r="DQ15" s="10">
        <f>SUM(DK15:DP15)</f>
        <v>4028022.1700000004</v>
      </c>
      <c r="DR15" s="10">
        <f>[26]CE!$G$12</f>
        <v>2906971.64</v>
      </c>
      <c r="DS15" s="10">
        <f>[26]CE!$G$13</f>
        <v>861485.43</v>
      </c>
      <c r="DT15" s="10"/>
      <c r="DU15" s="10">
        <f>[26]CE!$G$14+[26]CE!$G$16+[26]CE!$G$18</f>
        <v>7474.8</v>
      </c>
      <c r="DV15" s="10"/>
      <c r="DW15" s="10">
        <f>[26]CE!$G$15+[26]CE!$G$17+[26]CE!$G$19</f>
        <v>180785.88</v>
      </c>
      <c r="DX15" s="10">
        <f t="shared" ref="DX15:DX26" si="67">SUM(DR15:DW15)</f>
        <v>3956717.75</v>
      </c>
      <c r="DY15" s="10">
        <f>[26]CE!$F$4</f>
        <v>3463765.82</v>
      </c>
      <c r="DZ15" s="10">
        <f>[26]CE!$F$5</f>
        <v>798367.06</v>
      </c>
      <c r="EA15" s="10"/>
      <c r="EB15" s="10">
        <f>[26]CE!$F$6+[26]CE!$F$8+[26]CE!$F$10</f>
        <v>18892.690000000002</v>
      </c>
      <c r="EC15" s="10"/>
      <c r="ED15" s="10">
        <f>[26]CE!$F$7+[26]CE!$F$9+[26]CE!$F$11</f>
        <v>282530.3</v>
      </c>
      <c r="EE15" s="10">
        <f>SUM(DY15:ED15)</f>
        <v>4563555.87</v>
      </c>
      <c r="EF15" s="10">
        <f>[26]CE!$F$12</f>
        <v>3463065.49</v>
      </c>
      <c r="EG15" s="10">
        <f>[26]CE!$F$13</f>
        <v>738705.9</v>
      </c>
      <c r="EH15" s="10"/>
      <c r="EI15" s="10">
        <f>[26]CE!$F$14+[26]CE!$F$16+[26]CE!$F$18</f>
        <v>13264.55</v>
      </c>
      <c r="EJ15" s="10"/>
      <c r="EK15" s="10">
        <f>[26]CE!$F$15+[26]CE!$F$17+[26]CE!$F$19</f>
        <v>255552</v>
      </c>
      <c r="EL15" s="10">
        <f t="shared" ref="EL15:EL37" si="68">SUM(EF15:EK15)</f>
        <v>4470587.9400000004</v>
      </c>
      <c r="EM15" s="10">
        <f>[26]CE!$E$4</f>
        <v>3716238.45</v>
      </c>
      <c r="EN15" s="10">
        <f>[26]CE!$E$5</f>
        <v>960852.79</v>
      </c>
      <c r="EO15" s="10"/>
      <c r="EP15" s="10">
        <f>[26]CE!$E$6+[26]CE!$E$8+[26]CE!$E$10</f>
        <v>221298.56</v>
      </c>
      <c r="EQ15" s="10"/>
      <c r="ER15" s="10">
        <f>[26]CE!$E$7+[26]CE!$E$9+[26]CE!$E$11</f>
        <v>305825.49</v>
      </c>
      <c r="ES15" s="10">
        <f>SUM(EM15:ER15)</f>
        <v>5204215.29</v>
      </c>
      <c r="ET15" s="10">
        <f>[26]CE!$E$12</f>
        <v>3699311.01</v>
      </c>
      <c r="EU15" s="10">
        <f>[26]CE!$E$13</f>
        <v>939040.19</v>
      </c>
      <c r="EV15" s="10"/>
      <c r="EW15" s="10">
        <f>[26]CE!$E$14+[26]CE!$E$16+[26]CE!$E$18</f>
        <v>180919.24</v>
      </c>
      <c r="EX15" s="10"/>
      <c r="EY15" s="10">
        <f>[26]CE!$E$15+[26]CE!$E$17+[26]CE!$E$19</f>
        <v>276918.18</v>
      </c>
      <c r="EZ15" s="10">
        <f t="shared" ref="EZ15:EZ18" si="69">SUM(ET15:EY15)</f>
        <v>5096188.6199999992</v>
      </c>
      <c r="FA15" s="10">
        <f>[27]CE!$R$15</f>
        <v>3998960.51</v>
      </c>
      <c r="FB15" s="10">
        <f>[27]CE!$S$15</f>
        <v>962518.14</v>
      </c>
      <c r="FC15" s="10"/>
      <c r="FD15" s="10">
        <f>[27]CE!$Q$15</f>
        <v>254305.6</v>
      </c>
      <c r="FE15" s="10"/>
      <c r="FF15" s="10">
        <f>[27]CE!$T$15</f>
        <v>326251.43</v>
      </c>
      <c r="FG15" s="10">
        <f t="shared" si="60"/>
        <v>5542035.6799999988</v>
      </c>
      <c r="FH15" s="10">
        <f>[27]CE!$V$15</f>
        <v>4206394.07</v>
      </c>
      <c r="FI15" s="10">
        <f>[27]CE!$W$15</f>
        <v>960840.98999999801</v>
      </c>
      <c r="FJ15" s="10"/>
      <c r="FK15" s="10">
        <f>[27]CE!$U$15</f>
        <v>253847.79</v>
      </c>
      <c r="FL15" s="10"/>
      <c r="FM15" s="10">
        <f>[27]CE!$X$15</f>
        <v>344402.05</v>
      </c>
      <c r="FN15" s="10">
        <f t="shared" si="61"/>
        <v>5765484.8999999985</v>
      </c>
      <c r="FO15" s="234"/>
      <c r="FP15" s="234"/>
      <c r="FQ15" s="234"/>
      <c r="FR15" s="234"/>
      <c r="FS15" s="234"/>
      <c r="FT15" s="234"/>
      <c r="FU15" s="234">
        <f>SUM(FO15:FT15)</f>
        <v>0</v>
      </c>
      <c r="FV15" s="234"/>
      <c r="FW15" s="234"/>
      <c r="FX15" s="234"/>
      <c r="FY15" s="234"/>
      <c r="FZ15" s="234"/>
      <c r="GA15" s="224"/>
      <c r="GB15" s="224"/>
      <c r="GC15" s="152">
        <f t="shared" ref="GC15:GC26" si="70">AC15+AE15+AG15+AI15+AK15+AM15+AO15+AQ15+AY15+BM15+CA15+CO15+DC15+DQ15+EE15+ES15+FG15+FU15</f>
        <v>44355358.969999999</v>
      </c>
      <c r="GD15" s="151">
        <f>AD15+AF15+AH15+AJ15+AL15+AN15+AP15+AR15+BF15+BT15+CH15+CV15+DJ15+DX15+EL15+EZ15+FN15+GB15</f>
        <v>43349218.419999994</v>
      </c>
      <c r="GE15" s="218"/>
      <c r="GG15" s="36"/>
      <c r="GH15" s="36"/>
      <c r="GI15" s="36"/>
      <c r="GJ15" s="36"/>
    </row>
    <row r="16" spans="1:192" s="5" customFormat="1" ht="12.75" x14ac:dyDescent="0.2">
      <c r="A16" s="252"/>
      <c r="B16" s="4" t="s">
        <v>81</v>
      </c>
      <c r="C16" s="66" t="s">
        <v>26</v>
      </c>
      <c r="D16" s="67">
        <f t="shared" si="62"/>
        <v>35370</v>
      </c>
      <c r="E16" s="75" t="s">
        <v>11</v>
      </c>
      <c r="F16" s="75" t="s">
        <v>11</v>
      </c>
      <c r="G16" s="75" t="s">
        <v>11</v>
      </c>
      <c r="H16" s="75" t="s">
        <v>11</v>
      </c>
      <c r="I16" s="75" t="s">
        <v>11</v>
      </c>
      <c r="J16" s="75" t="s">
        <v>11</v>
      </c>
      <c r="K16" s="75" t="s">
        <v>11</v>
      </c>
      <c r="L16" s="75" t="s">
        <v>11</v>
      </c>
      <c r="M16" s="75" t="s">
        <v>11</v>
      </c>
      <c r="N16" s="75" t="s">
        <v>11</v>
      </c>
      <c r="O16" s="75" t="s">
        <v>11</v>
      </c>
      <c r="P16" s="75" t="s">
        <v>11</v>
      </c>
      <c r="Q16" s="75" t="s">
        <v>11</v>
      </c>
      <c r="R16" s="75" t="s">
        <v>11</v>
      </c>
      <c r="S16" s="75" t="s">
        <v>11</v>
      </c>
      <c r="T16" s="75" t="s">
        <v>11</v>
      </c>
      <c r="U16" s="75" t="s">
        <v>11</v>
      </c>
      <c r="V16" s="75" t="s">
        <v>11</v>
      </c>
      <c r="W16" s="75" t="s">
        <v>11</v>
      </c>
      <c r="X16" s="75" t="s">
        <v>11</v>
      </c>
      <c r="Y16" s="75" t="s">
        <v>11</v>
      </c>
      <c r="Z16" s="75" t="s">
        <v>11</v>
      </c>
      <c r="AA16" s="75" t="s">
        <v>11</v>
      </c>
      <c r="AB16" s="75" t="s">
        <v>11</v>
      </c>
      <c r="AC16" s="68">
        <v>280280.62</v>
      </c>
      <c r="AD16" s="68">
        <v>305669.41999999987</v>
      </c>
      <c r="AE16" s="68">
        <v>331925.39</v>
      </c>
      <c r="AF16" s="68">
        <v>356200.04</v>
      </c>
      <c r="AG16" s="68">
        <v>381965.66</v>
      </c>
      <c r="AH16" s="68">
        <v>400653.86000000004</v>
      </c>
      <c r="AI16" s="68">
        <v>439925.8</v>
      </c>
      <c r="AJ16" s="68">
        <v>456623.32</v>
      </c>
      <c r="AK16" s="68">
        <v>515742.43</v>
      </c>
      <c r="AL16" s="68">
        <v>535054.61</v>
      </c>
      <c r="AM16" s="68">
        <v>541450</v>
      </c>
      <c r="AN16" s="69">
        <v>557734.57999999996</v>
      </c>
      <c r="AO16" s="72">
        <v>835337.0199999999</v>
      </c>
      <c r="AP16" s="72">
        <v>685010.34</v>
      </c>
      <c r="AQ16" s="72">
        <v>597767.89</v>
      </c>
      <c r="AR16" s="72">
        <v>596678.87</v>
      </c>
      <c r="AS16" s="110">
        <v>57289.62</v>
      </c>
      <c r="AT16" s="110">
        <v>491013.65</v>
      </c>
      <c r="AU16" s="77"/>
      <c r="AV16" s="110">
        <v>0</v>
      </c>
      <c r="AW16" s="77"/>
      <c r="AX16" s="110">
        <v>722.21</v>
      </c>
      <c r="AY16" s="10">
        <f t="shared" si="58"/>
        <v>549025.48</v>
      </c>
      <c r="AZ16" s="110">
        <v>57289.62</v>
      </c>
      <c r="BA16" s="110">
        <v>489729.22</v>
      </c>
      <c r="BB16" s="77"/>
      <c r="BC16" s="110">
        <v>0</v>
      </c>
      <c r="BD16" s="77"/>
      <c r="BE16" s="110">
        <v>722.21</v>
      </c>
      <c r="BF16" s="10">
        <f t="shared" si="59"/>
        <v>547741.04999999993</v>
      </c>
      <c r="BG16" s="10">
        <v>287337</v>
      </c>
      <c r="BH16" s="10">
        <v>524916</v>
      </c>
      <c r="BI16" s="10">
        <v>0</v>
      </c>
      <c r="BJ16" s="10">
        <v>0</v>
      </c>
      <c r="BK16" s="10">
        <v>0</v>
      </c>
      <c r="BL16" s="10">
        <v>9816</v>
      </c>
      <c r="BM16" s="79">
        <f t="shared" si="63"/>
        <v>822069</v>
      </c>
      <c r="BN16" s="10">
        <v>287337</v>
      </c>
      <c r="BO16" s="10">
        <v>523442</v>
      </c>
      <c r="BP16" s="10">
        <v>0</v>
      </c>
      <c r="BQ16" s="10">
        <v>0</v>
      </c>
      <c r="BR16" s="10">
        <v>0</v>
      </c>
      <c r="BS16" s="10">
        <v>9816</v>
      </c>
      <c r="BT16" s="135">
        <f t="shared" si="64"/>
        <v>820595</v>
      </c>
      <c r="BU16" s="135">
        <v>324713.78000000003</v>
      </c>
      <c r="BV16" s="135">
        <v>475236.6</v>
      </c>
      <c r="BW16" s="79">
        <v>0</v>
      </c>
      <c r="BX16" s="79">
        <v>0</v>
      </c>
      <c r="BY16" s="79">
        <v>0</v>
      </c>
      <c r="BZ16" s="135">
        <v>17690.25</v>
      </c>
      <c r="CA16" s="10">
        <f t="shared" si="65"/>
        <v>817640.63</v>
      </c>
      <c r="CB16" s="135">
        <v>324713.78000000003</v>
      </c>
      <c r="CC16" s="135">
        <v>474341.41</v>
      </c>
      <c r="CD16" s="79">
        <v>0</v>
      </c>
      <c r="CE16" s="79">
        <v>0</v>
      </c>
      <c r="CF16" s="79">
        <v>0</v>
      </c>
      <c r="CG16" s="135">
        <v>17690.25</v>
      </c>
      <c r="CH16" s="10">
        <f t="shared" si="66"/>
        <v>816745.44</v>
      </c>
      <c r="CI16" s="10">
        <f>[26]CE!$I$148</f>
        <v>395045.71</v>
      </c>
      <c r="CJ16" s="10">
        <f>[26]CE!$I$149</f>
        <v>498244.73</v>
      </c>
      <c r="CK16" s="10"/>
      <c r="CL16" s="10">
        <f>[26]CE!$I$150+[26]CE!$I$152+[26]CE!$I$154</f>
        <v>544.54</v>
      </c>
      <c r="CM16" s="10"/>
      <c r="CN16" s="10">
        <f>[26]CE!$I$151+[26]CE!$I$153+[26]CE!$I$155</f>
        <v>1943.54</v>
      </c>
      <c r="CO16" s="10">
        <f t="shared" ref="CO16:CO18" si="71">SUM(CI16:CN16)</f>
        <v>895778.52</v>
      </c>
      <c r="CP16" s="10">
        <f>[26]CE!$I$156</f>
        <v>395045.71</v>
      </c>
      <c r="CQ16" s="10">
        <f>[26]CE!$I$157</f>
        <v>495696.5</v>
      </c>
      <c r="CR16" s="10"/>
      <c r="CS16" s="10">
        <f>[26]CE!$I$158+[26]CE!$I$160+[26]CE!$I$162</f>
        <v>1270.3499999999999</v>
      </c>
      <c r="CT16" s="10"/>
      <c r="CU16" s="10">
        <f>[26]CE!$I$159+[26]CE!$I$161+[26]CE!$I$163</f>
        <v>76357.84</v>
      </c>
      <c r="CV16" s="10">
        <f t="shared" ref="CV16:CV26" si="72">SUM(CP16:CU16)</f>
        <v>968370.39999999991</v>
      </c>
      <c r="CW16" s="10">
        <f>[26]CE!$H$148</f>
        <v>471095.2</v>
      </c>
      <c r="CX16" s="10">
        <f>[26]CE!$H$149</f>
        <v>381604.13</v>
      </c>
      <c r="CY16" s="10"/>
      <c r="CZ16" s="10">
        <f>[26]CE!$H$150+[26]CE!$H$152+[26]CE!$H$154</f>
        <v>2194.73</v>
      </c>
      <c r="DA16" s="10"/>
      <c r="DB16" s="10">
        <f>[26]CE!$H$151+[26]CE!$H$153+[26]CE!$H$155</f>
        <v>2843.9</v>
      </c>
      <c r="DC16" s="10">
        <f t="shared" ref="DC16:DC18" si="73">SUM(CW16:DB16)</f>
        <v>857737.96000000008</v>
      </c>
      <c r="DD16" s="10">
        <f>[26]CE!$H$156</f>
        <v>459199.75</v>
      </c>
      <c r="DE16" s="10">
        <f>[26]CE!$H$157</f>
        <v>374819.71</v>
      </c>
      <c r="DF16" s="10"/>
      <c r="DG16" s="10">
        <f>[26]CE!$H$158+[26]CE!$H$160+[26]CE!$H$162</f>
        <v>2946.54</v>
      </c>
      <c r="DH16" s="10"/>
      <c r="DI16" s="10">
        <f>[26]CE!$H$159+[26]CE!$H$161+[26]CE!$H$163</f>
        <v>78366.86</v>
      </c>
      <c r="DJ16" s="10">
        <f t="shared" ref="DJ16:DJ26" si="74">SUM(DD16:DI16)</f>
        <v>915332.86</v>
      </c>
      <c r="DK16" s="10">
        <f>[26]CE!$G$148</f>
        <v>519502.13</v>
      </c>
      <c r="DL16" s="10">
        <f>[26]CE!$G$149</f>
        <v>410292.38</v>
      </c>
      <c r="DM16" s="10"/>
      <c r="DN16" s="10">
        <f>[26]CE!$G$150+[26]CE!$G$152+[26]CE!$G$154</f>
        <v>2243.71</v>
      </c>
      <c r="DO16" s="10"/>
      <c r="DP16" s="10">
        <f>[26]CE!$G$151+[26]CE!$G$153+[26]CE!$G$155</f>
        <v>4930.25</v>
      </c>
      <c r="DQ16" s="10">
        <f t="shared" ref="DQ16:DQ18" si="75">SUM(DK16:DP16)</f>
        <v>936968.47</v>
      </c>
      <c r="DR16" s="10">
        <f>[26]CE!$G$156</f>
        <v>488937.45</v>
      </c>
      <c r="DS16" s="10">
        <f>[26]CE!$G$157</f>
        <v>395532.84</v>
      </c>
      <c r="DT16" s="10"/>
      <c r="DU16" s="10">
        <f>[26]CE!$G$158+[26]CE!$G$160+[26]CE!$G$162</f>
        <v>3021.55</v>
      </c>
      <c r="DV16" s="10"/>
      <c r="DW16" s="10">
        <f>[26]CE!$G$159+[26]CE!$G$161+[26]CE!$G$163</f>
        <v>85320.44</v>
      </c>
      <c r="DX16" s="10">
        <f t="shared" si="67"/>
        <v>972812.28</v>
      </c>
      <c r="DY16" s="10">
        <f>[26]CE!$F$148</f>
        <v>962107.72</v>
      </c>
      <c r="DZ16" s="10">
        <f>[26]CE!$F$149</f>
        <v>534719.28</v>
      </c>
      <c r="EA16" s="10"/>
      <c r="EB16" s="10">
        <f>[26]CE!$F$150+[26]CE!$F$152+[26]CE!$F$154</f>
        <v>7071.13</v>
      </c>
      <c r="EC16" s="10"/>
      <c r="ED16" s="10">
        <f>[26]CE!$F$151+[26]CE!$F$153+[26]CE!$F$155</f>
        <v>90296.7</v>
      </c>
      <c r="EE16" s="10">
        <f t="shared" ref="EE16:EE26" si="76">SUM(DY16:ED16)</f>
        <v>1594194.8299999998</v>
      </c>
      <c r="EF16" s="10">
        <f>[26]CE!$F$156</f>
        <v>960284.54</v>
      </c>
      <c r="EG16" s="10">
        <f>[26]CE!$F$157</f>
        <v>472785.4</v>
      </c>
      <c r="EH16" s="10"/>
      <c r="EI16" s="10">
        <f>[26]CE!$F$158+[26]CE!$F$160+[26]CE!$F$162</f>
        <v>7125.41</v>
      </c>
      <c r="EJ16" s="10"/>
      <c r="EK16" s="10">
        <f>[26]CE!$F$159+[26]CE!$F$161+[26]CE!$F$163</f>
        <v>84393.930000000008</v>
      </c>
      <c r="EL16" s="10">
        <f t="shared" si="68"/>
        <v>1524589.2799999998</v>
      </c>
      <c r="EM16" s="10">
        <f>[26]CE!$E$148</f>
        <v>1085901.32</v>
      </c>
      <c r="EN16" s="10">
        <f>[26]CE!$E$149</f>
        <v>664984</v>
      </c>
      <c r="EO16" s="10"/>
      <c r="EP16" s="10">
        <f>[26]CE!$E$150+[26]CE!$E$152+[26]CE!$E$154</f>
        <v>13806.89</v>
      </c>
      <c r="EQ16" s="10"/>
      <c r="ER16" s="10">
        <f>[26]CE!$E$151+[26]CE!$E$153+[26]CE!$E$155</f>
        <v>112852.57999999999</v>
      </c>
      <c r="ES16" s="10">
        <f t="shared" ref="ES16:ES18" si="77">SUM(EM16:ER16)</f>
        <v>1877544.79</v>
      </c>
      <c r="ET16" s="10">
        <f>[26]CE!$E$156</f>
        <v>3699311.01</v>
      </c>
      <c r="EU16" s="10">
        <f>[26]CE!$E$157</f>
        <v>939040.19</v>
      </c>
      <c r="EV16" s="10"/>
      <c r="EW16" s="10">
        <f>[26]CE!$E$158+[26]CE!$E$160+[26]CE!$E$162</f>
        <v>180919.24</v>
      </c>
      <c r="EX16" s="10"/>
      <c r="EY16" s="10">
        <f>[26]CE!$E$159+[26]CE!$E$161+[26]CE!$E$163</f>
        <v>276918.18</v>
      </c>
      <c r="EZ16" s="10">
        <f t="shared" si="69"/>
        <v>5096188.6199999992</v>
      </c>
      <c r="FA16" s="10">
        <f>[27]CE!$R$24</f>
        <v>1217938.44</v>
      </c>
      <c r="FB16" s="10">
        <f>[27]CE!$S$24</f>
        <v>737337.58</v>
      </c>
      <c r="FC16" s="10"/>
      <c r="FD16" s="10">
        <f>[27]CE!$Q$24</f>
        <v>33232.230000000003</v>
      </c>
      <c r="FE16" s="10"/>
      <c r="FF16" s="10">
        <f>[27]CE!$T$24</f>
        <v>136081.32999999999</v>
      </c>
      <c r="FG16" s="10">
        <f t="shared" si="60"/>
        <v>2124589.58</v>
      </c>
      <c r="FH16" s="10">
        <f>[27]CE!$V$24</f>
        <v>1212789.3700000001</v>
      </c>
      <c r="FI16" s="10">
        <f>[27]CE!$W$24</f>
        <v>573721.61</v>
      </c>
      <c r="FJ16" s="10"/>
      <c r="FK16" s="10">
        <f>[27]CE!$U$24</f>
        <v>28906.15</v>
      </c>
      <c r="FL16" s="10"/>
      <c r="FM16" s="10">
        <f>[27]CE!$X$24</f>
        <v>118722.46</v>
      </c>
      <c r="FN16" s="10">
        <f t="shared" si="61"/>
        <v>1934139.5899999999</v>
      </c>
      <c r="FO16" s="10">
        <f>[28]CE!R22</f>
        <v>1333956.03</v>
      </c>
      <c r="FP16" s="10">
        <f>[28]CE!S22</f>
        <v>787715.89</v>
      </c>
      <c r="FQ16" s="10"/>
      <c r="FR16" s="10">
        <f>[28]CE!Q22</f>
        <v>40628.720000000001</v>
      </c>
      <c r="FS16" s="10"/>
      <c r="FT16" s="10">
        <f>[28]CE!T22</f>
        <v>189058.98</v>
      </c>
      <c r="FU16" s="10">
        <f t="shared" ref="FU16:FU26" si="78">SUM(FO16:FT16)</f>
        <v>2351359.62</v>
      </c>
      <c r="FV16" s="10">
        <f>[28]CE!V22</f>
        <v>1319404.08</v>
      </c>
      <c r="FW16" s="10">
        <f>[28]CE!W22</f>
        <v>1357827.29</v>
      </c>
      <c r="FX16" s="10"/>
      <c r="FY16" s="10">
        <f>[28]CE!U22</f>
        <v>40882.69</v>
      </c>
      <c r="FZ16" s="10"/>
      <c r="GA16" s="10">
        <f>[28]CE!X22</f>
        <v>178495.62</v>
      </c>
      <c r="GB16" s="10">
        <f t="shared" ref="GB16:GB26" si="79">SUM(FV16:GA16)</f>
        <v>2896609.68</v>
      </c>
      <c r="GC16" s="152">
        <f t="shared" si="70"/>
        <v>16751303.689999998</v>
      </c>
      <c r="GD16" s="151">
        <f t="shared" ref="GD16:GD26" si="80">AD16+AF16+AH16+AJ16+AL16+AN16+AP16+AR16+BF16+BT16+CH16+CV16+DJ16+DX16+EL16+EZ16+FN16+GB16</f>
        <v>20386749.239999998</v>
      </c>
      <c r="GE16" s="218"/>
      <c r="GG16" s="36"/>
      <c r="GH16" s="36"/>
      <c r="GI16" s="36"/>
      <c r="GJ16" s="36"/>
    </row>
    <row r="17" spans="1:192" s="5" customFormat="1" ht="12.75" x14ac:dyDescent="0.2">
      <c r="A17" s="252"/>
      <c r="B17" s="4" t="s">
        <v>82</v>
      </c>
      <c r="C17" s="66" t="s">
        <v>26</v>
      </c>
      <c r="D17" s="67">
        <f t="shared" si="62"/>
        <v>35370</v>
      </c>
      <c r="E17" s="75" t="s">
        <v>11</v>
      </c>
      <c r="F17" s="75" t="s">
        <v>11</v>
      </c>
      <c r="G17" s="75" t="s">
        <v>11</v>
      </c>
      <c r="H17" s="75" t="s">
        <v>11</v>
      </c>
      <c r="I17" s="75" t="s">
        <v>11</v>
      </c>
      <c r="J17" s="75" t="s">
        <v>11</v>
      </c>
      <c r="K17" s="75" t="s">
        <v>11</v>
      </c>
      <c r="L17" s="75" t="s">
        <v>11</v>
      </c>
      <c r="M17" s="75" t="s">
        <v>11</v>
      </c>
      <c r="N17" s="75" t="s">
        <v>11</v>
      </c>
      <c r="O17" s="75" t="s">
        <v>11</v>
      </c>
      <c r="P17" s="75" t="s">
        <v>11</v>
      </c>
      <c r="Q17" s="75" t="s">
        <v>11</v>
      </c>
      <c r="R17" s="75" t="s">
        <v>11</v>
      </c>
      <c r="S17" s="75" t="s">
        <v>11</v>
      </c>
      <c r="T17" s="75" t="s">
        <v>11</v>
      </c>
      <c r="U17" s="75" t="s">
        <v>11</v>
      </c>
      <c r="V17" s="75" t="s">
        <v>11</v>
      </c>
      <c r="W17" s="75" t="s">
        <v>11</v>
      </c>
      <c r="X17" s="75" t="s">
        <v>11</v>
      </c>
      <c r="Y17" s="75" t="s">
        <v>11</v>
      </c>
      <c r="Z17" s="75" t="s">
        <v>11</v>
      </c>
      <c r="AA17" s="75" t="s">
        <v>11</v>
      </c>
      <c r="AB17" s="75" t="s">
        <v>11</v>
      </c>
      <c r="AC17" s="68">
        <v>264227.01999999996</v>
      </c>
      <c r="AD17" s="68">
        <v>136700.87000000002</v>
      </c>
      <c r="AE17" s="68">
        <v>260635.28</v>
      </c>
      <c r="AF17" s="68">
        <v>199782.74000000002</v>
      </c>
      <c r="AG17" s="68">
        <v>307343.92</v>
      </c>
      <c r="AH17" s="68">
        <v>196298.75999999998</v>
      </c>
      <c r="AI17" s="68">
        <v>296084.39</v>
      </c>
      <c r="AJ17" s="68">
        <v>352000.42000000016</v>
      </c>
      <c r="AK17" s="68">
        <v>376250.89</v>
      </c>
      <c r="AL17" s="68">
        <v>231418.21000000005</v>
      </c>
      <c r="AM17" s="68">
        <v>509300</v>
      </c>
      <c r="AN17" s="69">
        <v>422583.03</v>
      </c>
      <c r="AO17" s="72">
        <v>474013.77</v>
      </c>
      <c r="AP17" s="72">
        <v>481781.39</v>
      </c>
      <c r="AQ17" s="72">
        <v>857242.64</v>
      </c>
      <c r="AR17" s="72">
        <v>641109.37</v>
      </c>
      <c r="AS17" s="110">
        <v>753180.19</v>
      </c>
      <c r="AT17" s="110">
        <v>138449.35999999999</v>
      </c>
      <c r="AU17" s="77"/>
      <c r="AV17" s="110">
        <v>2334.59</v>
      </c>
      <c r="AW17" s="77"/>
      <c r="AX17" s="110">
        <v>57724.79</v>
      </c>
      <c r="AY17" s="10">
        <f t="shared" si="58"/>
        <v>951688.92999999993</v>
      </c>
      <c r="AZ17" s="110">
        <v>446770.48</v>
      </c>
      <c r="BA17" s="110">
        <v>92269.649999999907</v>
      </c>
      <c r="BB17" s="77"/>
      <c r="BC17" s="110">
        <v>2334.59</v>
      </c>
      <c r="BD17" s="77"/>
      <c r="BE17" s="110">
        <v>44321.07</v>
      </c>
      <c r="BF17" s="10">
        <f t="shared" si="59"/>
        <v>585695.7899999998</v>
      </c>
      <c r="BG17" s="10">
        <v>528151</v>
      </c>
      <c r="BH17" s="10">
        <v>152707</v>
      </c>
      <c r="BI17" s="10">
        <v>0</v>
      </c>
      <c r="BJ17" s="10">
        <v>7242</v>
      </c>
      <c r="BK17" s="10">
        <v>0</v>
      </c>
      <c r="BL17" s="10">
        <v>54013</v>
      </c>
      <c r="BM17" s="79">
        <f t="shared" si="63"/>
        <v>742113</v>
      </c>
      <c r="BN17" s="10">
        <v>527604</v>
      </c>
      <c r="BO17" s="10">
        <v>124401</v>
      </c>
      <c r="BP17" s="10">
        <v>0</v>
      </c>
      <c r="BQ17" s="10">
        <v>5489</v>
      </c>
      <c r="BR17" s="10">
        <v>0</v>
      </c>
      <c r="BS17" s="10">
        <v>48797</v>
      </c>
      <c r="BT17" s="135">
        <f t="shared" si="64"/>
        <v>706291</v>
      </c>
      <c r="BU17" s="135">
        <v>460733.55</v>
      </c>
      <c r="BV17" s="135">
        <v>160768.91</v>
      </c>
      <c r="BW17" s="79">
        <v>0</v>
      </c>
      <c r="BX17" s="135">
        <v>8915.0400000000009</v>
      </c>
      <c r="BY17" s="79">
        <v>0</v>
      </c>
      <c r="BZ17" s="135">
        <v>103298.53</v>
      </c>
      <c r="CA17" s="10">
        <f t="shared" si="65"/>
        <v>733716.03</v>
      </c>
      <c r="CB17" s="135">
        <v>460063.75</v>
      </c>
      <c r="CC17" s="135">
        <v>145506.35999999999</v>
      </c>
      <c r="CD17" s="79">
        <v>0</v>
      </c>
      <c r="CE17" s="135">
        <v>7555.11</v>
      </c>
      <c r="CF17" s="79">
        <v>0</v>
      </c>
      <c r="CG17" s="135">
        <v>89292.85</v>
      </c>
      <c r="CH17" s="10">
        <f t="shared" si="66"/>
        <v>702418.07</v>
      </c>
      <c r="CI17" s="10">
        <f>[26]CE!$I$132</f>
        <v>528664.59</v>
      </c>
      <c r="CJ17" s="10">
        <f>[26]CE!$I$133</f>
        <v>168683.22</v>
      </c>
      <c r="CK17" s="10"/>
      <c r="CL17" s="10">
        <f>[26]CE!$I$134+[26]CE!$I$136+[26]CE!$I$138</f>
        <v>7955.33</v>
      </c>
      <c r="CM17" s="10"/>
      <c r="CN17" s="10">
        <f>[26]CE!$I$135+[26]CE!$I$137+[26]CE!$I$139</f>
        <v>103705.51999999999</v>
      </c>
      <c r="CO17" s="10">
        <f t="shared" si="71"/>
        <v>809008.65999999992</v>
      </c>
      <c r="CP17" s="10">
        <f>[26]CE!$I$140</f>
        <v>527047.07999999996</v>
      </c>
      <c r="CQ17" s="10">
        <f>[26]CE!$I$141</f>
        <v>144665.62</v>
      </c>
      <c r="CR17" s="10"/>
      <c r="CS17" s="10">
        <f>[26]CE!$I$142+[26]CE!$I$144+[26]CE!$I$146</f>
        <v>6667.73</v>
      </c>
      <c r="CT17" s="10"/>
      <c r="CU17" s="10">
        <f>[26]CE!$I$143+[26]CE!$I$145+[26]CE!$I$147</f>
        <v>9788.39</v>
      </c>
      <c r="CV17" s="10">
        <f t="shared" si="72"/>
        <v>688168.82</v>
      </c>
      <c r="CW17" s="10">
        <f>[26]CE!$H$132</f>
        <v>714763.94</v>
      </c>
      <c r="CX17" s="10">
        <f>[26]CE!$H$133</f>
        <v>159283.4</v>
      </c>
      <c r="CY17" s="10"/>
      <c r="CZ17" s="10">
        <f>[26]CE!$H$134+[26]CE!$H$136+[26]CE!$H$138</f>
        <v>5304.65</v>
      </c>
      <c r="DA17" s="10"/>
      <c r="DB17" s="10">
        <f>[26]CE!$H$135+[26]CE!$H$137+[26]CE!$H$139</f>
        <v>164346.26</v>
      </c>
      <c r="DC17" s="10">
        <f t="shared" si="73"/>
        <v>1043698.25</v>
      </c>
      <c r="DD17" s="10">
        <f>[26]CE!$H$140</f>
        <v>557131.62</v>
      </c>
      <c r="DE17" s="10">
        <f>[26]CE!$H$141</f>
        <v>123292.79</v>
      </c>
      <c r="DF17" s="10"/>
      <c r="DG17" s="10">
        <f>[26]CE!$H$142+[26]CE!$H$144+[26]CE!$H$146</f>
        <v>3782.17</v>
      </c>
      <c r="DH17" s="10"/>
      <c r="DI17" s="10">
        <f>[26]CE!$H$143+[26]CE!$H$145+[26]CE!$H$147</f>
        <v>15716.189999999999</v>
      </c>
      <c r="DJ17" s="10">
        <f t="shared" si="74"/>
        <v>699922.77</v>
      </c>
      <c r="DK17" s="10">
        <f>[26]CE!$G$132</f>
        <v>1851993.92</v>
      </c>
      <c r="DL17" s="10">
        <f>[26]CE!$G$133</f>
        <v>189284.26</v>
      </c>
      <c r="DM17" s="10"/>
      <c r="DN17" s="10">
        <f>[26]CE!$G$134+[26]CE!$G$136+[26]CE!$G$138</f>
        <v>5083.6900000000005</v>
      </c>
      <c r="DO17" s="10"/>
      <c r="DP17" s="10">
        <f>[26]CE!$G$135+[26]CE!$G$137+[26]CE!$G$139</f>
        <v>193455.65999999997</v>
      </c>
      <c r="DQ17" s="10">
        <f t="shared" si="75"/>
        <v>2239817.5299999998</v>
      </c>
      <c r="DR17" s="10">
        <f>[26]CE!$G$140</f>
        <v>1833407.86</v>
      </c>
      <c r="DS17" s="10">
        <f>[26]CE!$G$141</f>
        <v>144160.35</v>
      </c>
      <c r="DT17" s="10"/>
      <c r="DU17" s="10">
        <f>[26]CE!$G$142+[26]CE!$G$144+[26]CE!$G$146</f>
        <v>4305.8500000000004</v>
      </c>
      <c r="DV17" s="10"/>
      <c r="DW17" s="10">
        <f>[26]CE!$G$143+[26]CE!$G$145+[26]CE!$G$147</f>
        <v>25953.78</v>
      </c>
      <c r="DX17" s="10">
        <f t="shared" si="67"/>
        <v>2007827.8400000003</v>
      </c>
      <c r="DY17" s="10">
        <f>[26]CE!$F$132</f>
        <v>1459777.55</v>
      </c>
      <c r="DZ17" s="10">
        <f>[26]CE!$F$133</f>
        <v>93203.19</v>
      </c>
      <c r="EA17" s="10"/>
      <c r="EB17" s="10">
        <f>[26]CE!$F$134+[26]CE!$F$136+[26]CE!$F$138</f>
        <v>9049.34</v>
      </c>
      <c r="EC17" s="10"/>
      <c r="ED17" s="10">
        <f>[26]CE!$F$135+[26]CE!$F$137+[26]CE!$F$139</f>
        <v>118433.16</v>
      </c>
      <c r="EE17" s="10">
        <f t="shared" si="76"/>
        <v>1680463.24</v>
      </c>
      <c r="EF17" s="10">
        <f>[26]CE!$F$140</f>
        <v>1459213.93</v>
      </c>
      <c r="EG17" s="10">
        <f>[26]CE!$F$141</f>
        <v>80239.86</v>
      </c>
      <c r="EH17" s="10"/>
      <c r="EI17" s="10">
        <f>[26]CE!$F$142+[26]CE!$F$144+[26]CE!$F$146</f>
        <v>8563</v>
      </c>
      <c r="EJ17" s="10"/>
      <c r="EK17" s="10">
        <f>[26]CE!$F$143+[26]CE!$F$145+[26]CE!$F$147</f>
        <v>26151.989999999998</v>
      </c>
      <c r="EL17" s="10">
        <f t="shared" si="68"/>
        <v>1574168.78</v>
      </c>
      <c r="EM17" s="10">
        <f>[26]CE!$E$132</f>
        <v>1798029.53</v>
      </c>
      <c r="EN17" s="10">
        <f>[26]CE!$E$133</f>
        <v>83671.48</v>
      </c>
      <c r="EO17" s="10"/>
      <c r="EP17" s="10">
        <f>[26]CE!$E$134+[26]CE!$E$136+[26]CE!$E$138</f>
        <v>9940.4900000000016</v>
      </c>
      <c r="EQ17" s="10"/>
      <c r="ER17" s="10">
        <f>[26]CE!$E$135+[26]CE!$E$137+[26]CE!$E$139</f>
        <v>124678.11000000002</v>
      </c>
      <c r="ES17" s="10">
        <f t="shared" si="77"/>
        <v>2016319.61</v>
      </c>
      <c r="ET17" s="10">
        <f>[26]CE!$E$140</f>
        <v>3699311.01</v>
      </c>
      <c r="EU17" s="10">
        <f>[26]CE!$E$141</f>
        <v>939040.19</v>
      </c>
      <c r="EV17" s="10"/>
      <c r="EW17" s="10">
        <f>[26]CE!$E$142+[26]CE!$E$144+[26]CE!$E$146</f>
        <v>180919.24</v>
      </c>
      <c r="EX17" s="10"/>
      <c r="EY17" s="10">
        <f>[26]CE!$E$143+[26]CE!$E$145+[26]CE!$E$147</f>
        <v>276918.18</v>
      </c>
      <c r="EZ17" s="10">
        <f t="shared" si="69"/>
        <v>5096188.6199999992</v>
      </c>
      <c r="FA17" s="10">
        <f>[27]CE!$R$23</f>
        <v>1832233</v>
      </c>
      <c r="FB17" s="10">
        <f>[27]CE!$S$23</f>
        <v>219594.89</v>
      </c>
      <c r="FC17" s="10"/>
      <c r="FD17" s="10">
        <f>[27]CE!$Q$23</f>
        <v>5669.23</v>
      </c>
      <c r="FE17" s="10"/>
      <c r="FF17" s="10">
        <f>[27]CE!$T$23</f>
        <v>116136.68</v>
      </c>
      <c r="FG17" s="10">
        <f t="shared" si="60"/>
        <v>2173633.8000000003</v>
      </c>
      <c r="FH17" s="10">
        <f>[27]CE!$V$23</f>
        <v>2042936.26</v>
      </c>
      <c r="FI17" s="10">
        <f>[27]CE!$W$23</f>
        <v>159476.64000000001</v>
      </c>
      <c r="FJ17" s="10"/>
      <c r="FK17" s="10">
        <f>[27]CE!$U$23</f>
        <v>4942.25</v>
      </c>
      <c r="FL17" s="10"/>
      <c r="FM17" s="10">
        <f>[27]CE!$X$23</f>
        <v>97192.350000000093</v>
      </c>
      <c r="FN17" s="10">
        <f t="shared" si="61"/>
        <v>2304547.5</v>
      </c>
      <c r="FO17" s="10">
        <f>[28]CE!R21</f>
        <v>2858991.13</v>
      </c>
      <c r="FP17" s="10">
        <f>[28]CE!S21</f>
        <v>240254.45</v>
      </c>
      <c r="FQ17" s="10"/>
      <c r="FR17" s="10">
        <f>[28]CE!Q21</f>
        <v>5410.16</v>
      </c>
      <c r="FS17" s="10"/>
      <c r="FT17" s="10">
        <f>[28]CE!T21</f>
        <v>139630.63</v>
      </c>
      <c r="FU17" s="10">
        <f t="shared" si="78"/>
        <v>3244286.37</v>
      </c>
      <c r="FV17" s="10">
        <f>[28]CE!V21</f>
        <v>2834196.13</v>
      </c>
      <c r="FW17" s="10">
        <f>[28]CE!W21</f>
        <v>208138.48</v>
      </c>
      <c r="FX17" s="10"/>
      <c r="FY17" s="10">
        <f>[28]CE!U21</f>
        <v>4851.84</v>
      </c>
      <c r="FZ17" s="10"/>
      <c r="GA17" s="10">
        <f>[28]CE!X21</f>
        <v>125119.27</v>
      </c>
      <c r="GB17" s="10">
        <f t="shared" si="79"/>
        <v>3172305.7199999997</v>
      </c>
      <c r="GC17" s="152">
        <f t="shared" si="70"/>
        <v>18979843.330000002</v>
      </c>
      <c r="GD17" s="151">
        <f t="shared" si="80"/>
        <v>20199209.699999996</v>
      </c>
      <c r="GE17" s="218"/>
      <c r="GG17" s="36"/>
      <c r="GH17" s="36"/>
      <c r="GI17" s="36"/>
      <c r="GJ17" s="36"/>
    </row>
    <row r="18" spans="1:192" s="5" customFormat="1" ht="12.75" x14ac:dyDescent="0.2">
      <c r="A18" s="252"/>
      <c r="B18" s="4" t="s">
        <v>83</v>
      </c>
      <c r="C18" s="66" t="s">
        <v>26</v>
      </c>
      <c r="D18" s="67">
        <f t="shared" si="62"/>
        <v>35370</v>
      </c>
      <c r="E18" s="75" t="s">
        <v>11</v>
      </c>
      <c r="F18" s="75" t="s">
        <v>11</v>
      </c>
      <c r="G18" s="75" t="s">
        <v>11</v>
      </c>
      <c r="H18" s="75" t="s">
        <v>11</v>
      </c>
      <c r="I18" s="75" t="s">
        <v>11</v>
      </c>
      <c r="J18" s="75" t="s">
        <v>11</v>
      </c>
      <c r="K18" s="75" t="s">
        <v>11</v>
      </c>
      <c r="L18" s="75" t="s">
        <v>11</v>
      </c>
      <c r="M18" s="75" t="s">
        <v>11</v>
      </c>
      <c r="N18" s="75" t="s">
        <v>11</v>
      </c>
      <c r="O18" s="75" t="s">
        <v>11</v>
      </c>
      <c r="P18" s="75" t="s">
        <v>11</v>
      </c>
      <c r="Q18" s="75" t="s">
        <v>11</v>
      </c>
      <c r="R18" s="75" t="s">
        <v>11</v>
      </c>
      <c r="S18" s="75" t="s">
        <v>11</v>
      </c>
      <c r="T18" s="75" t="s">
        <v>11</v>
      </c>
      <c r="U18" s="75" t="s">
        <v>11</v>
      </c>
      <c r="V18" s="75" t="s">
        <v>11</v>
      </c>
      <c r="W18" s="75" t="s">
        <v>11</v>
      </c>
      <c r="X18" s="75" t="s">
        <v>11</v>
      </c>
      <c r="Y18" s="75" t="s">
        <v>11</v>
      </c>
      <c r="Z18" s="75" t="s">
        <v>11</v>
      </c>
      <c r="AA18" s="75" t="s">
        <v>11</v>
      </c>
      <c r="AB18" s="75" t="s">
        <v>11</v>
      </c>
      <c r="AC18" s="68">
        <v>27077044.309999999</v>
      </c>
      <c r="AD18" s="68">
        <v>26590239.399999965</v>
      </c>
      <c r="AE18" s="68">
        <v>30026438.93</v>
      </c>
      <c r="AF18" s="68">
        <v>29864321.18</v>
      </c>
      <c r="AG18" s="68">
        <v>34866297.859999999</v>
      </c>
      <c r="AH18" s="68">
        <v>34350066.18</v>
      </c>
      <c r="AI18" s="68">
        <v>36144758.710000001</v>
      </c>
      <c r="AJ18" s="68">
        <v>35548289.409999996</v>
      </c>
      <c r="AK18" s="68">
        <v>48993263.380000003</v>
      </c>
      <c r="AL18" s="68">
        <v>48510239.450000003</v>
      </c>
      <c r="AM18" s="68">
        <v>60557110</v>
      </c>
      <c r="AN18" s="70">
        <v>58779348.280000001</v>
      </c>
      <c r="AO18" s="72">
        <v>67131541.359999999</v>
      </c>
      <c r="AP18" s="72">
        <v>66154042.759999998</v>
      </c>
      <c r="AQ18" s="72">
        <v>76425924.430000007</v>
      </c>
      <c r="AR18" s="72">
        <v>76117345.200000003</v>
      </c>
      <c r="AS18" s="110">
        <v>46499808.780000001</v>
      </c>
      <c r="AT18" s="110">
        <v>41860153.100000001</v>
      </c>
      <c r="AU18" s="77"/>
      <c r="AV18" s="110">
        <v>85583.1</v>
      </c>
      <c r="AW18" s="77"/>
      <c r="AX18" s="110">
        <v>644865.34</v>
      </c>
      <c r="AY18" s="10">
        <f t="shared" si="58"/>
        <v>89090410.319999993</v>
      </c>
      <c r="AZ18" s="110">
        <v>46431595.289999999</v>
      </c>
      <c r="BA18" s="110">
        <v>41690161.689999998</v>
      </c>
      <c r="BB18" s="77"/>
      <c r="BC18" s="110">
        <v>84551.67</v>
      </c>
      <c r="BD18" s="77"/>
      <c r="BE18" s="110">
        <v>558412.57999999903</v>
      </c>
      <c r="BF18" s="10">
        <f t="shared" si="59"/>
        <v>88764721.229999989</v>
      </c>
      <c r="BG18" s="10">
        <v>51125258</v>
      </c>
      <c r="BH18" s="10">
        <v>26410803</v>
      </c>
      <c r="BI18" s="10">
        <v>0</v>
      </c>
      <c r="BJ18" s="10">
        <v>58127</v>
      </c>
      <c r="BK18" s="10">
        <v>91470910</v>
      </c>
      <c r="BL18" s="10">
        <v>597509</v>
      </c>
      <c r="BM18" s="79">
        <f t="shared" si="63"/>
        <v>169662607</v>
      </c>
      <c r="BN18" s="10">
        <v>51103511</v>
      </c>
      <c r="BO18" s="10">
        <v>26114550</v>
      </c>
      <c r="BP18" s="10">
        <v>0</v>
      </c>
      <c r="BQ18" s="10">
        <v>48808</v>
      </c>
      <c r="BR18" s="10">
        <v>91470910</v>
      </c>
      <c r="BS18" s="10">
        <v>555956</v>
      </c>
      <c r="BT18" s="135">
        <f t="shared" si="64"/>
        <v>169293735</v>
      </c>
      <c r="BU18" s="135">
        <v>53345217.710000001</v>
      </c>
      <c r="BV18" s="135">
        <v>30650406.409999996</v>
      </c>
      <c r="BW18" s="79">
        <v>0</v>
      </c>
      <c r="BX18" s="135">
        <v>48002.9</v>
      </c>
      <c r="BY18" s="135">
        <v>67818435.049999997</v>
      </c>
      <c r="BZ18" s="135">
        <v>1376255.49</v>
      </c>
      <c r="CA18" s="10">
        <f t="shared" si="65"/>
        <v>153238317.56</v>
      </c>
      <c r="CB18" s="135">
        <v>53326536.710000001</v>
      </c>
      <c r="CC18" s="135">
        <v>30362292.219999999</v>
      </c>
      <c r="CD18" s="79">
        <v>0</v>
      </c>
      <c r="CE18" s="135">
        <v>39670.460000000006</v>
      </c>
      <c r="CF18" s="135">
        <v>67818435.049999997</v>
      </c>
      <c r="CG18" s="135">
        <v>1263002.1299999999</v>
      </c>
      <c r="CH18" s="10">
        <f t="shared" si="66"/>
        <v>152809936.56999999</v>
      </c>
      <c r="CI18" s="10">
        <f>[26]CE!$I$36</f>
        <v>62113133.810000002</v>
      </c>
      <c r="CJ18" s="10">
        <f>[26]CE!$I$37</f>
        <v>56449244.710000001</v>
      </c>
      <c r="CK18" s="10"/>
      <c r="CL18" s="10">
        <f>[26]CE!$I$38+[26]CE!$I$40+[26]CE!$I$42</f>
        <v>39330082.219999999</v>
      </c>
      <c r="CM18" s="10"/>
      <c r="CN18" s="10">
        <f>[26]CE!$I$39+[26]CE!$I$41+[26]CE!$I$43</f>
        <v>1667152.13</v>
      </c>
      <c r="CO18" s="10">
        <f t="shared" si="71"/>
        <v>159559612.87</v>
      </c>
      <c r="CP18" s="10">
        <f>[26]CE!$I$44</f>
        <v>62103503.439999998</v>
      </c>
      <c r="CQ18" s="10">
        <f>[26]CE!$I$45</f>
        <v>56067925.009999998</v>
      </c>
      <c r="CR18" s="10"/>
      <c r="CS18" s="10">
        <f>[26]CE!$I$46+[26]CE!$I$48+[26]CE!$I$50</f>
        <v>39326863.489999995</v>
      </c>
      <c r="CT18" s="10"/>
      <c r="CU18" s="10">
        <f>[26]CE!$I$47+[26]CE!$I$49+[26]CE!$I$51</f>
        <v>1511893.56</v>
      </c>
      <c r="CV18" s="10">
        <f t="shared" si="72"/>
        <v>159010185.5</v>
      </c>
      <c r="CW18" s="10">
        <f>[26]CE!$H$36</f>
        <v>66715938.539999999</v>
      </c>
      <c r="CX18" s="10">
        <f>[26]CE!$H$37</f>
        <v>51818830.359999999</v>
      </c>
      <c r="CY18" s="10"/>
      <c r="CZ18" s="10">
        <f>[26]CE!$H$38+[26]CE!$H$40+[26]CE!$H$42</f>
        <v>21416879.789999999</v>
      </c>
      <c r="DA18" s="10"/>
      <c r="DB18" s="10">
        <f>[26]CE!$H$39+[26]CE!$H$41+[26]CE!$H$43</f>
        <v>1826963.35</v>
      </c>
      <c r="DC18" s="10">
        <f t="shared" si="73"/>
        <v>141778612.03999999</v>
      </c>
      <c r="DD18" s="10">
        <f>[26]CE!$H$44</f>
        <v>66684345.799999997</v>
      </c>
      <c r="DE18" s="10">
        <f>[26]CE!$H$45</f>
        <v>51446342.890000001</v>
      </c>
      <c r="DF18" s="10"/>
      <c r="DG18" s="10">
        <f>[26]CE!$H$46+[26]CE!$H$48+[26]CE!$H$50</f>
        <v>21415407.029999997</v>
      </c>
      <c r="DH18" s="10"/>
      <c r="DI18" s="10">
        <f>[26]CE!$H$47+[26]CE!$H$49+[26]CE!$H$51</f>
        <v>1608668.6</v>
      </c>
      <c r="DJ18" s="10">
        <f t="shared" si="74"/>
        <v>141154764.31999999</v>
      </c>
      <c r="DK18" s="10">
        <f>[26]CE!$G$36</f>
        <v>72745632.109999999</v>
      </c>
      <c r="DL18" s="10">
        <f>[26]CE!$G$37</f>
        <v>67487896.769999996</v>
      </c>
      <c r="DM18" s="10"/>
      <c r="DN18" s="10">
        <f>[26]CE!$G$38+[26]CE!$G$40+[26]CE!$G$42</f>
        <v>45152678.749999993</v>
      </c>
      <c r="DO18" s="10"/>
      <c r="DP18" s="10">
        <f>[26]CE!$G$39+[26]CE!$G$41+[26]CE!$G$43</f>
        <v>1993227.9600000002</v>
      </c>
      <c r="DQ18" s="10">
        <f t="shared" si="75"/>
        <v>187379435.59</v>
      </c>
      <c r="DR18" s="10">
        <f>[26]CE!$G$44</f>
        <v>72642169.189999998</v>
      </c>
      <c r="DS18" s="10">
        <f>[26]CE!$G$45</f>
        <v>67169069.040000007</v>
      </c>
      <c r="DT18" s="10"/>
      <c r="DU18" s="10">
        <f>[26]CE!$G$46+[26]CE!$G$48+[26]CE!$G$50</f>
        <v>45062866.020000003</v>
      </c>
      <c r="DV18" s="10"/>
      <c r="DW18" s="10">
        <f>[26]CE!$G$47+[26]CE!$G$49+[26]CE!$G$51</f>
        <v>1786925.4</v>
      </c>
      <c r="DX18" s="10">
        <f t="shared" si="67"/>
        <v>186661029.65000004</v>
      </c>
      <c r="DY18" s="10">
        <f>[26]CE!$F$36</f>
        <v>82713765.129999995</v>
      </c>
      <c r="DZ18" s="10">
        <f>[26]CE!$F$37</f>
        <v>62662056.140000001</v>
      </c>
      <c r="EA18" s="10"/>
      <c r="EB18" s="10">
        <f>[26]CE!$F$38+[26]CE!$F$40+[26]CE!$F$42</f>
        <v>2433537.5499999998</v>
      </c>
      <c r="EC18" s="10"/>
      <c r="ED18" s="10">
        <f>[26]CE!$F$39+[26]CE!$F$41+[26]CE!$F$43</f>
        <v>2421649.08</v>
      </c>
      <c r="EE18" s="10">
        <f t="shared" si="76"/>
        <v>150231007.90000001</v>
      </c>
      <c r="EF18" s="10">
        <f>[26]CE!$F$44</f>
        <v>82562619.769999996</v>
      </c>
      <c r="EG18" s="10">
        <f>[26]CE!$F$45</f>
        <v>62448021.25</v>
      </c>
      <c r="EH18" s="10"/>
      <c r="EI18" s="10">
        <f>[26]CE!$F$46+[26]CE!$F$48+[26]CE!$F$50</f>
        <v>2420126.7799999998</v>
      </c>
      <c r="EJ18" s="10"/>
      <c r="EK18" s="10">
        <f>[26]CE!$F$47+[26]CE!$F$49+[26]CE!$F$51</f>
        <v>2178215.6799999997</v>
      </c>
      <c r="EL18" s="10">
        <f t="shared" si="68"/>
        <v>149608983.47999999</v>
      </c>
      <c r="EM18" s="10">
        <f>[26]CE!$E$36</f>
        <v>104067324.59</v>
      </c>
      <c r="EN18" s="10">
        <f>[26]CE!$E$37</f>
        <v>70438906.579999998</v>
      </c>
      <c r="EO18" s="10"/>
      <c r="EP18" s="10">
        <f>[26]CE!$E$38+[26]CE!$E$40+[26]CE!$E$42</f>
        <v>89280.479999999981</v>
      </c>
      <c r="EQ18" s="10"/>
      <c r="ER18" s="10">
        <f>[26]CE!$E$39+[26]CE!$E$41+[26]CE!$E$43</f>
        <v>3070122.31</v>
      </c>
      <c r="ES18" s="10">
        <f t="shared" si="77"/>
        <v>177665633.96000001</v>
      </c>
      <c r="ET18" s="10">
        <f>[26]CE!$E$44</f>
        <v>3699311.01</v>
      </c>
      <c r="EU18" s="10">
        <f>[26]CE!$E$45</f>
        <v>939040.19</v>
      </c>
      <c r="EV18" s="10"/>
      <c r="EW18" s="10">
        <f>[26]CE!$E$46+[26]CE!$E$48+[26]CE!$E$50</f>
        <v>180919.24</v>
      </c>
      <c r="EX18" s="10"/>
      <c r="EY18" s="10">
        <f>[26]CE!$E$47+[26]CE!$E$49+[26]CE!$E$51</f>
        <v>276918.18</v>
      </c>
      <c r="EZ18" s="10">
        <f t="shared" si="69"/>
        <v>5096188.6199999992</v>
      </c>
      <c r="FA18" s="10">
        <f>[27]CE!$R$14</f>
        <v>123688995.43000001</v>
      </c>
      <c r="FB18" s="10">
        <f>[27]CE!$S$14</f>
        <v>75284564.400000006</v>
      </c>
      <c r="FC18" s="10"/>
      <c r="FD18" s="10">
        <f>[27]CE!$Q$14</f>
        <v>27255.41</v>
      </c>
      <c r="FE18" s="10"/>
      <c r="FF18" s="10">
        <f>[27]CE!$T$14</f>
        <v>3383822</v>
      </c>
      <c r="FG18" s="10">
        <f t="shared" si="60"/>
        <v>202384637.24000001</v>
      </c>
      <c r="FH18" s="10">
        <f>[27]CE!$V$14</f>
        <v>122634073.27</v>
      </c>
      <c r="FI18" s="10">
        <f>[27]CE!$W$14</f>
        <v>71007955.450000003</v>
      </c>
      <c r="FJ18" s="10"/>
      <c r="FK18" s="10">
        <f>[27]CE!$U$14</f>
        <v>21154.19</v>
      </c>
      <c r="FL18" s="10"/>
      <c r="FM18" s="10">
        <f>[27]CE!$X$14</f>
        <v>3260566.13</v>
      </c>
      <c r="FN18" s="10">
        <f t="shared" si="61"/>
        <v>196923749.03999999</v>
      </c>
      <c r="FO18" s="10">
        <f>[28]CE!R14</f>
        <v>127732835.84</v>
      </c>
      <c r="FP18" s="10">
        <f>[28]CE!S14</f>
        <v>78713277.099999994</v>
      </c>
      <c r="FQ18" s="10"/>
      <c r="FR18" s="10">
        <f>[28]CE!Q14</f>
        <v>172446.24</v>
      </c>
      <c r="FS18" s="10"/>
      <c r="FT18" s="10">
        <f>[28]CE!T14</f>
        <v>4414009.3</v>
      </c>
      <c r="FU18" s="10">
        <f t="shared" si="78"/>
        <v>211032568.48000002</v>
      </c>
      <c r="FV18" s="10">
        <f>[28]CE!V14</f>
        <v>126949490.41</v>
      </c>
      <c r="FW18" s="10">
        <f>[28]CE!W14</f>
        <v>78868535.430000007</v>
      </c>
      <c r="FX18" s="10"/>
      <c r="FY18" s="10">
        <f>[28]CE!U14</f>
        <v>139194.9</v>
      </c>
      <c r="FZ18" s="10"/>
      <c r="GA18" s="10">
        <f>[28]CE!X14</f>
        <v>3842376.32</v>
      </c>
      <c r="GB18" s="10">
        <f t="shared" si="79"/>
        <v>209799597.06</v>
      </c>
      <c r="GC18" s="152">
        <f t="shared" si="70"/>
        <v>2023245221.9400001</v>
      </c>
      <c r="GD18" s="151">
        <f t="shared" si="80"/>
        <v>1835036782.3299997</v>
      </c>
      <c r="GE18" s="218"/>
      <c r="GG18" s="36"/>
      <c r="GH18" s="36"/>
      <c r="GI18" s="36"/>
      <c r="GJ18" s="36"/>
    </row>
    <row r="19" spans="1:192" s="5" customFormat="1" ht="12.75" x14ac:dyDescent="0.2">
      <c r="A19" s="252"/>
      <c r="B19" s="4" t="s">
        <v>205</v>
      </c>
      <c r="C19" s="66" t="s">
        <v>26</v>
      </c>
      <c r="D19" s="67">
        <f>D24</f>
        <v>35370</v>
      </c>
      <c r="E19" s="75" t="s">
        <v>11</v>
      </c>
      <c r="F19" s="75" t="s">
        <v>11</v>
      </c>
      <c r="G19" s="75" t="s">
        <v>11</v>
      </c>
      <c r="H19" s="75" t="s">
        <v>11</v>
      </c>
      <c r="I19" s="75" t="s">
        <v>11</v>
      </c>
      <c r="J19" s="75" t="s">
        <v>11</v>
      </c>
      <c r="K19" s="75" t="s">
        <v>11</v>
      </c>
      <c r="L19" s="75" t="s">
        <v>11</v>
      </c>
      <c r="M19" s="75" t="s">
        <v>11</v>
      </c>
      <c r="N19" s="75" t="s">
        <v>11</v>
      </c>
      <c r="O19" s="75" t="s">
        <v>11</v>
      </c>
      <c r="P19" s="75" t="s">
        <v>11</v>
      </c>
      <c r="Q19" s="75" t="s">
        <v>11</v>
      </c>
      <c r="R19" s="75" t="s">
        <v>11</v>
      </c>
      <c r="S19" s="75" t="s">
        <v>11</v>
      </c>
      <c r="T19" s="75" t="s">
        <v>11</v>
      </c>
      <c r="U19" s="75" t="s">
        <v>11</v>
      </c>
      <c r="V19" s="75" t="s">
        <v>11</v>
      </c>
      <c r="W19" s="75" t="s">
        <v>11</v>
      </c>
      <c r="X19" s="75" t="s">
        <v>11</v>
      </c>
      <c r="Y19" s="75" t="s">
        <v>11</v>
      </c>
      <c r="Z19" s="75" t="s">
        <v>11</v>
      </c>
      <c r="AA19" s="75" t="s">
        <v>11</v>
      </c>
      <c r="AB19" s="75" t="s">
        <v>11</v>
      </c>
      <c r="AC19" s="68">
        <v>537175.74</v>
      </c>
      <c r="AD19" s="68">
        <v>537406.16000000038</v>
      </c>
      <c r="AE19" s="68">
        <v>519867</v>
      </c>
      <c r="AF19" s="68">
        <v>513995.42</v>
      </c>
      <c r="AG19" s="68">
        <v>544844.73</v>
      </c>
      <c r="AH19" s="68">
        <v>567743.82999999996</v>
      </c>
      <c r="AI19" s="68">
        <v>536323.06999999995</v>
      </c>
      <c r="AJ19" s="68">
        <v>539843.83999999997</v>
      </c>
      <c r="AK19" s="68">
        <v>608310.06999999995</v>
      </c>
      <c r="AL19" s="68">
        <v>594062.68999999994</v>
      </c>
      <c r="AM19" s="68">
        <v>614759</v>
      </c>
      <c r="AN19" s="70">
        <v>589092.09</v>
      </c>
      <c r="AO19" s="72">
        <v>668988.97</v>
      </c>
      <c r="AP19" s="72">
        <v>666020.96</v>
      </c>
      <c r="AQ19" s="72">
        <v>702429.74</v>
      </c>
      <c r="AR19" s="72">
        <v>687352.17</v>
      </c>
      <c r="AS19" s="110">
        <v>971586.38</v>
      </c>
      <c r="AT19" s="110">
        <v>53910.85</v>
      </c>
      <c r="AU19" s="77"/>
      <c r="AV19" s="110">
        <v>6163.31</v>
      </c>
      <c r="AW19" s="77"/>
      <c r="AX19" s="110">
        <v>14464.24</v>
      </c>
      <c r="AY19" s="10">
        <f t="shared" si="58"/>
        <v>1046124.78</v>
      </c>
      <c r="AZ19" s="110">
        <v>971586.38</v>
      </c>
      <c r="BA19" s="110">
        <v>49248.06</v>
      </c>
      <c r="BB19" s="77"/>
      <c r="BC19" s="110">
        <v>5687.94</v>
      </c>
      <c r="BD19" s="77"/>
      <c r="BE19" s="110">
        <v>2313.91</v>
      </c>
      <c r="BF19" s="10">
        <f t="shared" si="59"/>
        <v>1028836.2899999999</v>
      </c>
      <c r="BG19" s="10">
        <v>1712862</v>
      </c>
      <c r="BH19" s="10">
        <v>54238</v>
      </c>
      <c r="BI19" s="10">
        <v>0</v>
      </c>
      <c r="BJ19" s="10">
        <v>10814</v>
      </c>
      <c r="BK19" s="10">
        <v>0</v>
      </c>
      <c r="BL19" s="10">
        <v>31585</v>
      </c>
      <c r="BM19" s="79">
        <f t="shared" si="63"/>
        <v>1809499</v>
      </c>
      <c r="BN19" s="10">
        <v>1337857</v>
      </c>
      <c r="BO19" s="10">
        <v>48149</v>
      </c>
      <c r="BP19" s="10">
        <v>0</v>
      </c>
      <c r="BQ19" s="10">
        <v>8585</v>
      </c>
      <c r="BR19" s="10">
        <v>0</v>
      </c>
      <c r="BS19" s="10">
        <v>25271</v>
      </c>
      <c r="BT19" s="135">
        <f t="shared" si="64"/>
        <v>1419862</v>
      </c>
      <c r="BU19" s="135">
        <v>1292266.9099999999</v>
      </c>
      <c r="BV19" s="135">
        <v>70494.720000000001</v>
      </c>
      <c r="BW19" s="79">
        <v>0</v>
      </c>
      <c r="BX19" s="135">
        <v>14265.87</v>
      </c>
      <c r="BY19" s="79">
        <v>0</v>
      </c>
      <c r="BZ19" s="135">
        <v>24704.2</v>
      </c>
      <c r="CA19" s="10">
        <f>SUM(BU19:BZ19)</f>
        <v>1401731.7</v>
      </c>
      <c r="CB19" s="135">
        <v>969384.77000000095</v>
      </c>
      <c r="CC19" s="135">
        <v>65487.07</v>
      </c>
      <c r="CD19" s="79">
        <v>0</v>
      </c>
      <c r="CE19" s="135">
        <v>11571.92</v>
      </c>
      <c r="CF19" s="79">
        <v>0</v>
      </c>
      <c r="CG19" s="135">
        <v>21154.33</v>
      </c>
      <c r="CH19" s="10">
        <f t="shared" si="66"/>
        <v>1067598.090000001</v>
      </c>
      <c r="CI19" s="10">
        <f>[26]CE!$I$68</f>
        <v>983292.68</v>
      </c>
      <c r="CJ19" s="10">
        <f>[26]CE!$I$69</f>
        <v>88307.15</v>
      </c>
      <c r="CK19" s="10"/>
      <c r="CL19" s="10">
        <f>[26]CE!$I$70+[26]CE!$I$72+[26]CE!$I$74</f>
        <v>24468.400000000001</v>
      </c>
      <c r="CM19" s="10"/>
      <c r="CN19" s="10">
        <f>[26]CE!$I$71+[26]CE!$I$75+[26]CE!$I$73</f>
        <v>28719.96</v>
      </c>
      <c r="CO19" s="10">
        <f t="shared" ref="CO19" si="81">SUM(CI19:CN19)</f>
        <v>1124788.19</v>
      </c>
      <c r="CP19" s="10">
        <f>[26]CE!$I$76</f>
        <v>980359.84</v>
      </c>
      <c r="CQ19" s="10">
        <f>[26]CE!$I$77</f>
        <v>82295.08</v>
      </c>
      <c r="CR19" s="10"/>
      <c r="CS19" s="10">
        <f>[26]CE!$I$78+[26]CE!$I$80+[26]CE!$I$82</f>
        <v>17988.849999999999</v>
      </c>
      <c r="CT19" s="10"/>
      <c r="CU19" s="10">
        <f>[26]CE!$I$79+[26]CE!$I$81+[26]CE!$I$83</f>
        <v>1726.56</v>
      </c>
      <c r="CV19" s="10">
        <f>SUM(CP19:CU19)</f>
        <v>1082370.33</v>
      </c>
      <c r="CW19" s="10">
        <f>[26]CE!$H$68</f>
        <v>1089251.03</v>
      </c>
      <c r="CX19" s="10">
        <f>[26]CE!$H$69</f>
        <v>71584.990000000005</v>
      </c>
      <c r="CY19" s="10"/>
      <c r="CZ19" s="10">
        <f>[26]CE!$H$70+[26]CE!$H$72+[26]CE!$H$74</f>
        <v>22041.11</v>
      </c>
      <c r="DA19" s="10"/>
      <c r="DB19" s="10">
        <f>[26]CE!$H$71+[26]CE!$H$75+[26]CE!$H$73</f>
        <v>33059.760000000002</v>
      </c>
      <c r="DC19" s="10">
        <f t="shared" ref="DC19" si="82">SUM(CW19:DB19)</f>
        <v>1215936.8900000001</v>
      </c>
      <c r="DD19" s="10">
        <f>[26]CE!$H$76</f>
        <v>1076141.93</v>
      </c>
      <c r="DE19" s="10">
        <f>[26]CE!$H$77</f>
        <v>62608.61</v>
      </c>
      <c r="DF19" s="10"/>
      <c r="DG19" s="10">
        <f>[26]CE!$H$78+[26]CE!$H$80+[26]CE!$H$82</f>
        <v>14757.02</v>
      </c>
      <c r="DH19" s="10"/>
      <c r="DI19" s="10">
        <f>[26]CE!$H$79+[26]CE!$H$81+[26]CE!$H$83</f>
        <v>2695.95</v>
      </c>
      <c r="DJ19" s="10">
        <f t="shared" si="74"/>
        <v>1156203.51</v>
      </c>
      <c r="DK19" s="10">
        <f>[26]CE!$G$68</f>
        <v>1229046.69</v>
      </c>
      <c r="DL19" s="10">
        <f>[26]CE!$G$69</f>
        <v>71009.210000000006</v>
      </c>
      <c r="DM19" s="10"/>
      <c r="DN19" s="10">
        <f>[26]CE!$G$70+[26]CE!$G$72+[26]CE!$G$74</f>
        <v>28385.5</v>
      </c>
      <c r="DO19" s="10"/>
      <c r="DP19" s="10">
        <f>[26]CE!$G$71+[26]CE!$G$75+[26]CE!$G$73</f>
        <v>40108.15</v>
      </c>
      <c r="DQ19" s="10">
        <f t="shared" ref="DQ19" si="83">SUM(DK19:DP19)</f>
        <v>1368549.5499999998</v>
      </c>
      <c r="DR19" s="10">
        <f>[26]CE!$G$76</f>
        <v>1214502.7</v>
      </c>
      <c r="DS19" s="10">
        <f>[26]CE!$G$77</f>
        <v>62048.82</v>
      </c>
      <c r="DT19" s="10"/>
      <c r="DU19" s="10">
        <f>[26]CE!$G$78+[26]CE!$G$80+[26]CE!$G$82</f>
        <v>21508.06</v>
      </c>
      <c r="DV19" s="10"/>
      <c r="DW19" s="10">
        <f>[26]CE!$G$79+[26]CE!$G$81+[26]CE!$G$83</f>
        <v>2167.84</v>
      </c>
      <c r="DX19" s="10">
        <f t="shared" si="67"/>
        <v>1300227.4200000002</v>
      </c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52">
        <f t="shared" si="70"/>
        <v>12699328.43</v>
      </c>
      <c r="GD19" s="151">
        <f t="shared" si="80"/>
        <v>11750614.800000001</v>
      </c>
      <c r="GE19" s="218"/>
      <c r="GG19" s="36"/>
      <c r="GH19" s="36"/>
      <c r="GI19" s="36"/>
      <c r="GJ19" s="36"/>
    </row>
    <row r="20" spans="1:192" s="5" customFormat="1" ht="12.75" x14ac:dyDescent="0.2">
      <c r="A20" s="252"/>
      <c r="B20" s="4" t="s">
        <v>157</v>
      </c>
      <c r="C20" s="66" t="s">
        <v>26</v>
      </c>
      <c r="D20" s="67">
        <f t="shared" si="62"/>
        <v>35370</v>
      </c>
      <c r="E20" s="75" t="s">
        <v>11</v>
      </c>
      <c r="F20" s="75" t="s">
        <v>11</v>
      </c>
      <c r="G20" s="75" t="s">
        <v>11</v>
      </c>
      <c r="H20" s="75" t="s">
        <v>11</v>
      </c>
      <c r="I20" s="75" t="s">
        <v>11</v>
      </c>
      <c r="J20" s="75" t="s">
        <v>11</v>
      </c>
      <c r="K20" s="75" t="s">
        <v>11</v>
      </c>
      <c r="L20" s="75" t="s">
        <v>11</v>
      </c>
      <c r="M20" s="75" t="s">
        <v>11</v>
      </c>
      <c r="N20" s="75" t="s">
        <v>11</v>
      </c>
      <c r="O20" s="75" t="s">
        <v>11</v>
      </c>
      <c r="P20" s="75" t="s">
        <v>11</v>
      </c>
      <c r="Q20" s="75" t="s">
        <v>11</v>
      </c>
      <c r="R20" s="75" t="s">
        <v>11</v>
      </c>
      <c r="S20" s="75" t="s">
        <v>11</v>
      </c>
      <c r="T20" s="75" t="s">
        <v>11</v>
      </c>
      <c r="U20" s="75" t="s">
        <v>11</v>
      </c>
      <c r="V20" s="75" t="s">
        <v>11</v>
      </c>
      <c r="W20" s="75" t="s">
        <v>11</v>
      </c>
      <c r="X20" s="75" t="s">
        <v>11</v>
      </c>
      <c r="Y20" s="75" t="s">
        <v>11</v>
      </c>
      <c r="Z20" s="75" t="s">
        <v>11</v>
      </c>
      <c r="AA20" s="75" t="s">
        <v>11</v>
      </c>
      <c r="AB20" s="75" t="s">
        <v>11</v>
      </c>
      <c r="AC20" s="156"/>
      <c r="AD20" s="156"/>
      <c r="AE20" s="156"/>
      <c r="AF20" s="156"/>
      <c r="AG20" s="156"/>
      <c r="AH20" s="156"/>
      <c r="AI20" s="156"/>
      <c r="AJ20" s="156"/>
      <c r="AK20" s="156"/>
      <c r="AL20" s="156"/>
      <c r="AM20" s="156"/>
      <c r="AN20" s="157"/>
      <c r="AO20" s="158"/>
      <c r="AP20" s="158"/>
      <c r="AQ20" s="158"/>
      <c r="AR20" s="158"/>
      <c r="AS20" s="159"/>
      <c r="AT20" s="159"/>
      <c r="AU20" s="160"/>
      <c r="AV20" s="159"/>
      <c r="AW20" s="160"/>
      <c r="AX20" s="159"/>
      <c r="AY20" s="161"/>
      <c r="AZ20" s="159"/>
      <c r="BA20" s="159"/>
      <c r="BB20" s="160"/>
      <c r="BC20" s="159"/>
      <c r="BD20" s="160"/>
      <c r="BE20" s="159"/>
      <c r="BF20" s="161"/>
      <c r="BG20" s="161"/>
      <c r="BH20" s="161"/>
      <c r="BI20" s="161"/>
      <c r="BJ20" s="161"/>
      <c r="BK20" s="161"/>
      <c r="BL20" s="161"/>
      <c r="BM20" s="162"/>
      <c r="BN20" s="161"/>
      <c r="BO20" s="161"/>
      <c r="BP20" s="161"/>
      <c r="BQ20" s="161"/>
      <c r="BR20" s="161"/>
      <c r="BS20" s="161"/>
      <c r="BT20" s="163"/>
      <c r="BU20" s="163"/>
      <c r="BV20" s="163"/>
      <c r="BW20" s="162"/>
      <c r="BX20" s="163"/>
      <c r="BY20" s="162"/>
      <c r="BZ20" s="163"/>
      <c r="CA20" s="161"/>
      <c r="CB20" s="163"/>
      <c r="CC20" s="163"/>
      <c r="CD20" s="162"/>
      <c r="CE20" s="163"/>
      <c r="CF20" s="162"/>
      <c r="CG20" s="163"/>
      <c r="CH20" s="161"/>
      <c r="CI20" s="161"/>
      <c r="CJ20" s="161"/>
      <c r="CK20" s="161"/>
      <c r="CL20" s="161"/>
      <c r="CM20" s="161"/>
      <c r="CN20" s="161"/>
      <c r="CO20" s="161"/>
      <c r="CP20" s="161"/>
      <c r="CQ20" s="161"/>
      <c r="CR20" s="161"/>
      <c r="CS20" s="161"/>
      <c r="CT20" s="161"/>
      <c r="CU20" s="161"/>
      <c r="CV20" s="161"/>
      <c r="CW20" s="161"/>
      <c r="CX20" s="161"/>
      <c r="CY20" s="161"/>
      <c r="CZ20" s="161"/>
      <c r="DA20" s="161"/>
      <c r="DB20" s="161"/>
      <c r="DC20" s="161"/>
      <c r="DD20" s="161"/>
      <c r="DE20" s="161"/>
      <c r="DF20" s="161"/>
      <c r="DG20" s="161"/>
      <c r="DH20" s="161"/>
      <c r="DI20" s="161"/>
      <c r="DJ20" s="161"/>
      <c r="DK20" s="161"/>
      <c r="DL20" s="161"/>
      <c r="DM20" s="161"/>
      <c r="DN20" s="161"/>
      <c r="DO20" s="161"/>
      <c r="DP20" s="161"/>
      <c r="DQ20" s="161"/>
      <c r="DR20" s="161"/>
      <c r="DS20" s="161"/>
      <c r="DT20" s="161"/>
      <c r="DU20" s="161"/>
      <c r="DV20" s="161"/>
      <c r="DW20" s="161"/>
      <c r="DX20" s="161"/>
      <c r="DY20" s="10">
        <f>[26]CE!$F$52</f>
        <v>680432.8</v>
      </c>
      <c r="DZ20" s="10">
        <f>[26]CE!$F$53</f>
        <v>89752.71</v>
      </c>
      <c r="EA20" s="10"/>
      <c r="EB20" s="10">
        <f>[26]CE!$F$54+[26]CE!$F$56+[26]CE!$F$58</f>
        <v>27841.03</v>
      </c>
      <c r="EC20" s="10"/>
      <c r="ED20" s="10">
        <f>[26]CE!$F$55+[26]CE!$F$57+[26]CE!$F$59</f>
        <v>13155.81</v>
      </c>
      <c r="EE20" s="10">
        <f t="shared" si="76"/>
        <v>811182.35000000009</v>
      </c>
      <c r="EF20" s="10">
        <f>[26]CE!$F$60</f>
        <v>680432.8</v>
      </c>
      <c r="EG20" s="10">
        <f>[26]CE!$F$61</f>
        <v>85875.77</v>
      </c>
      <c r="EH20" s="10"/>
      <c r="EI20" s="10">
        <f>[26]CE!$F$62+[26]CE!$F$64+[26]CE!$F$66</f>
        <v>23841.35</v>
      </c>
      <c r="EJ20" s="10"/>
      <c r="EK20" s="10">
        <f>[26]CE!$F$63+[26]CE!$F$65+[26]CE!$F$67</f>
        <v>11713.59</v>
      </c>
      <c r="EL20" s="10">
        <f t="shared" si="68"/>
        <v>801863.51</v>
      </c>
      <c r="EM20" s="10">
        <f>[26]CE!$E$52</f>
        <v>802486.77</v>
      </c>
      <c r="EN20" s="10">
        <f>[26]CE!$E$53</f>
        <v>113482.64</v>
      </c>
      <c r="EO20" s="10"/>
      <c r="EP20" s="10">
        <f>[26]CE!$E$54+[26]CE!$E$56+[26]CE!$E$58</f>
        <v>36786</v>
      </c>
      <c r="EQ20" s="10"/>
      <c r="ER20" s="10">
        <f>[26]CE!$E$55+[26]CE!$E$57+[26]CE!$E$59</f>
        <v>30635.239999999998</v>
      </c>
      <c r="ES20" s="10">
        <f t="shared" ref="ES20:ES26" si="84">SUM(EM20:ER20)</f>
        <v>983390.65</v>
      </c>
      <c r="ET20" s="10">
        <f>[26]CE!$E$60</f>
        <v>3699311.01</v>
      </c>
      <c r="EU20" s="10">
        <f>[26]CE!$E$61</f>
        <v>939040.19</v>
      </c>
      <c r="EV20" s="10"/>
      <c r="EW20" s="10">
        <f>[26]CE!$E$62+[26]CE!$E$64+[26]CE!$E$66</f>
        <v>180919.24</v>
      </c>
      <c r="EX20" s="10"/>
      <c r="EY20" s="10">
        <f>[26]CE!$E$63+[26]CE!$E$65+[26]CE!$E$67</f>
        <v>276918.18</v>
      </c>
      <c r="EZ20" s="10">
        <f t="shared" ref="EZ20:EZ26" si="85">SUM(ET20:EY20)</f>
        <v>5096188.6199999992</v>
      </c>
      <c r="FA20" s="10">
        <f>[27]CE!$R$25</f>
        <v>913065.79</v>
      </c>
      <c r="FB20" s="10">
        <f>[27]CE!$S$25</f>
        <v>105118.66</v>
      </c>
      <c r="FC20" s="10"/>
      <c r="FD20" s="10">
        <f>[27]CE!$Q$25</f>
        <v>51400.21</v>
      </c>
      <c r="FE20" s="10"/>
      <c r="FF20" s="10">
        <f>[27]CE!$T$25</f>
        <v>64223.47</v>
      </c>
      <c r="FG20" s="10">
        <f t="shared" ref="FG20:FG26" si="86">SUM(FA20:FF20)</f>
        <v>1133808.1300000001</v>
      </c>
      <c r="FH20" s="10">
        <f>[27]CE!$V$25</f>
        <v>913065.79</v>
      </c>
      <c r="FI20" s="10">
        <f>[27]CE!$W$25</f>
        <v>108956.99</v>
      </c>
      <c r="FJ20" s="10"/>
      <c r="FK20" s="10">
        <f>[27]CE!$U$25</f>
        <v>55470.81</v>
      </c>
      <c r="FL20" s="10"/>
      <c r="FM20" s="10">
        <f>[27]CE!$X$25</f>
        <v>45216.59</v>
      </c>
      <c r="FN20" s="10">
        <f t="shared" ref="FN20:FN26" si="87">SUM(FH20:FM20)</f>
        <v>1122710.1800000002</v>
      </c>
      <c r="FO20" s="10">
        <f>[28]CE!R23</f>
        <v>1027336.39</v>
      </c>
      <c r="FP20" s="10">
        <f>[28]CE!S23</f>
        <v>109543.14</v>
      </c>
      <c r="FQ20" s="10"/>
      <c r="FR20" s="10">
        <f>[28]CE!Q23</f>
        <v>62544.71</v>
      </c>
      <c r="FS20" s="10"/>
      <c r="FT20" s="10">
        <f>[28]CE!T23</f>
        <v>62554.22</v>
      </c>
      <c r="FU20" s="10">
        <f t="shared" si="78"/>
        <v>1261978.46</v>
      </c>
      <c r="FV20" s="10">
        <f>[28]CE!V23</f>
        <v>1027336.39</v>
      </c>
      <c r="FW20" s="10">
        <f>[28]CE!W23</f>
        <v>92825</v>
      </c>
      <c r="FX20" s="10"/>
      <c r="FY20" s="10">
        <f>[28]CE!U23</f>
        <v>49256.55</v>
      </c>
      <c r="FZ20" s="10"/>
      <c r="GA20" s="10">
        <f>[28]CE!X23</f>
        <v>60457.11</v>
      </c>
      <c r="GB20" s="10">
        <f t="shared" si="79"/>
        <v>1229875.0500000003</v>
      </c>
      <c r="GC20" s="152">
        <f t="shared" si="70"/>
        <v>4190359.59</v>
      </c>
      <c r="GD20" s="151">
        <f t="shared" si="80"/>
        <v>8250637.3599999994</v>
      </c>
      <c r="GE20" s="218"/>
      <c r="GG20" s="36"/>
      <c r="GH20" s="36"/>
      <c r="GI20" s="36"/>
      <c r="GJ20" s="36"/>
    </row>
    <row r="21" spans="1:192" s="5" customFormat="1" ht="12.75" x14ac:dyDescent="0.2">
      <c r="A21" s="252"/>
      <c r="B21" s="4" t="s">
        <v>206</v>
      </c>
      <c r="C21" s="66" t="s">
        <v>26</v>
      </c>
      <c r="D21" s="67">
        <f t="shared" si="62"/>
        <v>35370</v>
      </c>
      <c r="E21" s="75" t="s">
        <v>11</v>
      </c>
      <c r="F21" s="75" t="s">
        <v>11</v>
      </c>
      <c r="G21" s="75" t="s">
        <v>11</v>
      </c>
      <c r="H21" s="75" t="s">
        <v>11</v>
      </c>
      <c r="I21" s="75" t="s">
        <v>11</v>
      </c>
      <c r="J21" s="75" t="s">
        <v>11</v>
      </c>
      <c r="K21" s="75" t="s">
        <v>11</v>
      </c>
      <c r="L21" s="75" t="s">
        <v>11</v>
      </c>
      <c r="M21" s="75" t="s">
        <v>11</v>
      </c>
      <c r="N21" s="75" t="s">
        <v>11</v>
      </c>
      <c r="O21" s="75" t="s">
        <v>11</v>
      </c>
      <c r="P21" s="75" t="s">
        <v>11</v>
      </c>
      <c r="Q21" s="75" t="s">
        <v>11</v>
      </c>
      <c r="R21" s="75" t="s">
        <v>11</v>
      </c>
      <c r="S21" s="75" t="s">
        <v>11</v>
      </c>
      <c r="T21" s="75" t="s">
        <v>11</v>
      </c>
      <c r="U21" s="75" t="s">
        <v>11</v>
      </c>
      <c r="V21" s="75" t="s">
        <v>11</v>
      </c>
      <c r="W21" s="75" t="s">
        <v>11</v>
      </c>
      <c r="X21" s="75" t="s">
        <v>11</v>
      </c>
      <c r="Y21" s="75" t="s">
        <v>11</v>
      </c>
      <c r="Z21" s="75" t="s">
        <v>11</v>
      </c>
      <c r="AA21" s="75" t="s">
        <v>11</v>
      </c>
      <c r="AB21" s="75" t="s">
        <v>11</v>
      </c>
      <c r="AC21" s="156"/>
      <c r="AD21" s="156"/>
      <c r="AE21" s="156"/>
      <c r="AF21" s="156"/>
      <c r="AG21" s="156"/>
      <c r="AH21" s="156"/>
      <c r="AI21" s="156"/>
      <c r="AJ21" s="156"/>
      <c r="AK21" s="156"/>
      <c r="AL21" s="156"/>
      <c r="AM21" s="156"/>
      <c r="AN21" s="157"/>
      <c r="AO21" s="158"/>
      <c r="AP21" s="158"/>
      <c r="AQ21" s="158"/>
      <c r="AR21" s="158"/>
      <c r="AS21" s="159"/>
      <c r="AT21" s="159"/>
      <c r="AU21" s="160"/>
      <c r="AV21" s="159"/>
      <c r="AW21" s="160"/>
      <c r="AX21" s="159"/>
      <c r="AY21" s="161"/>
      <c r="AZ21" s="159"/>
      <c r="BA21" s="159"/>
      <c r="BB21" s="160"/>
      <c r="BC21" s="159"/>
      <c r="BD21" s="160"/>
      <c r="BE21" s="159"/>
      <c r="BF21" s="161"/>
      <c r="BG21" s="161"/>
      <c r="BH21" s="161"/>
      <c r="BI21" s="161"/>
      <c r="BJ21" s="161"/>
      <c r="BK21" s="161"/>
      <c r="BL21" s="161"/>
      <c r="BM21" s="162"/>
      <c r="BN21" s="161"/>
      <c r="BO21" s="161"/>
      <c r="BP21" s="161"/>
      <c r="BQ21" s="161"/>
      <c r="BR21" s="161"/>
      <c r="BS21" s="161"/>
      <c r="BT21" s="163"/>
      <c r="BU21" s="163"/>
      <c r="BV21" s="163"/>
      <c r="BW21" s="162"/>
      <c r="BX21" s="163"/>
      <c r="BY21" s="162"/>
      <c r="BZ21" s="163"/>
      <c r="CA21" s="161"/>
      <c r="CB21" s="163"/>
      <c r="CC21" s="163"/>
      <c r="CD21" s="162"/>
      <c r="CE21" s="163"/>
      <c r="CF21" s="162"/>
      <c r="CG21" s="163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0">
        <f>[26]CE!$F$68</f>
        <v>635681.15</v>
      </c>
      <c r="DZ21" s="10">
        <f>[26]CE!$F$69</f>
        <v>13154.16</v>
      </c>
      <c r="EA21" s="10"/>
      <c r="EB21" s="10">
        <f>[26]CE!$F$70+[26]CE!$F$72+[26]CE!$F$74</f>
        <v>5713.53</v>
      </c>
      <c r="EC21" s="10"/>
      <c r="ED21" s="10">
        <f>[26]CE!$F$71+[26]CE!$F$73+[26]CE!$F$75</f>
        <v>19678.57</v>
      </c>
      <c r="EE21" s="10">
        <f t="shared" si="76"/>
        <v>674227.41</v>
      </c>
      <c r="EF21" s="10">
        <f>[26]CE!$F$76</f>
        <v>632889.14</v>
      </c>
      <c r="EG21" s="10">
        <f>[26]CE!$F$77</f>
        <v>4802.47</v>
      </c>
      <c r="EH21" s="10"/>
      <c r="EI21" s="10">
        <f>[26]CE!$F$78+[26]CE!$F$80+[26]CE!$F$82</f>
        <v>5507.84</v>
      </c>
      <c r="EJ21" s="10"/>
      <c r="EK21" s="10">
        <f>[26]CE!$F$79+[26]CE!$F$81+[26]CE!$F$83</f>
        <v>1809.36</v>
      </c>
      <c r="EL21" s="10">
        <f t="shared" si="68"/>
        <v>645008.80999999994</v>
      </c>
      <c r="EM21" s="10">
        <f>[26]CE!$E$68</f>
        <v>706058.8</v>
      </c>
      <c r="EN21" s="10">
        <f>[26]CE!$E$69</f>
        <v>18102.830000000002</v>
      </c>
      <c r="EO21" s="10"/>
      <c r="EP21" s="10">
        <f>[26]CE!$E$70+[26]CE!$E$72+[26]CE!$E$74</f>
        <v>9908.57</v>
      </c>
      <c r="EQ21" s="10"/>
      <c r="ER21" s="10">
        <f>[26]CE!$E$71+[26]CE!$E$73+[26]CE!$E$75</f>
        <v>27694.09</v>
      </c>
      <c r="ES21" s="10">
        <f t="shared" si="84"/>
        <v>761764.28999999992</v>
      </c>
      <c r="ET21" s="10">
        <f>[26]CE!$E$76</f>
        <v>3699311.01</v>
      </c>
      <c r="EU21" s="10">
        <f>[26]CE!$E$77</f>
        <v>939040.19</v>
      </c>
      <c r="EV21" s="10"/>
      <c r="EW21" s="10">
        <f>[26]CE!$E$78+[26]CE!$E$80+[26]CE!$E$82</f>
        <v>180919.24</v>
      </c>
      <c r="EX21" s="10"/>
      <c r="EY21" s="10">
        <f>[26]CE!$E$79+[26]CE!$E$81+[26]CE!$E$83</f>
        <v>276918.18</v>
      </c>
      <c r="EZ21" s="10">
        <f t="shared" si="85"/>
        <v>5096188.6199999992</v>
      </c>
      <c r="FA21" s="10">
        <f>[27]CE!$R$18</f>
        <v>803932.09</v>
      </c>
      <c r="FB21" s="10">
        <f>[27]CE!$S$18</f>
        <v>19815.63</v>
      </c>
      <c r="FC21" s="10"/>
      <c r="FD21" s="10">
        <f>[27]CE!$Q$18</f>
        <v>9363.7900000000009</v>
      </c>
      <c r="FE21" s="10"/>
      <c r="FF21" s="10">
        <f>[27]CE!$T$18</f>
        <v>49268.959999999999</v>
      </c>
      <c r="FG21" s="10">
        <f t="shared" si="86"/>
        <v>882380.47</v>
      </c>
      <c r="FH21" s="10">
        <f>[27]CE!$V$18</f>
        <v>797117.58</v>
      </c>
      <c r="FI21" s="10">
        <f>[27]CE!$W$18</f>
        <v>9646.4</v>
      </c>
      <c r="FJ21" s="10"/>
      <c r="FK21" s="10">
        <f>[27]CE!$U$18</f>
        <v>9831.93</v>
      </c>
      <c r="FL21" s="10"/>
      <c r="FM21" s="10">
        <f>[27]CE!$X$18</f>
        <v>32461.77</v>
      </c>
      <c r="FN21" s="10">
        <f t="shared" si="87"/>
        <v>849057.68</v>
      </c>
      <c r="FO21" s="10">
        <f>[28]CE!R17</f>
        <v>851051.32</v>
      </c>
      <c r="FP21" s="10">
        <f>[28]CE!S17</f>
        <v>35982.57</v>
      </c>
      <c r="FQ21" s="10"/>
      <c r="FR21" s="10">
        <f>[28]CE!Q17</f>
        <v>9708.5499999999993</v>
      </c>
      <c r="FS21" s="10"/>
      <c r="FT21" s="10">
        <f>[28]CE!T17</f>
        <v>73495.53</v>
      </c>
      <c r="FU21" s="10">
        <f t="shared" si="78"/>
        <v>970237.97</v>
      </c>
      <c r="FV21" s="10">
        <f>[28]CE!V17</f>
        <v>845943.49</v>
      </c>
      <c r="FW21" s="10">
        <f>[28]CE!W17</f>
        <v>35532.410000000003</v>
      </c>
      <c r="FX21" s="10"/>
      <c r="FY21" s="10">
        <f>[28]CE!U17</f>
        <v>10284.129999999999</v>
      </c>
      <c r="FZ21" s="10"/>
      <c r="GA21" s="10">
        <f>[28]CE!X17</f>
        <v>58973.87</v>
      </c>
      <c r="GB21" s="10">
        <f t="shared" si="79"/>
        <v>950733.9</v>
      </c>
      <c r="GC21" s="152">
        <f t="shared" si="70"/>
        <v>3288610.1399999997</v>
      </c>
      <c r="GD21" s="151">
        <f t="shared" si="80"/>
        <v>7540989.0099999988</v>
      </c>
      <c r="GE21" s="218"/>
      <c r="GG21" s="36"/>
      <c r="GH21" s="36"/>
      <c r="GI21" s="36"/>
      <c r="GJ21" s="36"/>
    </row>
    <row r="22" spans="1:192" s="5" customFormat="1" ht="12.75" x14ac:dyDescent="0.2">
      <c r="A22" s="252"/>
      <c r="B22" s="4" t="s">
        <v>85</v>
      </c>
      <c r="C22" s="66" t="s">
        <v>26</v>
      </c>
      <c r="D22" s="67">
        <f>D19</f>
        <v>35370</v>
      </c>
      <c r="E22" s="75" t="s">
        <v>11</v>
      </c>
      <c r="F22" s="75" t="s">
        <v>11</v>
      </c>
      <c r="G22" s="75" t="s">
        <v>11</v>
      </c>
      <c r="H22" s="75" t="s">
        <v>11</v>
      </c>
      <c r="I22" s="75" t="s">
        <v>11</v>
      </c>
      <c r="J22" s="75" t="s">
        <v>11</v>
      </c>
      <c r="K22" s="75" t="s">
        <v>11</v>
      </c>
      <c r="L22" s="75" t="s">
        <v>11</v>
      </c>
      <c r="M22" s="75" t="s">
        <v>11</v>
      </c>
      <c r="N22" s="75" t="s">
        <v>11</v>
      </c>
      <c r="O22" s="75" t="s">
        <v>11</v>
      </c>
      <c r="P22" s="75" t="s">
        <v>11</v>
      </c>
      <c r="Q22" s="75" t="s">
        <v>11</v>
      </c>
      <c r="R22" s="75" t="s">
        <v>11</v>
      </c>
      <c r="S22" s="75" t="s">
        <v>11</v>
      </c>
      <c r="T22" s="75" t="s">
        <v>11</v>
      </c>
      <c r="U22" s="75" t="s">
        <v>11</v>
      </c>
      <c r="V22" s="75" t="s">
        <v>11</v>
      </c>
      <c r="W22" s="75" t="s">
        <v>11</v>
      </c>
      <c r="X22" s="75" t="s">
        <v>11</v>
      </c>
      <c r="Y22" s="75" t="s">
        <v>11</v>
      </c>
      <c r="Z22" s="75" t="s">
        <v>11</v>
      </c>
      <c r="AA22" s="75" t="s">
        <v>11</v>
      </c>
      <c r="AB22" s="75" t="s">
        <v>11</v>
      </c>
      <c r="AC22" s="68">
        <v>397245.07</v>
      </c>
      <c r="AD22" s="68">
        <v>316643.79000000004</v>
      </c>
      <c r="AE22" s="68">
        <v>413381.46</v>
      </c>
      <c r="AF22" s="68">
        <v>426244.39</v>
      </c>
      <c r="AG22" s="68">
        <v>441433.16</v>
      </c>
      <c r="AH22" s="68">
        <v>583341.81000000006</v>
      </c>
      <c r="AI22" s="68">
        <v>408794.39</v>
      </c>
      <c r="AJ22" s="68">
        <v>540074.27</v>
      </c>
      <c r="AK22" s="68">
        <v>516134.23</v>
      </c>
      <c r="AL22" s="68">
        <v>651248.02</v>
      </c>
      <c r="AM22" s="68">
        <v>703857</v>
      </c>
      <c r="AN22" s="70">
        <v>714667.75</v>
      </c>
      <c r="AO22" s="72">
        <v>679527.59</v>
      </c>
      <c r="AP22" s="72">
        <v>833357.26</v>
      </c>
      <c r="AQ22" s="72">
        <v>685693.6</v>
      </c>
      <c r="AR22" s="72">
        <v>606928.88</v>
      </c>
      <c r="AS22" s="110">
        <v>611061.80000000005</v>
      </c>
      <c r="AT22" s="110">
        <v>31638.03</v>
      </c>
      <c r="AU22" s="77"/>
      <c r="AV22" s="110">
        <v>1051.02</v>
      </c>
      <c r="AW22" s="77"/>
      <c r="AX22" s="110">
        <v>66427.88</v>
      </c>
      <c r="AY22" s="10">
        <f t="shared" si="58"/>
        <v>710178.7300000001</v>
      </c>
      <c r="AZ22" s="110">
        <v>596331.81000000006</v>
      </c>
      <c r="BA22" s="110">
        <v>17348.64</v>
      </c>
      <c r="BB22" s="77"/>
      <c r="BC22" s="110">
        <v>595.76</v>
      </c>
      <c r="BD22" s="77"/>
      <c r="BE22" s="110">
        <v>37744.26</v>
      </c>
      <c r="BF22" s="10">
        <f t="shared" si="59"/>
        <v>652020.47000000009</v>
      </c>
      <c r="BG22" s="10">
        <v>573224</v>
      </c>
      <c r="BH22" s="10">
        <v>92336</v>
      </c>
      <c r="BI22" s="10">
        <v>0</v>
      </c>
      <c r="BJ22" s="10">
        <v>0</v>
      </c>
      <c r="BK22" s="10">
        <v>0</v>
      </c>
      <c r="BL22" s="10">
        <v>12051</v>
      </c>
      <c r="BM22" s="79">
        <f t="shared" si="63"/>
        <v>677611</v>
      </c>
      <c r="BN22" s="10">
        <v>571045</v>
      </c>
      <c r="BO22" s="10">
        <v>59065</v>
      </c>
      <c r="BP22" s="10">
        <v>0</v>
      </c>
      <c r="BQ22" s="10">
        <v>0</v>
      </c>
      <c r="BR22" s="10">
        <v>0</v>
      </c>
      <c r="BS22" s="10">
        <v>11976</v>
      </c>
      <c r="BT22" s="135">
        <f t="shared" si="64"/>
        <v>642086</v>
      </c>
      <c r="BU22" s="135">
        <v>734339.9</v>
      </c>
      <c r="BV22" s="135">
        <v>26898.97</v>
      </c>
      <c r="BW22" s="79">
        <v>0</v>
      </c>
      <c r="BX22" s="135">
        <v>5374.09</v>
      </c>
      <c r="BY22" s="79">
        <v>0</v>
      </c>
      <c r="BZ22" s="135">
        <v>65039.23</v>
      </c>
      <c r="CA22" s="10">
        <f t="shared" si="65"/>
        <v>831652.19</v>
      </c>
      <c r="CB22" s="135">
        <v>715263.31</v>
      </c>
      <c r="CC22" s="135">
        <v>18699.099999999999</v>
      </c>
      <c r="CD22" s="79">
        <v>0</v>
      </c>
      <c r="CE22" s="135">
        <v>2706.09</v>
      </c>
      <c r="CF22" s="79">
        <v>0</v>
      </c>
      <c r="CG22" s="135">
        <v>48696.23</v>
      </c>
      <c r="CH22" s="10">
        <f t="shared" si="66"/>
        <v>785364.73</v>
      </c>
      <c r="CI22" s="10">
        <f>[26]CE!$I$100</f>
        <v>892009.28</v>
      </c>
      <c r="CJ22" s="10">
        <f>[26]CE!$I$101</f>
        <v>45038.94</v>
      </c>
      <c r="CK22" s="10"/>
      <c r="CL22" s="10">
        <f>[26]CE!$I$102+[26]CE!$I$104+[26]CE!$I$106</f>
        <v>13099.24</v>
      </c>
      <c r="CM22" s="10"/>
      <c r="CN22" s="10">
        <f>[26]CE!$I$103+[26]CE!$I$105+[26]CE!$I$107</f>
        <v>71821.37</v>
      </c>
      <c r="CO22" s="10">
        <f t="shared" ref="CO22:CO26" si="88">SUM(CI22:CN22)</f>
        <v>1021968.83</v>
      </c>
      <c r="CP22" s="10">
        <f>[26]CE!$I$108</f>
        <v>857969.86</v>
      </c>
      <c r="CQ22" s="10">
        <f>[26]CE!$I$109</f>
        <v>36059.61</v>
      </c>
      <c r="CR22" s="10"/>
      <c r="CS22" s="10">
        <f>[26]CE!$I$110+[26]CE!$I$112+[26]CE!$I$114</f>
        <v>0</v>
      </c>
      <c r="CT22" s="10"/>
      <c r="CU22" s="10">
        <f>[26]CE!$I$111+[26]CE!$I$113+[26]CE!$I$115</f>
        <v>80589.100000000006</v>
      </c>
      <c r="CV22" s="10">
        <f t="shared" si="72"/>
        <v>974618.57</v>
      </c>
      <c r="CW22" s="10">
        <f>[26]CE!$H$100</f>
        <v>843711.94</v>
      </c>
      <c r="CX22" s="10">
        <f>[26]CE!$H$101</f>
        <v>58167.03</v>
      </c>
      <c r="CY22" s="10"/>
      <c r="CZ22" s="10">
        <f>[26]CE!$H$102+[26]CE!$H$104+[26]CE!$H$106</f>
        <v>20061.089999999997</v>
      </c>
      <c r="DA22" s="10"/>
      <c r="DB22" s="10">
        <f>[26]CE!$H$103+[26]CE!$H$105+[26]CE!$H$107</f>
        <v>76821.39</v>
      </c>
      <c r="DC22" s="10">
        <f t="shared" ref="DC22:DC26" si="89">SUM(CW22:DB22)</f>
        <v>998761.45</v>
      </c>
      <c r="DD22" s="10">
        <f>[26]CE!$H$108</f>
        <v>809734.99</v>
      </c>
      <c r="DE22" s="10">
        <f>[26]CE!$H$109</f>
        <v>45585.27</v>
      </c>
      <c r="DF22" s="10"/>
      <c r="DG22" s="10">
        <f>[26]CE!$H$110+[26]CE!$H$112+[26]CE!$H$114</f>
        <v>513.13</v>
      </c>
      <c r="DH22" s="10"/>
      <c r="DI22" s="10">
        <f>[26]CE!$H$111+[26]CE!$H$113+[26]CE!$H$115</f>
        <v>22489.88</v>
      </c>
      <c r="DJ22" s="10">
        <f t="shared" si="74"/>
        <v>878323.27</v>
      </c>
      <c r="DK22" s="10">
        <f>[26]CE!$G$100</f>
        <v>1053341.1499999999</v>
      </c>
      <c r="DL22" s="10">
        <f>[26]CE!$G$101</f>
        <v>61430.7</v>
      </c>
      <c r="DM22" s="10"/>
      <c r="DN22" s="10">
        <f>[26]CE!$G$102+[26]CE!$G$104+[26]CE!$G$106</f>
        <v>32598.71</v>
      </c>
      <c r="DO22" s="10"/>
      <c r="DP22" s="10">
        <f>[26]CE!$G$103+[26]CE!$G$105+[26]CE!$G$107</f>
        <v>96482.47</v>
      </c>
      <c r="DQ22" s="10">
        <f t="shared" ref="DQ22:DQ26" si="90">SUM(DK22:DP22)</f>
        <v>1243853.0299999998</v>
      </c>
      <c r="DR22" s="10">
        <f>[26]CE!$G$108</f>
        <v>1033040.47</v>
      </c>
      <c r="DS22" s="10">
        <f>[26]CE!$G$109</f>
        <v>46335.5</v>
      </c>
      <c r="DT22" s="10"/>
      <c r="DU22" s="10">
        <f>[26]CE!$G$110+[26]CE!$G$112+[26]CE!$G$114</f>
        <v>44785.36</v>
      </c>
      <c r="DV22" s="10"/>
      <c r="DW22" s="10">
        <f>[26]CE!$G$111+[26]CE!$G$113+[26]CE!$G$115</f>
        <v>6606.95</v>
      </c>
      <c r="DX22" s="10">
        <f t="shared" si="67"/>
        <v>1130768.28</v>
      </c>
      <c r="DY22" s="10">
        <f>[26]CE!$F$100</f>
        <v>1870772.35</v>
      </c>
      <c r="DZ22" s="10">
        <f>[26]CE!$F$101</f>
        <v>52071.05</v>
      </c>
      <c r="EA22" s="10"/>
      <c r="EB22" s="10">
        <f>[26]CE!$F$102+[26]CE!$F$104+[26]CE!$F$106</f>
        <v>58751.299999999996</v>
      </c>
      <c r="EC22" s="10"/>
      <c r="ED22" s="10">
        <f>[26]CE!$F$103+[26]CE!$F$105+[26]CE!$F$107</f>
        <v>117054.98000000001</v>
      </c>
      <c r="EE22" s="10">
        <f t="shared" si="76"/>
        <v>2098649.6800000002</v>
      </c>
      <c r="EF22" s="10">
        <f>[26]CE!$F$108</f>
        <v>1849237.38</v>
      </c>
      <c r="EG22" s="10">
        <f>[26]CE!$F$109</f>
        <v>48836.83</v>
      </c>
      <c r="EH22" s="10"/>
      <c r="EI22" s="10">
        <f>[26]CE!$F$110+[26]CE!$F$112+[26]CE!$F$114</f>
        <v>92550.69</v>
      </c>
      <c r="EJ22" s="10"/>
      <c r="EK22" s="10">
        <f>[26]CE!$F$111+[26]CE!$F$113+[26]CE!$F$115</f>
        <v>25542.449999999997</v>
      </c>
      <c r="EL22" s="10">
        <f t="shared" si="68"/>
        <v>2016167.3499999999</v>
      </c>
      <c r="EM22" s="10">
        <f>[26]CE!$E$100</f>
        <v>1792460.36</v>
      </c>
      <c r="EN22" s="10">
        <f>[26]CE!$E$101</f>
        <v>52100.17</v>
      </c>
      <c r="EO22" s="10"/>
      <c r="EP22" s="10">
        <f>[26]CE!$E$102+[26]CE!$E$104+[26]CE!$E$106</f>
        <v>78531.69</v>
      </c>
      <c r="EQ22" s="10"/>
      <c r="ER22" s="10">
        <f>[26]CE!$E$103+[26]CE!$E$105+[26]CE!$E$107</f>
        <v>118188.4</v>
      </c>
      <c r="ES22" s="10">
        <f t="shared" si="84"/>
        <v>2041280.6199999999</v>
      </c>
      <c r="ET22" s="10">
        <f>[26]CE!$E$108</f>
        <v>3699311.01</v>
      </c>
      <c r="EU22" s="10">
        <f>[26]CE!$E$109</f>
        <v>939040.19</v>
      </c>
      <c r="EV22" s="10"/>
      <c r="EW22" s="10">
        <f>[26]CE!$E$110+[26]CE!$E$112+[26]CE!$E$114</f>
        <v>180919.24</v>
      </c>
      <c r="EX22" s="10"/>
      <c r="EY22" s="10">
        <f>[26]CE!$E$111+[26]CE!$E$113+[26]CE!$E$115</f>
        <v>276918.18</v>
      </c>
      <c r="EZ22" s="10">
        <f t="shared" si="85"/>
        <v>5096188.6199999992</v>
      </c>
      <c r="FA22" s="10">
        <f>[27]CE!$R$17</f>
        <v>1545808.4</v>
      </c>
      <c r="FB22" s="10">
        <f>[27]CE!$S$17</f>
        <v>80119.13</v>
      </c>
      <c r="FC22" s="10"/>
      <c r="FD22" s="10">
        <f>[27]CE!$Q$17</f>
        <v>10863.59</v>
      </c>
      <c r="FE22" s="10"/>
      <c r="FF22" s="10">
        <f>[27]CE!$T$17</f>
        <v>303789.96000000002</v>
      </c>
      <c r="FG22" s="10">
        <f t="shared" si="86"/>
        <v>1940581.0799999998</v>
      </c>
      <c r="FH22" s="10">
        <f>[27]CE!$V$17</f>
        <v>1666783.64</v>
      </c>
      <c r="FI22" s="10">
        <f>[27]CE!$W$17</f>
        <v>60567.56</v>
      </c>
      <c r="FJ22" s="10"/>
      <c r="FK22" s="10">
        <f>[27]CE!$U$17</f>
        <v>7654.25</v>
      </c>
      <c r="FL22" s="10"/>
      <c r="FM22" s="10">
        <f>[27]CE!$X$17</f>
        <v>242942.5</v>
      </c>
      <c r="FN22" s="10">
        <f t="shared" si="87"/>
        <v>1977947.95</v>
      </c>
      <c r="FO22" s="10">
        <f>[28]CE!R16</f>
        <v>2023544.82</v>
      </c>
      <c r="FP22" s="10">
        <f>[28]CE!S16</f>
        <v>112075.66</v>
      </c>
      <c r="FQ22" s="10"/>
      <c r="FR22" s="10">
        <f>[28]CE!Q16</f>
        <v>17828.939999999999</v>
      </c>
      <c r="FS22" s="10"/>
      <c r="FT22" s="10">
        <f>[28]CE!T16</f>
        <v>379840.73</v>
      </c>
      <c r="FU22" s="10">
        <f t="shared" si="78"/>
        <v>2533290.15</v>
      </c>
      <c r="FV22" s="10">
        <f>[28]CE!V16</f>
        <v>1988669.33</v>
      </c>
      <c r="FW22" s="10">
        <f>[28]CE!W16</f>
        <v>84444.91</v>
      </c>
      <c r="FX22" s="10"/>
      <c r="FY22" s="10">
        <f>[28]CE!U16</f>
        <v>13715.81</v>
      </c>
      <c r="FZ22" s="10"/>
      <c r="GA22" s="10">
        <f>[28]CE!X16</f>
        <v>341450.48</v>
      </c>
      <c r="GB22" s="10">
        <f t="shared" si="79"/>
        <v>2428280.5300000003</v>
      </c>
      <c r="GC22" s="152">
        <f t="shared" si="70"/>
        <v>18343893.259999998</v>
      </c>
      <c r="GD22" s="151">
        <f t="shared" si="80"/>
        <v>21254271.939999998</v>
      </c>
      <c r="GE22" s="218"/>
      <c r="GG22" s="36"/>
      <c r="GH22" s="36"/>
      <c r="GI22" s="36"/>
      <c r="GJ22" s="36"/>
    </row>
    <row r="23" spans="1:192" s="5" customFormat="1" ht="12.75" x14ac:dyDescent="0.2">
      <c r="A23" s="252"/>
      <c r="B23" s="4" t="s">
        <v>86</v>
      </c>
      <c r="C23" s="66" t="s">
        <v>26</v>
      </c>
      <c r="D23" s="67">
        <f t="shared" si="62"/>
        <v>35370</v>
      </c>
      <c r="E23" s="75" t="s">
        <v>11</v>
      </c>
      <c r="F23" s="75" t="s">
        <v>11</v>
      </c>
      <c r="G23" s="75" t="s">
        <v>11</v>
      </c>
      <c r="H23" s="75" t="s">
        <v>11</v>
      </c>
      <c r="I23" s="75" t="s">
        <v>11</v>
      </c>
      <c r="J23" s="75" t="s">
        <v>11</v>
      </c>
      <c r="K23" s="75" t="s">
        <v>11</v>
      </c>
      <c r="L23" s="75" t="s">
        <v>11</v>
      </c>
      <c r="M23" s="75" t="s">
        <v>11</v>
      </c>
      <c r="N23" s="75" t="s">
        <v>11</v>
      </c>
      <c r="O23" s="75" t="s">
        <v>11</v>
      </c>
      <c r="P23" s="75" t="s">
        <v>11</v>
      </c>
      <c r="Q23" s="75" t="s">
        <v>11</v>
      </c>
      <c r="R23" s="75" t="s">
        <v>11</v>
      </c>
      <c r="S23" s="75" t="s">
        <v>11</v>
      </c>
      <c r="T23" s="75" t="s">
        <v>11</v>
      </c>
      <c r="U23" s="75" t="s">
        <v>11</v>
      </c>
      <c r="V23" s="75" t="s">
        <v>11</v>
      </c>
      <c r="W23" s="75" t="s">
        <v>11</v>
      </c>
      <c r="X23" s="75" t="s">
        <v>11</v>
      </c>
      <c r="Y23" s="75" t="s">
        <v>11</v>
      </c>
      <c r="Z23" s="75" t="s">
        <v>11</v>
      </c>
      <c r="AA23" s="75" t="s">
        <v>11</v>
      </c>
      <c r="AB23" s="75" t="s">
        <v>11</v>
      </c>
      <c r="AC23" s="68">
        <v>653044.52</v>
      </c>
      <c r="AD23" s="68">
        <v>485686.07999999984</v>
      </c>
      <c r="AE23" s="68">
        <v>614079.92000000004</v>
      </c>
      <c r="AF23" s="68">
        <v>505952.93999999994</v>
      </c>
      <c r="AG23" s="68">
        <v>952227.73</v>
      </c>
      <c r="AH23" s="68">
        <v>787490.34</v>
      </c>
      <c r="AI23" s="68">
        <v>840738.33</v>
      </c>
      <c r="AJ23" s="68">
        <v>946612.55999999982</v>
      </c>
      <c r="AK23" s="68">
        <v>1357260.71</v>
      </c>
      <c r="AL23" s="68">
        <v>1280887.9900000002</v>
      </c>
      <c r="AM23" s="68">
        <v>1852495</v>
      </c>
      <c r="AN23" s="69">
        <v>1946724.5099999995</v>
      </c>
      <c r="AO23" s="72">
        <v>2318301.21</v>
      </c>
      <c r="AP23" s="72">
        <v>2512339.06</v>
      </c>
      <c r="AQ23" s="72">
        <v>2413020.5499999998</v>
      </c>
      <c r="AR23" s="72">
        <v>2295548.19</v>
      </c>
      <c r="AS23" s="110">
        <v>802834.95</v>
      </c>
      <c r="AT23" s="110">
        <v>505972.17</v>
      </c>
      <c r="AU23" s="77"/>
      <c r="AV23" s="110">
        <v>743765.91999999899</v>
      </c>
      <c r="AW23" s="77"/>
      <c r="AX23" s="110">
        <v>89852.709999999905</v>
      </c>
      <c r="AY23" s="10">
        <f t="shared" si="58"/>
        <v>2142425.7499999986</v>
      </c>
      <c r="AZ23" s="110">
        <v>759861.89</v>
      </c>
      <c r="BA23" s="110">
        <v>491273.33</v>
      </c>
      <c r="BB23" s="77"/>
      <c r="BC23" s="110">
        <v>707072.63</v>
      </c>
      <c r="BD23" s="77"/>
      <c r="BE23" s="110">
        <v>59805.059999999903</v>
      </c>
      <c r="BF23" s="10">
        <f t="shared" si="59"/>
        <v>2018012.91</v>
      </c>
      <c r="BG23" s="10">
        <v>973967</v>
      </c>
      <c r="BH23" s="10">
        <v>599869</v>
      </c>
      <c r="BI23" s="10">
        <v>0</v>
      </c>
      <c r="BJ23" s="10">
        <v>632653</v>
      </c>
      <c r="BK23" s="10">
        <v>0</v>
      </c>
      <c r="BL23" s="10">
        <v>2623</v>
      </c>
      <c r="BM23" s="79">
        <f t="shared" si="63"/>
        <v>2209112</v>
      </c>
      <c r="BN23" s="10">
        <v>853946</v>
      </c>
      <c r="BO23" s="10">
        <v>573526</v>
      </c>
      <c r="BP23" s="10">
        <v>0</v>
      </c>
      <c r="BQ23" s="10">
        <v>584096</v>
      </c>
      <c r="BR23" s="10">
        <v>0</v>
      </c>
      <c r="BS23" s="10">
        <v>2623</v>
      </c>
      <c r="BT23" s="135">
        <f t="shared" si="64"/>
        <v>2014191</v>
      </c>
      <c r="BU23" s="135">
        <v>1076424.42</v>
      </c>
      <c r="BV23" s="135">
        <v>650279.93000000005</v>
      </c>
      <c r="BW23" s="79">
        <v>0</v>
      </c>
      <c r="BX23" s="135">
        <v>601006.76000000106</v>
      </c>
      <c r="BY23" s="79">
        <v>0</v>
      </c>
      <c r="BZ23" s="135">
        <v>22520.05</v>
      </c>
      <c r="CA23" s="10">
        <f t="shared" si="65"/>
        <v>2350231.1600000011</v>
      </c>
      <c r="CB23" s="135">
        <v>1076124.6599999999</v>
      </c>
      <c r="CC23" s="135">
        <v>625643.43999999994</v>
      </c>
      <c r="CD23" s="79">
        <v>0</v>
      </c>
      <c r="CE23" s="135">
        <v>540269.05999999994</v>
      </c>
      <c r="CF23" s="79">
        <v>0</v>
      </c>
      <c r="CG23" s="135">
        <v>22520.05</v>
      </c>
      <c r="CH23" s="10">
        <f t="shared" si="66"/>
        <v>2264557.2099999995</v>
      </c>
      <c r="CI23" s="10">
        <f>[26]CE!$I$164</f>
        <v>1164437.1200000001</v>
      </c>
      <c r="CJ23" s="10">
        <f>[26]CE!$I$165</f>
        <v>988946.83</v>
      </c>
      <c r="CK23" s="10"/>
      <c r="CL23" s="10">
        <f>[26]CE!$I$166+[26]CE!$I$168+[26]CE!$I$170</f>
        <v>712381.09000000008</v>
      </c>
      <c r="CM23" s="10"/>
      <c r="CN23" s="10">
        <f>[26]CE!$I$167+[26]CE!$I$169+[26]CE!$I$171</f>
        <v>21618.98</v>
      </c>
      <c r="CO23" s="10">
        <f t="shared" si="88"/>
        <v>2887384.02</v>
      </c>
      <c r="CP23" s="10">
        <f>[26]CE!$I$172</f>
        <v>1160523.95</v>
      </c>
      <c r="CQ23" s="10">
        <f>[26]CE!$I$173</f>
        <v>844636.52</v>
      </c>
      <c r="CR23" s="10"/>
      <c r="CS23" s="10">
        <f>[26]CE!$I$174+[26]CE!$I$176+[26]CE!$I$178</f>
        <v>643628.22</v>
      </c>
      <c r="CT23" s="10"/>
      <c r="CU23" s="10">
        <f>[26]CE!$I$175+[26]CE!$I$177+[26]CE!$I$179</f>
        <v>15286.68</v>
      </c>
      <c r="CV23" s="10">
        <f t="shared" si="72"/>
        <v>2664075.37</v>
      </c>
      <c r="CW23" s="10">
        <f>[26]CE!$H$164</f>
        <v>1295713.08</v>
      </c>
      <c r="CX23" s="10">
        <f>[26]CE!$H$165</f>
        <v>1042484.64</v>
      </c>
      <c r="CY23" s="10"/>
      <c r="CZ23" s="10">
        <f>[26]CE!$H$166+[26]CE!$H$168+[26]CE!$H$170</f>
        <v>800257.78999999992</v>
      </c>
      <c r="DA23" s="10"/>
      <c r="DB23" s="10">
        <f>[26]CE!$H$167+[26]CE!$H$169+[26]CE!$H$171</f>
        <v>23473.040000000001</v>
      </c>
      <c r="DC23" s="10">
        <f t="shared" si="89"/>
        <v>3161928.5500000003</v>
      </c>
      <c r="DD23" s="10">
        <f>[26]CE!$H$172</f>
        <v>1287865.1499999999</v>
      </c>
      <c r="DE23" s="10">
        <f>[26]CE!$H$173</f>
        <v>960605.29</v>
      </c>
      <c r="DF23" s="10"/>
      <c r="DG23" s="10">
        <f>[26]CE!$H$174+[26]CE!$H$176+[26]CE!$H$178</f>
        <v>707542.94</v>
      </c>
      <c r="DH23" s="10"/>
      <c r="DI23" s="10">
        <f>[26]CE!$H$175+[26]CE!$H$177+[26]CE!$H$179</f>
        <v>15793.16</v>
      </c>
      <c r="DJ23" s="10">
        <f t="shared" si="74"/>
        <v>2971806.54</v>
      </c>
      <c r="DK23" s="10">
        <f>[26]CE!$G$164</f>
        <v>1110777.56</v>
      </c>
      <c r="DL23" s="10">
        <f>[26]CE!$G$165</f>
        <v>1018752.86</v>
      </c>
      <c r="DM23" s="10"/>
      <c r="DN23" s="10">
        <f>[26]CE!$G$166+[26]CE!$G$168+[26]CE!$G$170</f>
        <v>731884.5</v>
      </c>
      <c r="DO23" s="10"/>
      <c r="DP23" s="10">
        <f>[26]CE!$G$167+[26]CE!$G$169+[26]CE!$G$171</f>
        <v>20501.739999999998</v>
      </c>
      <c r="DQ23" s="10">
        <f t="shared" si="90"/>
        <v>2881916.66</v>
      </c>
      <c r="DR23" s="10">
        <f>[26]CE!$G$172</f>
        <v>1073871.6000000001</v>
      </c>
      <c r="DS23" s="10">
        <f>[26]CE!$G$173</f>
        <v>928029.5</v>
      </c>
      <c r="DT23" s="10"/>
      <c r="DU23" s="10">
        <f>[26]CE!$G$174+[26]CE!$G$176+[26]CE!$G$178</f>
        <v>620868.53</v>
      </c>
      <c r="DV23" s="10"/>
      <c r="DW23" s="10">
        <f>[26]CE!$G$175+[26]CE!$G$177+[26]CE!$G$179</f>
        <v>16485.77</v>
      </c>
      <c r="DX23" s="10">
        <f t="shared" si="67"/>
        <v>2639255.4</v>
      </c>
      <c r="DY23" s="10">
        <f>[26]CE!$F$164</f>
        <v>917687.29</v>
      </c>
      <c r="DZ23" s="10">
        <f>[26]CE!$F$165</f>
        <v>634132.77</v>
      </c>
      <c r="EA23" s="10"/>
      <c r="EB23" s="10">
        <f>[26]CE!$F$166+[26]CE!$F$168+[26]CE!$F$170</f>
        <v>219467.41</v>
      </c>
      <c r="EC23" s="10"/>
      <c r="ED23" s="10">
        <f>[26]CE!$F$167+[26]CE!$F$169+[26]CE!$F$171</f>
        <v>13156.15</v>
      </c>
      <c r="EE23" s="10">
        <f t="shared" si="76"/>
        <v>1784443.6199999999</v>
      </c>
      <c r="EF23" s="10">
        <f>[26]CE!$F$172</f>
        <v>895962.46</v>
      </c>
      <c r="EG23" s="10">
        <f>[26]CE!$F$173</f>
        <v>610421.76000000001</v>
      </c>
      <c r="EH23" s="10"/>
      <c r="EI23" s="10">
        <f>[26]CE!$F$174+[26]CE!$F$176+[26]CE!$F$178</f>
        <v>110612.99</v>
      </c>
      <c r="EJ23" s="10"/>
      <c r="EK23" s="10">
        <f>[26]CE!$F$175+[26]CE!$F$177+[26]CE!$F$179</f>
        <v>82970.09</v>
      </c>
      <c r="EL23" s="10">
        <f t="shared" si="68"/>
        <v>1699967.3</v>
      </c>
      <c r="EM23" s="10">
        <f>[26]CE!$E$164</f>
        <v>1101754.6399999999</v>
      </c>
      <c r="EN23" s="10">
        <f>[26]CE!$E$165</f>
        <v>797467.87</v>
      </c>
      <c r="EO23" s="10"/>
      <c r="EP23" s="10">
        <f>[26]CE!$E$166+[26]CE!$E$168+[26]CE!$E$170</f>
        <v>482353.51</v>
      </c>
      <c r="EQ23" s="10"/>
      <c r="ER23" s="10">
        <f>[26]CE!$E$167+[26]CE!$E$169+[26]CE!$E$171</f>
        <v>16605.260000000002</v>
      </c>
      <c r="ES23" s="10">
        <f t="shared" si="84"/>
        <v>2398181.2799999993</v>
      </c>
      <c r="ET23" s="10">
        <f>[26]CE!$E$172</f>
        <v>3699311.01</v>
      </c>
      <c r="EU23" s="10">
        <f>[26]CE!$E$173</f>
        <v>939040.19</v>
      </c>
      <c r="EV23" s="10"/>
      <c r="EW23" s="10">
        <f>[26]CE!$E$174+[26]CE!$E$176+[26]CE!$E$178</f>
        <v>180919.24</v>
      </c>
      <c r="EX23" s="10"/>
      <c r="EY23" s="10">
        <f>[26]CE!$E$175+[26]CE!$E$177+[26]CE!$E$179</f>
        <v>276918.18</v>
      </c>
      <c r="EZ23" s="10">
        <f t="shared" si="85"/>
        <v>5096188.6199999992</v>
      </c>
      <c r="FA23" s="10">
        <f>[27]CE!$R$20</f>
        <v>1242283.71</v>
      </c>
      <c r="FB23" s="10">
        <f>[27]CE!$S$20</f>
        <v>984503.72</v>
      </c>
      <c r="FC23" s="10"/>
      <c r="FD23" s="10">
        <f>[27]CE!$Q$20</f>
        <v>168522.82</v>
      </c>
      <c r="FE23" s="10"/>
      <c r="FF23" s="10">
        <f>[27]CE!$T$20</f>
        <v>454733.56</v>
      </c>
      <c r="FG23" s="10">
        <f t="shared" si="86"/>
        <v>2850043.8099999996</v>
      </c>
      <c r="FH23" s="10">
        <f>[27]CE!$V$20</f>
        <v>1239205.98</v>
      </c>
      <c r="FI23" s="10">
        <f>[27]CE!$W$20</f>
        <v>996354.39</v>
      </c>
      <c r="FJ23" s="10"/>
      <c r="FK23" s="10">
        <f>[27]CE!$U$20</f>
        <v>138110.16</v>
      </c>
      <c r="FL23" s="10"/>
      <c r="FM23" s="10">
        <f>[27]CE!$X$20</f>
        <v>374357.28</v>
      </c>
      <c r="FN23" s="10">
        <f t="shared" si="87"/>
        <v>2748027.8100000005</v>
      </c>
      <c r="FO23" s="10">
        <f>[28]CE!R18</f>
        <v>3030561.01</v>
      </c>
      <c r="FP23" s="10">
        <f>[28]CE!S18</f>
        <v>2349867.33</v>
      </c>
      <c r="FQ23" s="10"/>
      <c r="FR23" s="10">
        <f>[28]CE!Q18</f>
        <v>2452771.96</v>
      </c>
      <c r="FS23" s="10"/>
      <c r="FT23" s="10">
        <f>[28]CE!T18</f>
        <v>1276046.6299999999</v>
      </c>
      <c r="FU23" s="10">
        <f t="shared" si="78"/>
        <v>9109246.9299999997</v>
      </c>
      <c r="FV23" s="10">
        <f>[28]CE!V18</f>
        <v>2951391.97</v>
      </c>
      <c r="FW23" s="10">
        <f>[28]CE!W18</f>
        <v>2356492.83</v>
      </c>
      <c r="FX23" s="10"/>
      <c r="FY23" s="185">
        <f>[28]CE!U18</f>
        <v>2397845.0699999998</v>
      </c>
      <c r="FZ23" s="10"/>
      <c r="GA23" s="10">
        <f>[28]CE!X18</f>
        <v>945292.29</v>
      </c>
      <c r="GB23" s="10">
        <f t="shared" si="79"/>
        <v>8651022.1600000001</v>
      </c>
      <c r="GC23" s="152">
        <f t="shared" si="70"/>
        <v>42776081.75</v>
      </c>
      <c r="GD23" s="151">
        <f t="shared" si="80"/>
        <v>43528345.989999995</v>
      </c>
      <c r="GE23" s="218"/>
      <c r="GG23" s="36"/>
      <c r="GH23" s="36"/>
      <c r="GI23" s="36"/>
      <c r="GJ23" s="36"/>
    </row>
    <row r="24" spans="1:192" s="5" customFormat="1" ht="15" customHeight="1" x14ac:dyDescent="0.2">
      <c r="A24" s="252"/>
      <c r="B24" s="4" t="s">
        <v>84</v>
      </c>
      <c r="C24" s="66" t="s">
        <v>26</v>
      </c>
      <c r="D24" s="67">
        <f>D18</f>
        <v>35370</v>
      </c>
      <c r="E24" s="75" t="s">
        <v>11</v>
      </c>
      <c r="F24" s="75" t="s">
        <v>11</v>
      </c>
      <c r="G24" s="75" t="s">
        <v>11</v>
      </c>
      <c r="H24" s="75" t="s">
        <v>11</v>
      </c>
      <c r="I24" s="75" t="s">
        <v>11</v>
      </c>
      <c r="J24" s="75" t="s">
        <v>11</v>
      </c>
      <c r="K24" s="75" t="s">
        <v>11</v>
      </c>
      <c r="L24" s="75" t="s">
        <v>11</v>
      </c>
      <c r="M24" s="75" t="s">
        <v>11</v>
      </c>
      <c r="N24" s="75" t="s">
        <v>11</v>
      </c>
      <c r="O24" s="75" t="s">
        <v>11</v>
      </c>
      <c r="P24" s="75" t="s">
        <v>11</v>
      </c>
      <c r="Q24" s="75" t="s">
        <v>11</v>
      </c>
      <c r="R24" s="75" t="s">
        <v>11</v>
      </c>
      <c r="S24" s="75" t="s">
        <v>11</v>
      </c>
      <c r="T24" s="75" t="s">
        <v>11</v>
      </c>
      <c r="U24" s="75" t="s">
        <v>11</v>
      </c>
      <c r="V24" s="75" t="s">
        <v>11</v>
      </c>
      <c r="W24" s="75" t="s">
        <v>11</v>
      </c>
      <c r="X24" s="75" t="s">
        <v>11</v>
      </c>
      <c r="Y24" s="75" t="s">
        <v>11</v>
      </c>
      <c r="Z24" s="75" t="s">
        <v>11</v>
      </c>
      <c r="AA24" s="75" t="s">
        <v>11</v>
      </c>
      <c r="AB24" s="75" t="s">
        <v>11</v>
      </c>
      <c r="AC24" s="68">
        <v>242831.38</v>
      </c>
      <c r="AD24" s="68">
        <v>183746.76</v>
      </c>
      <c r="AE24" s="68">
        <v>219733.06</v>
      </c>
      <c r="AF24" s="68">
        <v>258317.01999999993</v>
      </c>
      <c r="AG24" s="68">
        <v>215959.92</v>
      </c>
      <c r="AH24" s="68">
        <v>287294.07</v>
      </c>
      <c r="AI24" s="68">
        <v>158118.39000000001</v>
      </c>
      <c r="AJ24" s="68">
        <v>312873.68</v>
      </c>
      <c r="AK24" s="68">
        <v>228949.84</v>
      </c>
      <c r="AL24" s="68">
        <v>378245.78000000009</v>
      </c>
      <c r="AM24" s="68">
        <v>393288</v>
      </c>
      <c r="AN24" s="69">
        <v>501455.70999999973</v>
      </c>
      <c r="AO24" s="72">
        <v>375222.56</v>
      </c>
      <c r="AP24" s="72">
        <v>349494.14</v>
      </c>
      <c r="AQ24" s="72">
        <v>430440.25</v>
      </c>
      <c r="AR24" s="72">
        <v>347682.08</v>
      </c>
      <c r="AS24" s="110">
        <v>210854</v>
      </c>
      <c r="AT24" s="110">
        <v>81228.399999999994</v>
      </c>
      <c r="AU24" s="77"/>
      <c r="AV24" s="110">
        <v>71194.429999999993</v>
      </c>
      <c r="AW24" s="77"/>
      <c r="AX24" s="110">
        <v>41786.06</v>
      </c>
      <c r="AY24" s="10">
        <f>SUM(AS24:AX24)</f>
        <v>405062.89</v>
      </c>
      <c r="AZ24" s="110">
        <v>207484.86</v>
      </c>
      <c r="BA24" s="110">
        <v>40889.120000000003</v>
      </c>
      <c r="BB24" s="77"/>
      <c r="BC24" s="110">
        <v>61485.17</v>
      </c>
      <c r="BD24" s="77"/>
      <c r="BE24" s="110">
        <v>39987.64</v>
      </c>
      <c r="BF24" s="10">
        <f>SUM(AZ24:BE24)</f>
        <v>349846.79</v>
      </c>
      <c r="BG24" s="10">
        <v>279033</v>
      </c>
      <c r="BH24" s="10">
        <v>48650</v>
      </c>
      <c r="BI24" s="10">
        <v>0</v>
      </c>
      <c r="BJ24" s="10">
        <v>57884</v>
      </c>
      <c r="BK24" s="10">
        <v>0</v>
      </c>
      <c r="BL24" s="10">
        <v>13891</v>
      </c>
      <c r="BM24" s="79">
        <f>SUM(BG24:BL24)</f>
        <v>399458</v>
      </c>
      <c r="BN24" s="10">
        <v>279033</v>
      </c>
      <c r="BO24" s="10">
        <v>19150</v>
      </c>
      <c r="BP24" s="10">
        <v>0</v>
      </c>
      <c r="BQ24" s="10">
        <v>52611</v>
      </c>
      <c r="BR24" s="10">
        <v>0</v>
      </c>
      <c r="BS24" s="10">
        <v>13891</v>
      </c>
      <c r="BT24" s="135">
        <f>SUM(BN24:BS24)</f>
        <v>364685</v>
      </c>
      <c r="BU24" s="135">
        <v>300281.89</v>
      </c>
      <c r="BV24" s="135">
        <v>8775.84</v>
      </c>
      <c r="BW24" s="79">
        <v>0</v>
      </c>
      <c r="BX24" s="135">
        <v>83848.399999999994</v>
      </c>
      <c r="BY24" s="79">
        <v>0</v>
      </c>
      <c r="BZ24" s="135">
        <v>24114.38</v>
      </c>
      <c r="CA24" s="10">
        <f>SUM(BU24:BZ24)</f>
        <v>417020.51</v>
      </c>
      <c r="CB24" s="135">
        <v>300281.89</v>
      </c>
      <c r="CC24" s="135">
        <v>4249.24</v>
      </c>
      <c r="CD24" s="79">
        <v>0</v>
      </c>
      <c r="CE24" s="135">
        <v>64495.4</v>
      </c>
      <c r="CF24" s="79">
        <v>0</v>
      </c>
      <c r="CG24" s="135">
        <v>24114.38</v>
      </c>
      <c r="CH24" s="10">
        <f>SUM(CB24:CG24)</f>
        <v>393140.91000000003</v>
      </c>
      <c r="CI24" s="10">
        <f>[26]CE!$I$84</f>
        <v>380030.14</v>
      </c>
      <c r="CJ24" s="10">
        <f>[26]CE!$I$85</f>
        <v>32779.4</v>
      </c>
      <c r="CK24" s="10"/>
      <c r="CL24" s="10">
        <f>[26]CE!$I$86+[26]CE!$I$88+[26]CE!$I$90</f>
        <v>99135.23</v>
      </c>
      <c r="CM24" s="10"/>
      <c r="CN24" s="10">
        <f>[26]CE!$I$87+[26]CE!$I$89+[26]CE!$I$91</f>
        <v>80589.100000000006</v>
      </c>
      <c r="CO24" s="10">
        <f>SUM(CI24:CN24)</f>
        <v>592533.87</v>
      </c>
      <c r="CP24" s="10">
        <f>[26]CE!$I$92</f>
        <v>380030.14</v>
      </c>
      <c r="CQ24" s="10">
        <f>[26]CE!$I$93</f>
        <v>18080.16</v>
      </c>
      <c r="CR24" s="10"/>
      <c r="CS24" s="10">
        <f>[26]CE!$I$94+[26]CE!$I$96+[26]CE!$I$98</f>
        <v>98519.75</v>
      </c>
      <c r="CT24" s="10"/>
      <c r="CU24" s="10">
        <f>[26]CE!$I$95+[26]CE!$I$97+[26]CE!$I$99</f>
        <v>25644.53</v>
      </c>
      <c r="CV24" s="10">
        <f>SUM(CP24:CU24)</f>
        <v>522274.57999999996</v>
      </c>
      <c r="CW24" s="10">
        <f>[26]CE!$H$84</f>
        <v>446057.76</v>
      </c>
      <c r="CX24" s="10">
        <f>[26]CE!$H$85</f>
        <v>349680.43</v>
      </c>
      <c r="CY24" s="10"/>
      <c r="CZ24" s="10">
        <f>[26]CE!$H$86+[26]CE!$H$88+[26]CE!$H$90</f>
        <v>175067.91</v>
      </c>
      <c r="DA24" s="10"/>
      <c r="DB24" s="10">
        <f>[26]CE!$H$87+[26]CE!$H$89+[26]CE!$H$91</f>
        <v>34038.720000000001</v>
      </c>
      <c r="DC24" s="10">
        <f>SUM(CW24:DB24)</f>
        <v>1004844.82</v>
      </c>
      <c r="DD24" s="10">
        <f>[26]CE!$H$92</f>
        <v>446021.85</v>
      </c>
      <c r="DE24" s="10">
        <f>[26]CE!$H$93</f>
        <v>324325.03999999998</v>
      </c>
      <c r="DF24" s="10"/>
      <c r="DG24" s="10">
        <f>[26]CE!$H$94+[26]CE!$H$96+[26]CE!$H$98</f>
        <v>159272.17000000001</v>
      </c>
      <c r="DH24" s="10"/>
      <c r="DI24" s="10">
        <f>[26]CE!$H$95+[26]CE!$H$97+[26]CE!$H$99</f>
        <v>26723.420000000002</v>
      </c>
      <c r="DJ24" s="10">
        <f>SUM(DD24:DI24)</f>
        <v>956342.48</v>
      </c>
      <c r="DK24" s="10">
        <f>[26]CE!$G$84</f>
        <v>745626.76</v>
      </c>
      <c r="DL24" s="10">
        <f>[26]CE!$G$85</f>
        <v>650651.91</v>
      </c>
      <c r="DM24" s="10"/>
      <c r="DN24" s="10">
        <f>[26]CE!$G$86+[26]CE!$G$88+[26]CE!$G$90</f>
        <v>799235.85000000009</v>
      </c>
      <c r="DO24" s="10"/>
      <c r="DP24" s="10">
        <f>[26]CE!$G$87+[26]CE!$G$89+[26]CE!$G$91</f>
        <v>7466.36</v>
      </c>
      <c r="DQ24" s="10">
        <f>SUM(DK24:DP24)</f>
        <v>2202980.88</v>
      </c>
      <c r="DR24" s="10">
        <f>[26]CE!$G$92</f>
        <v>741369.75</v>
      </c>
      <c r="DS24" s="10">
        <f>[26]CE!$G$93</f>
        <v>585305.07999999996</v>
      </c>
      <c r="DT24" s="10"/>
      <c r="DU24" s="10">
        <f>[26]CE!$G$94+[26]CE!$G$96+[26]CE!$G$98</f>
        <v>701365.7699999999</v>
      </c>
      <c r="DV24" s="10"/>
      <c r="DW24" s="10">
        <f>[26]CE!$G$95+[26]CE!$G$97+[26]CE!$G$99</f>
        <v>31997.67</v>
      </c>
      <c r="DX24" s="10">
        <f>SUM(DR24:DW24)</f>
        <v>2060038.27</v>
      </c>
      <c r="DY24" s="10">
        <f>[26]CE!$F$84</f>
        <v>1295241.52</v>
      </c>
      <c r="DZ24" s="10">
        <f>[26]CE!$F$85</f>
        <v>947785.19</v>
      </c>
      <c r="EA24" s="10"/>
      <c r="EB24" s="10">
        <f>[26]CE!$F$86+[26]CE!$F$88+[26]CE!$F$90</f>
        <v>1468148.5599999998</v>
      </c>
      <c r="EC24" s="10"/>
      <c r="ED24" s="10">
        <f>[26]CE!$F$87+[26]CE!$F$89+[26]CE!$F$91</f>
        <v>10818.39</v>
      </c>
      <c r="EE24" s="10">
        <f>SUM(DY24:ED24)</f>
        <v>3721993.6599999997</v>
      </c>
      <c r="EF24" s="10">
        <f>[26]CE!$F$92</f>
        <v>1294356.82</v>
      </c>
      <c r="EG24" s="10">
        <f>[26]CE!$F$93</f>
        <v>830310.17</v>
      </c>
      <c r="EH24" s="10"/>
      <c r="EI24" s="10">
        <f>[26]CE!$F$94+[26]CE!$F$96+[26]CE!$F$98</f>
        <v>1307576.0899999999</v>
      </c>
      <c r="EJ24" s="10"/>
      <c r="EK24" s="10">
        <f>[26]CE!$F$95+[26]CE!$F$97+[26]CE!$F$99</f>
        <v>12462.31</v>
      </c>
      <c r="EL24" s="10">
        <f>SUM(EF24:EK24)</f>
        <v>3444705.39</v>
      </c>
      <c r="EM24" s="10">
        <f>[26]CE!$E$84</f>
        <v>1473720.96</v>
      </c>
      <c r="EN24" s="10">
        <f>[26]CE!$E$85</f>
        <v>1251495.8899999999</v>
      </c>
      <c r="EO24" s="10"/>
      <c r="EP24" s="10">
        <f>[26]CE!$E$86+[26]CE!$E$88+[26]CE!$E$90</f>
        <v>2427508.1999999997</v>
      </c>
      <c r="EQ24" s="10"/>
      <c r="ER24" s="10">
        <f>[26]CE!$E$87+[26]CE!$E$89+[26]CE!$E$91</f>
        <v>13521.49</v>
      </c>
      <c r="ES24" s="10">
        <f>SUM(EM24:ER24)</f>
        <v>5166246.5399999991</v>
      </c>
      <c r="ET24" s="10">
        <f>[26]CE!$E$92</f>
        <v>3699311.01</v>
      </c>
      <c r="EU24" s="10">
        <f>[26]CE!$E$93</f>
        <v>939040.19</v>
      </c>
      <c r="EV24" s="10"/>
      <c r="EW24" s="10">
        <f>[26]CE!$E$94+[26]CE!$E$96+[26]CE!$E$98</f>
        <v>180919.24</v>
      </c>
      <c r="EX24" s="10"/>
      <c r="EY24" s="10">
        <f>[26]CE!$E$95+[26]CE!$E$97+[26]CE!$E$99</f>
        <v>276918.18</v>
      </c>
      <c r="EZ24" s="10">
        <f>SUM(ET24:EY24)</f>
        <v>5096188.6199999992</v>
      </c>
      <c r="FA24" s="10">
        <f>[27]CE!$R$19</f>
        <v>1612993.21</v>
      </c>
      <c r="FB24" s="10">
        <f>[27]CE!$S$19</f>
        <v>1204249.3400000001</v>
      </c>
      <c r="FC24" s="10"/>
      <c r="FD24" s="10">
        <f>[27]CE!$Q$19</f>
        <v>2195694.9700000002</v>
      </c>
      <c r="FE24" s="10"/>
      <c r="FF24" s="10">
        <f>[27]CE!$T$19</f>
        <v>571835.74</v>
      </c>
      <c r="FG24" s="10">
        <f>SUM(FA24:FF24)</f>
        <v>5584773.2599999998</v>
      </c>
      <c r="FH24" s="10">
        <f>[27]CE!$V$19</f>
        <v>1662930.86</v>
      </c>
      <c r="FI24" s="10">
        <f>[27]CE!$W$19</f>
        <v>1143356</v>
      </c>
      <c r="FJ24" s="10"/>
      <c r="FK24" s="10">
        <f>[27]CE!$U$19</f>
        <v>2160475.3199999998</v>
      </c>
      <c r="FL24" s="10"/>
      <c r="FM24" s="10">
        <f>[27]CE!$X$19</f>
        <v>421715.11</v>
      </c>
      <c r="FN24" s="10">
        <f>SUM(FH24:FM24)</f>
        <v>5388477.29</v>
      </c>
      <c r="FO24" s="223">
        <f>[28]CE!R20</f>
        <v>1989536.71</v>
      </c>
      <c r="FP24" s="223">
        <f>[28]CE!S20</f>
        <v>290370.84999999998</v>
      </c>
      <c r="FQ24" s="223"/>
      <c r="FR24" s="223">
        <f>[28]CE!Q20</f>
        <v>4085.22</v>
      </c>
      <c r="FS24" s="223"/>
      <c r="FT24" s="223">
        <f>[28]CE!T20</f>
        <v>183536.33</v>
      </c>
      <c r="FU24" s="223">
        <f>SUM(FO24:FT24)</f>
        <v>2467529.1100000003</v>
      </c>
      <c r="FV24" s="223">
        <f>[28]CE!V20</f>
        <v>1994518.45</v>
      </c>
      <c r="FW24" s="223">
        <f>[28]CE!W20</f>
        <v>282247.98</v>
      </c>
      <c r="FX24" s="223"/>
      <c r="FY24" s="223">
        <f>[28]CE!U20</f>
        <v>4085.22</v>
      </c>
      <c r="FZ24" s="223"/>
      <c r="GA24" s="223">
        <f>[28]CE!X20</f>
        <v>193652.34</v>
      </c>
      <c r="GB24" s="223">
        <f>SUM(FV24:GA24)</f>
        <v>2474503.9899999998</v>
      </c>
      <c r="GC24" s="152">
        <f>AC24+AE24+AG24+AI24+AK24+AM24+AO24+AQ24+AY24+BM24+CA24+CO24+DC24+DQ24+EE24+ES24+FG24+FU24</f>
        <v>24226986.939999998</v>
      </c>
      <c r="GD24" s="151">
        <f>AD24+AF24+AH24+AJ24+AL24+AN24+AP24+AR24+BF24+BT24+CH24+CV24+DJ24+DX24+EL24+EZ24+FN24+GB24</f>
        <v>23669312.559999999</v>
      </c>
      <c r="GE24" s="218"/>
      <c r="GG24" s="36"/>
      <c r="GH24" s="36"/>
      <c r="GI24" s="36"/>
      <c r="GJ24" s="36"/>
    </row>
    <row r="25" spans="1:192" s="5" customFormat="1" ht="12.75" x14ac:dyDescent="0.2">
      <c r="A25" s="252"/>
      <c r="B25" s="4" t="s">
        <v>87</v>
      </c>
      <c r="C25" s="66" t="s">
        <v>26</v>
      </c>
      <c r="D25" s="67">
        <f>D23</f>
        <v>35370</v>
      </c>
      <c r="E25" s="75" t="s">
        <v>11</v>
      </c>
      <c r="F25" s="75" t="s">
        <v>11</v>
      </c>
      <c r="G25" s="75" t="s">
        <v>11</v>
      </c>
      <c r="H25" s="75" t="s">
        <v>11</v>
      </c>
      <c r="I25" s="75" t="s">
        <v>11</v>
      </c>
      <c r="J25" s="75" t="s">
        <v>11</v>
      </c>
      <c r="K25" s="75" t="s">
        <v>11</v>
      </c>
      <c r="L25" s="75" t="s">
        <v>11</v>
      </c>
      <c r="M25" s="75" t="s">
        <v>11</v>
      </c>
      <c r="N25" s="75" t="s">
        <v>11</v>
      </c>
      <c r="O25" s="75" t="s">
        <v>11</v>
      </c>
      <c r="P25" s="75" t="s">
        <v>11</v>
      </c>
      <c r="Q25" s="75" t="s">
        <v>11</v>
      </c>
      <c r="R25" s="75" t="s">
        <v>11</v>
      </c>
      <c r="S25" s="75" t="s">
        <v>11</v>
      </c>
      <c r="T25" s="75" t="s">
        <v>11</v>
      </c>
      <c r="U25" s="75" t="s">
        <v>11</v>
      </c>
      <c r="V25" s="75" t="s">
        <v>11</v>
      </c>
      <c r="W25" s="75" t="s">
        <v>11</v>
      </c>
      <c r="X25" s="75" t="s">
        <v>11</v>
      </c>
      <c r="Y25" s="75" t="s">
        <v>11</v>
      </c>
      <c r="Z25" s="75" t="s">
        <v>11</v>
      </c>
      <c r="AA25" s="75" t="s">
        <v>11</v>
      </c>
      <c r="AB25" s="75" t="s">
        <v>11</v>
      </c>
      <c r="AC25" s="68">
        <v>365226.69</v>
      </c>
      <c r="AD25" s="68">
        <v>164085.70000000007</v>
      </c>
      <c r="AE25" s="68">
        <v>412091.51</v>
      </c>
      <c r="AF25" s="68">
        <v>176174.05</v>
      </c>
      <c r="AG25" s="68">
        <v>417941.5</v>
      </c>
      <c r="AH25" s="68">
        <v>380803.44</v>
      </c>
      <c r="AI25" s="68">
        <v>433683.56</v>
      </c>
      <c r="AJ25" s="68">
        <v>406219.64</v>
      </c>
      <c r="AK25" s="68">
        <v>518689.82</v>
      </c>
      <c r="AL25" s="68">
        <v>458452.8</v>
      </c>
      <c r="AM25" s="68">
        <v>583613</v>
      </c>
      <c r="AN25" s="70">
        <v>552282.93999999994</v>
      </c>
      <c r="AO25" s="72">
        <v>786916.77</v>
      </c>
      <c r="AP25" s="72">
        <v>756590.75</v>
      </c>
      <c r="AQ25" s="72">
        <v>1067618.47</v>
      </c>
      <c r="AR25" s="72">
        <v>1001759.06</v>
      </c>
      <c r="AS25" s="110">
        <v>1073256.8</v>
      </c>
      <c r="AT25" s="110">
        <v>21426.18</v>
      </c>
      <c r="AU25" s="77"/>
      <c r="AV25" s="110">
        <v>10646.17</v>
      </c>
      <c r="AW25" s="77"/>
      <c r="AX25" s="110">
        <v>38014.17</v>
      </c>
      <c r="AY25" s="10">
        <f t="shared" si="58"/>
        <v>1143343.3199999998</v>
      </c>
      <c r="AZ25" s="110">
        <v>1071742.48</v>
      </c>
      <c r="BA25" s="110">
        <v>17644.86</v>
      </c>
      <c r="BB25" s="77"/>
      <c r="BC25" s="110">
        <v>7616.93</v>
      </c>
      <c r="BD25" s="77"/>
      <c r="BE25" s="110">
        <v>21605.119999999999</v>
      </c>
      <c r="BF25" s="10">
        <f t="shared" si="59"/>
        <v>1118609.3900000001</v>
      </c>
      <c r="BG25" s="10">
        <v>757871</v>
      </c>
      <c r="BH25" s="10">
        <v>35577</v>
      </c>
      <c r="BI25" s="10">
        <v>0</v>
      </c>
      <c r="BJ25" s="10">
        <v>12921</v>
      </c>
      <c r="BK25" s="10">
        <v>0</v>
      </c>
      <c r="BL25" s="10">
        <v>18556</v>
      </c>
      <c r="BM25" s="79">
        <f t="shared" si="63"/>
        <v>824925</v>
      </c>
      <c r="BN25" s="10">
        <v>757871</v>
      </c>
      <c r="BO25" s="10">
        <v>28216</v>
      </c>
      <c r="BP25" s="10">
        <v>0</v>
      </c>
      <c r="BQ25" s="10">
        <v>10804</v>
      </c>
      <c r="BR25" s="10">
        <v>0</v>
      </c>
      <c r="BS25" s="10">
        <v>16851</v>
      </c>
      <c r="BT25" s="135">
        <f t="shared" si="64"/>
        <v>813742</v>
      </c>
      <c r="BU25" s="135">
        <v>823321.88</v>
      </c>
      <c r="BV25" s="135">
        <v>32154.99</v>
      </c>
      <c r="BW25" s="79">
        <v>0</v>
      </c>
      <c r="BX25" s="135">
        <v>5236.17</v>
      </c>
      <c r="BY25" s="79">
        <v>0</v>
      </c>
      <c r="BZ25" s="135">
        <v>14311.95</v>
      </c>
      <c r="CA25" s="10">
        <f t="shared" si="65"/>
        <v>875024.99</v>
      </c>
      <c r="CB25" s="135">
        <v>823321.88</v>
      </c>
      <c r="CC25" s="135">
        <v>30674.23</v>
      </c>
      <c r="CD25" s="79">
        <v>0</v>
      </c>
      <c r="CE25" s="135">
        <v>4816.38</v>
      </c>
      <c r="CF25" s="79">
        <v>0</v>
      </c>
      <c r="CG25" s="135">
        <v>13687.13</v>
      </c>
      <c r="CH25" s="10">
        <f t="shared" si="66"/>
        <v>872499.62</v>
      </c>
      <c r="CI25" s="10">
        <f>[26]CE!$I$20</f>
        <v>976046.2</v>
      </c>
      <c r="CJ25" s="10">
        <f>[26]CE!$I$21</f>
        <v>40339.1</v>
      </c>
      <c r="CK25" s="10"/>
      <c r="CL25" s="10">
        <f>[26]CE!$I$22+[26]CE!$I$24+[26]CE!$I$26</f>
        <v>1744</v>
      </c>
      <c r="CM25" s="10"/>
      <c r="CN25" s="10">
        <f>[26]CE!$I$23+[26]CE!$I$25+[26]CE!$I$27</f>
        <v>16276.07</v>
      </c>
      <c r="CO25" s="10">
        <f t="shared" si="88"/>
        <v>1034405.3699999999</v>
      </c>
      <c r="CP25" s="10">
        <f>[26]CE!$I$28</f>
        <v>975768.8</v>
      </c>
      <c r="CQ25" s="10">
        <f>[26]CE!$I$29</f>
        <v>39113.72</v>
      </c>
      <c r="CR25" s="10"/>
      <c r="CS25" s="10">
        <f>[26]CE!$I$30+[26]CE!$I$32+[26]CE!$I$34</f>
        <v>1613.49</v>
      </c>
      <c r="CT25" s="10"/>
      <c r="CU25" s="10">
        <f>[26]CE!$I$31+[26]CE!$I$33+[26]CE!$I$35</f>
        <v>15711.490000000002</v>
      </c>
      <c r="CV25" s="10">
        <f t="shared" si="72"/>
        <v>1032207.5</v>
      </c>
      <c r="CW25" s="10">
        <f>[26]CE!$H$20</f>
        <v>1057124.27</v>
      </c>
      <c r="CX25" s="10">
        <f>[26]CE!$H$21</f>
        <v>38491.980000000003</v>
      </c>
      <c r="CY25" s="10"/>
      <c r="CZ25" s="10">
        <f>[26]CE!$H$22+[26]CE!$H$24+[26]CE!$H$26</f>
        <v>6290.43</v>
      </c>
      <c r="DA25" s="10"/>
      <c r="DB25" s="10">
        <f>[26]CE!$H$23+[26]CE!$H$25+[26]CE!$H$27</f>
        <v>24073.489999999998</v>
      </c>
      <c r="DC25" s="10">
        <f t="shared" si="89"/>
        <v>1125980.17</v>
      </c>
      <c r="DD25" s="10">
        <f>[26]CE!$H$28</f>
        <v>1056311.8799999999</v>
      </c>
      <c r="DE25" s="10">
        <f>[26]CE!$H$29</f>
        <v>33704.879999999997</v>
      </c>
      <c r="DF25" s="10"/>
      <c r="DG25" s="10">
        <f>[26]CE!$H$30+[26]CE!$H$32+[26]CE!$H$34</f>
        <v>5372</v>
      </c>
      <c r="DH25" s="10"/>
      <c r="DI25" s="10">
        <f>[26]CE!$H$31+[26]CE!$H$33+[26]CE!$H$35</f>
        <v>18666.36</v>
      </c>
      <c r="DJ25" s="10">
        <f t="shared" si="74"/>
        <v>1114055.1199999999</v>
      </c>
      <c r="DK25" s="10">
        <f>[26]CE!$G$20</f>
        <v>1227080.6000000001</v>
      </c>
      <c r="DL25" s="10">
        <f>[26]CE!$G$21</f>
        <v>57996.35</v>
      </c>
      <c r="DM25" s="10"/>
      <c r="DN25" s="10">
        <f>[26]CE!$G$22+[26]CE!$G$24+[26]CE!$G$26</f>
        <v>19594.939999999999</v>
      </c>
      <c r="DO25" s="10"/>
      <c r="DP25" s="10">
        <f>[26]CE!$G$23+[26]CE!$G$25+[26]CE!$G$27</f>
        <v>35241.21</v>
      </c>
      <c r="DQ25" s="10">
        <f t="shared" si="90"/>
        <v>1339913.1000000001</v>
      </c>
      <c r="DR25" s="10">
        <f>[26]CE!$G$28</f>
        <v>1225614.48</v>
      </c>
      <c r="DS25" s="10">
        <f>[26]CE!$G$29</f>
        <v>53336.38</v>
      </c>
      <c r="DT25" s="10"/>
      <c r="DU25" s="10">
        <f>[26]CE!$G$30+[26]CE!$G$32+[26]CE!$G$34</f>
        <v>8903.32</v>
      </c>
      <c r="DV25" s="10"/>
      <c r="DW25" s="10">
        <f>[26]CE!$G$31+[26]CE!$G$33+[26]CE!$G$35</f>
        <v>28575.019999999997</v>
      </c>
      <c r="DX25" s="10">
        <f t="shared" si="67"/>
        <v>1316429.2</v>
      </c>
      <c r="DY25" s="10">
        <f>[26]CE!$F$20</f>
        <v>1245423.1599999999</v>
      </c>
      <c r="DZ25" s="10">
        <f>[26]CE!$F$21</f>
        <v>77962.84</v>
      </c>
      <c r="EA25" s="10"/>
      <c r="EB25" s="10">
        <f>[26]CE!$F$22+[26]CE!$F$24+[26]CE!$F$26</f>
        <v>41428.050000000003</v>
      </c>
      <c r="EC25" s="10"/>
      <c r="ED25" s="10">
        <f>[26]CE!$F$23+[26]CE!$F$25+[26]CE!$F$27</f>
        <v>39593.350000000006</v>
      </c>
      <c r="EE25" s="10">
        <f t="shared" si="76"/>
        <v>1404407.4000000001</v>
      </c>
      <c r="EF25" s="10">
        <f>[26]CE!$F$28</f>
        <v>1245423.1599999999</v>
      </c>
      <c r="EG25" s="10">
        <f>[26]CE!$F$29</f>
        <v>74321.69</v>
      </c>
      <c r="EH25" s="10"/>
      <c r="EI25" s="10">
        <f>[26]CE!$F$30+[26]CE!$F$32+[26]CE!$F$34</f>
        <v>17563.239999999998</v>
      </c>
      <c r="EJ25" s="10"/>
      <c r="EK25" s="10">
        <f>[26]CE!$F$31+[26]CE!$F$33+[26]CE!$F$35</f>
        <v>37665.21</v>
      </c>
      <c r="EL25" s="10">
        <f t="shared" si="68"/>
        <v>1374973.2999999998</v>
      </c>
      <c r="EM25" s="10">
        <f>[26]CE!$E$20</f>
        <v>1584775.62</v>
      </c>
      <c r="EN25" s="10">
        <f>[26]CE!$E$21</f>
        <v>84855.81</v>
      </c>
      <c r="EO25" s="10"/>
      <c r="EP25" s="10">
        <f>[26]CE!$E$22+[26]CE!$E$24+[26]CE!$E$26</f>
        <v>46064.020000000004</v>
      </c>
      <c r="EQ25" s="10"/>
      <c r="ER25" s="10">
        <f>[26]CE!$E$23+[26]CE!$E$25+[26]CE!$E$27</f>
        <v>40831.589999999997</v>
      </c>
      <c r="ES25" s="10">
        <f t="shared" si="84"/>
        <v>1756527.0400000003</v>
      </c>
      <c r="ET25" s="10">
        <f>[26]CE!$E$28</f>
        <v>3699311.01</v>
      </c>
      <c r="EU25" s="10">
        <f>[26]CE!$E$29</f>
        <v>939040.19</v>
      </c>
      <c r="EV25" s="10"/>
      <c r="EW25" s="10">
        <f>[26]CE!$E$30+[26]CE!$E$32+[26]CE!$E$34</f>
        <v>180919.24</v>
      </c>
      <c r="EX25" s="10"/>
      <c r="EY25" s="10">
        <f>[26]CE!$E$31+[26]CE!$E$33+[26]CE!$E$35</f>
        <v>276918.18</v>
      </c>
      <c r="EZ25" s="10">
        <f t="shared" si="85"/>
        <v>5096188.6199999992</v>
      </c>
      <c r="FA25" s="10">
        <f>[27]CE!$R$22</f>
        <v>3062639.74</v>
      </c>
      <c r="FB25" s="10">
        <f>[27]CE!$S$22</f>
        <v>163904.56</v>
      </c>
      <c r="FC25" s="10"/>
      <c r="FD25" s="10">
        <f>[27]CE!$Q$22</f>
        <v>3160.1</v>
      </c>
      <c r="FE25" s="10"/>
      <c r="FF25" s="10">
        <f>[27]CE!$T$22</f>
        <v>206793.84</v>
      </c>
      <c r="FG25" s="10">
        <f t="shared" si="86"/>
        <v>3436498.24</v>
      </c>
      <c r="FH25" s="10">
        <f>[27]CE!$V$22</f>
        <v>3057219.89</v>
      </c>
      <c r="FI25" s="10">
        <f>[27]CE!$W$22</f>
        <v>171241.96</v>
      </c>
      <c r="FJ25" s="10"/>
      <c r="FK25" s="10">
        <f>[27]CE!$U$22</f>
        <v>3326.5</v>
      </c>
      <c r="FL25" s="10"/>
      <c r="FM25" s="10">
        <f>[27]CE!$X$22</f>
        <v>207737.27</v>
      </c>
      <c r="FN25" s="10">
        <f t="shared" si="87"/>
        <v>3439525.62</v>
      </c>
      <c r="FO25" s="224"/>
      <c r="FP25" s="224"/>
      <c r="FQ25" s="224"/>
      <c r="FR25" s="224"/>
      <c r="FS25" s="224"/>
      <c r="FT25" s="224"/>
      <c r="FU25" s="224"/>
      <c r="FV25" s="224"/>
      <c r="FW25" s="224"/>
      <c r="FX25" s="224"/>
      <c r="FY25" s="224"/>
      <c r="FZ25" s="224"/>
      <c r="GA25" s="224"/>
      <c r="GB25" s="224"/>
      <c r="GC25" s="152">
        <f t="shared" si="70"/>
        <v>17526805.950000003</v>
      </c>
      <c r="GD25" s="151">
        <f>AD25+AF25+AH25+AJ25+AL25+AN25+AP25+AR25+BF25+BT25+CH25+CV25+DJ25+DX25+EL25+EZ25+FN25+GB25</f>
        <v>20074598.749999996</v>
      </c>
      <c r="GE25" s="218"/>
      <c r="GG25" s="36"/>
      <c r="GH25" s="36"/>
      <c r="GI25" s="36"/>
      <c r="GJ25" s="36"/>
    </row>
    <row r="26" spans="1:192" s="5" customFormat="1" ht="12.75" x14ac:dyDescent="0.2">
      <c r="A26" s="252"/>
      <c r="B26" s="4" t="s">
        <v>88</v>
      </c>
      <c r="C26" s="66" t="s">
        <v>26</v>
      </c>
      <c r="D26" s="67">
        <f t="shared" si="62"/>
        <v>35370</v>
      </c>
      <c r="E26" s="75" t="s">
        <v>11</v>
      </c>
      <c r="F26" s="75" t="s">
        <v>11</v>
      </c>
      <c r="G26" s="75" t="s">
        <v>11</v>
      </c>
      <c r="H26" s="75" t="s">
        <v>11</v>
      </c>
      <c r="I26" s="75" t="s">
        <v>11</v>
      </c>
      <c r="J26" s="75" t="s">
        <v>11</v>
      </c>
      <c r="K26" s="75" t="s">
        <v>11</v>
      </c>
      <c r="L26" s="75" t="s">
        <v>11</v>
      </c>
      <c r="M26" s="75" t="s">
        <v>11</v>
      </c>
      <c r="N26" s="75" t="s">
        <v>11</v>
      </c>
      <c r="O26" s="75" t="s">
        <v>11</v>
      </c>
      <c r="P26" s="75" t="s">
        <v>11</v>
      </c>
      <c r="Q26" s="75" t="s">
        <v>11</v>
      </c>
      <c r="R26" s="75" t="s">
        <v>11</v>
      </c>
      <c r="S26" s="75" t="s">
        <v>11</v>
      </c>
      <c r="T26" s="75" t="s">
        <v>11</v>
      </c>
      <c r="U26" s="75" t="s">
        <v>11</v>
      </c>
      <c r="V26" s="75" t="s">
        <v>11</v>
      </c>
      <c r="W26" s="75" t="s">
        <v>11</v>
      </c>
      <c r="X26" s="75" t="s">
        <v>11</v>
      </c>
      <c r="Y26" s="75" t="s">
        <v>11</v>
      </c>
      <c r="Z26" s="75" t="s">
        <v>11</v>
      </c>
      <c r="AA26" s="75" t="s">
        <v>11</v>
      </c>
      <c r="AB26" s="75" t="s">
        <v>11</v>
      </c>
      <c r="AC26" s="68">
        <v>1252044.42</v>
      </c>
      <c r="AD26" s="68">
        <v>881700.6100000001</v>
      </c>
      <c r="AE26" s="68">
        <v>1258859.99</v>
      </c>
      <c r="AF26" s="68">
        <v>903496.94</v>
      </c>
      <c r="AG26" s="68">
        <v>1383500.57</v>
      </c>
      <c r="AH26" s="68">
        <v>1100120.78</v>
      </c>
      <c r="AI26" s="68">
        <v>1436101.49</v>
      </c>
      <c r="AJ26" s="68">
        <v>1191942.43</v>
      </c>
      <c r="AK26" s="68">
        <v>1778287.8</v>
      </c>
      <c r="AL26" s="68">
        <v>1406271.52</v>
      </c>
      <c r="AM26" s="68">
        <v>2060362</v>
      </c>
      <c r="AN26" s="70">
        <v>2026994.58</v>
      </c>
      <c r="AO26" s="72">
        <v>2303069.4299999997</v>
      </c>
      <c r="AP26" s="72">
        <v>2204183.7400000002</v>
      </c>
      <c r="AQ26" s="72">
        <v>2503177.08</v>
      </c>
      <c r="AR26" s="72">
        <v>2031914.67</v>
      </c>
      <c r="AS26" s="110">
        <v>2557218.81</v>
      </c>
      <c r="AT26" s="110">
        <v>328793.06999999902</v>
      </c>
      <c r="AU26" s="77"/>
      <c r="AV26" s="110">
        <v>39232.35</v>
      </c>
      <c r="AW26" s="77"/>
      <c r="AX26" s="110">
        <v>180260.32</v>
      </c>
      <c r="AY26" s="10">
        <f t="shared" si="58"/>
        <v>3105504.5499999989</v>
      </c>
      <c r="AZ26" s="110">
        <v>2114660.1</v>
      </c>
      <c r="BA26" s="110">
        <v>277002.28999999998</v>
      </c>
      <c r="BB26" s="77"/>
      <c r="BC26" s="110">
        <v>36429.910000000003</v>
      </c>
      <c r="BD26" s="77"/>
      <c r="BE26" s="110">
        <v>154403.96</v>
      </c>
      <c r="BF26" s="10">
        <f t="shared" si="59"/>
        <v>2582496.2600000002</v>
      </c>
      <c r="BG26" s="10">
        <v>2860897</v>
      </c>
      <c r="BH26" s="10">
        <v>381566</v>
      </c>
      <c r="BI26" s="10">
        <v>0</v>
      </c>
      <c r="BJ26" s="10">
        <v>47954</v>
      </c>
      <c r="BK26" s="10">
        <v>0</v>
      </c>
      <c r="BL26" s="10">
        <v>181465</v>
      </c>
      <c r="BM26" s="79">
        <f t="shared" si="63"/>
        <v>3471882</v>
      </c>
      <c r="BN26" s="10">
        <v>2722660</v>
      </c>
      <c r="BO26" s="10">
        <v>313100</v>
      </c>
      <c r="BP26" s="10">
        <v>0</v>
      </c>
      <c r="BQ26" s="10">
        <v>43360</v>
      </c>
      <c r="BR26" s="10">
        <v>0</v>
      </c>
      <c r="BS26" s="10">
        <v>145018</v>
      </c>
      <c r="BT26" s="135">
        <f t="shared" si="64"/>
        <v>3224138</v>
      </c>
      <c r="BU26" s="135">
        <v>2981663.11</v>
      </c>
      <c r="BV26" s="135">
        <v>402815.3</v>
      </c>
      <c r="BW26" s="79">
        <v>0</v>
      </c>
      <c r="BX26" s="135">
        <v>44455.74</v>
      </c>
      <c r="BY26" s="79">
        <v>0</v>
      </c>
      <c r="BZ26" s="135">
        <v>279241.2</v>
      </c>
      <c r="CA26" s="10">
        <f t="shared" si="65"/>
        <v>3708175.35</v>
      </c>
      <c r="CB26" s="135">
        <v>2655168.75</v>
      </c>
      <c r="CC26" s="135">
        <v>290668.59000000003</v>
      </c>
      <c r="CD26" s="79">
        <v>0</v>
      </c>
      <c r="CE26" s="135">
        <v>38485.24</v>
      </c>
      <c r="CF26" s="79">
        <v>0</v>
      </c>
      <c r="CG26" s="135">
        <v>222172.72</v>
      </c>
      <c r="CH26" s="10">
        <f t="shared" si="66"/>
        <v>3206495.3000000003</v>
      </c>
      <c r="CI26" s="10">
        <f>[26]CE!$I$180</f>
        <v>3300801.36</v>
      </c>
      <c r="CJ26" s="10">
        <f>[26]CE!$I$181</f>
        <v>403551.7</v>
      </c>
      <c r="CK26" s="10"/>
      <c r="CL26" s="10">
        <f>[26]CE!$I$182+[26]CE!$I$184+[26]CE!$I$186</f>
        <v>53230.04</v>
      </c>
      <c r="CM26" s="10"/>
      <c r="CN26" s="10">
        <f>[26]CE!$I$183+[26]CE!$I$185+[26]CE!$I$187</f>
        <v>283071.05</v>
      </c>
      <c r="CO26" s="10">
        <f t="shared" si="88"/>
        <v>4040654.15</v>
      </c>
      <c r="CP26" s="10">
        <f>[26]CE!$I$188</f>
        <v>3261825.55</v>
      </c>
      <c r="CQ26" s="10">
        <f>[26]CE!$I$189</f>
        <v>244394.5</v>
      </c>
      <c r="CR26" s="10"/>
      <c r="CS26" s="10">
        <f>[26]CE!$I$190+[26]CE!$I$192+[26]CE!$I$194</f>
        <v>50513.47</v>
      </c>
      <c r="CT26" s="10"/>
      <c r="CU26" s="10">
        <f>[26]CE!$I$191+[26]CE!$I$193+[26]CE!$I$195</f>
        <v>16630.54</v>
      </c>
      <c r="CV26" s="10">
        <f t="shared" si="72"/>
        <v>3573364.06</v>
      </c>
      <c r="CW26" s="10">
        <f>[26]CE!$H$180</f>
        <v>3643816.24</v>
      </c>
      <c r="CX26" s="10">
        <f>[26]CE!$H$181</f>
        <v>379519.62</v>
      </c>
      <c r="CY26" s="10"/>
      <c r="CZ26" s="10">
        <f>[26]CE!$H$182+[26]CE!$H$184+[26]CE!$H$186</f>
        <v>79325.45</v>
      </c>
      <c r="DA26" s="10"/>
      <c r="DB26" s="10">
        <f>[26]CE!$H$183+[26]CE!$H$185+[26]CE!$H$187</f>
        <v>226520.68</v>
      </c>
      <c r="DC26" s="10">
        <f t="shared" si="89"/>
        <v>4329181.99</v>
      </c>
      <c r="DD26" s="10">
        <f>[26]CE!$H$188</f>
        <v>3328653.9</v>
      </c>
      <c r="DE26" s="10">
        <f>[26]CE!$H$189</f>
        <v>324429.98</v>
      </c>
      <c r="DF26" s="10"/>
      <c r="DG26" s="10">
        <f>[26]CE!$H$190+[26]CE!$H$192+[26]CE!$H$194</f>
        <v>81188.19</v>
      </c>
      <c r="DH26" s="10"/>
      <c r="DI26" s="10">
        <f>[26]CE!$H$191+[26]CE!$H$193+[26]CE!$H$195</f>
        <v>19433.060000000001</v>
      </c>
      <c r="DJ26" s="10">
        <f t="shared" si="74"/>
        <v>3753705.13</v>
      </c>
      <c r="DK26" s="10">
        <f>[26]CE!$G$180</f>
        <v>3939387.25</v>
      </c>
      <c r="DL26" s="10">
        <f>[26]CE!$G$181</f>
        <v>751458.85</v>
      </c>
      <c r="DM26" s="10"/>
      <c r="DN26" s="10">
        <f>[26]CE!$G$182+[26]CE!$G$184+[26]CE!$G$186</f>
        <v>96926.7</v>
      </c>
      <c r="DO26" s="10"/>
      <c r="DP26" s="10">
        <f>[26]CE!$G$183+[26]CE!$G$185+[26]CE!$G$187</f>
        <v>380682.86</v>
      </c>
      <c r="DQ26" s="10">
        <f t="shared" si="90"/>
        <v>5168455.66</v>
      </c>
      <c r="DR26" s="10">
        <f>[26]CE!$G$188</f>
        <v>3858419.22</v>
      </c>
      <c r="DS26" s="10">
        <f>[26]CE!$G$189</f>
        <v>677898.77</v>
      </c>
      <c r="DT26" s="10"/>
      <c r="DU26" s="10">
        <f>[26]CE!$G$190+[26]CE!$G$192+[26]CE!$G$194</f>
        <v>104870.33</v>
      </c>
      <c r="DV26" s="10"/>
      <c r="DW26" s="10">
        <f>[26]CE!$G$191+[26]CE!$G$193+[26]CE!$G$195</f>
        <v>109994.72</v>
      </c>
      <c r="DX26" s="10">
        <f t="shared" si="67"/>
        <v>4751183.04</v>
      </c>
      <c r="DY26" s="10">
        <f>[26]CE!$F$180</f>
        <v>4651308.99</v>
      </c>
      <c r="DZ26" s="10">
        <f>[26]CE!$F$181</f>
        <v>1244877.1499999999</v>
      </c>
      <c r="EA26" s="10"/>
      <c r="EB26" s="10">
        <f>[26]CE!$F$182+[26]CE!$F$184+[26]CE!$F$186</f>
        <v>99442.73</v>
      </c>
      <c r="EC26" s="10"/>
      <c r="ED26" s="10">
        <f>[26]CE!$F$183+[26]CE!$F$185+[26]CE!$F$187</f>
        <v>485339.29000000004</v>
      </c>
      <c r="EE26" s="10">
        <f t="shared" si="76"/>
        <v>6480968.1600000011</v>
      </c>
      <c r="EF26" s="10">
        <f>[26]CE!$F$188</f>
        <v>4238376.04</v>
      </c>
      <c r="EG26" s="10">
        <f>[26]CE!$F$189</f>
        <v>1096927.3799999999</v>
      </c>
      <c r="EH26" s="10"/>
      <c r="EI26" s="10">
        <f>[26]CE!$F$190+[26]CE!$F$192+[26]CE!$F$194</f>
        <v>101163.28</v>
      </c>
      <c r="EJ26" s="10"/>
      <c r="EK26" s="10">
        <f>[26]CE!$F$191+[26]CE!$F$193+[26]CE!$F$195</f>
        <v>104126.62999999999</v>
      </c>
      <c r="EL26" s="10">
        <f t="shared" si="68"/>
        <v>5540593.3300000001</v>
      </c>
      <c r="EM26" s="10">
        <f>[26]CE!$E$180</f>
        <v>5294333.09</v>
      </c>
      <c r="EN26" s="10">
        <f>[26]CE!$E$181</f>
        <v>1613133.51</v>
      </c>
      <c r="EO26" s="10"/>
      <c r="EP26" s="10">
        <f>[26]CE!$E$182+[26]CE!$E$184+[26]CE!$E$186</f>
        <v>103691.53</v>
      </c>
      <c r="EQ26" s="10"/>
      <c r="ER26" s="10">
        <f>[26]CE!$E$183+[26]CE!$E$185+[26]CE!$E$187</f>
        <v>717808.02</v>
      </c>
      <c r="ES26" s="10">
        <f t="shared" si="84"/>
        <v>7728966.1500000004</v>
      </c>
      <c r="ET26" s="10">
        <f>[26]CE!$E$188</f>
        <v>3699311.01</v>
      </c>
      <c r="EU26" s="10">
        <f>[26]CE!$E$189</f>
        <v>939040.19</v>
      </c>
      <c r="EV26" s="10"/>
      <c r="EW26" s="10">
        <f>[26]CE!$E$190+[26]CE!$E$192+[26]CE!$E$194</f>
        <v>180919.24</v>
      </c>
      <c r="EX26" s="10"/>
      <c r="EY26" s="10">
        <f>[26]CE!$E$191+[26]CE!$E$193+[26]CE!$E$195</f>
        <v>276918.18</v>
      </c>
      <c r="EZ26" s="10">
        <f t="shared" si="85"/>
        <v>5096188.6199999992</v>
      </c>
      <c r="FA26" s="10">
        <f>[27]CE!$R$21</f>
        <v>6002435.2599999998</v>
      </c>
      <c r="FB26" s="10">
        <f>[27]CE!$S$21</f>
        <v>1822550.88</v>
      </c>
      <c r="FC26" s="10"/>
      <c r="FD26" s="10">
        <f>[27]CE!$Q$21</f>
        <v>163299.95000000001</v>
      </c>
      <c r="FE26" s="10"/>
      <c r="FF26" s="10">
        <f>[27]CE!$T$21</f>
        <v>892291.2</v>
      </c>
      <c r="FG26" s="10">
        <f t="shared" si="86"/>
        <v>8880577.2899999991</v>
      </c>
      <c r="FH26" s="10">
        <f>[27]CE!$V$21</f>
        <v>7068630.2800000096</v>
      </c>
      <c r="FI26" s="10">
        <f>[27]CE!$W$21</f>
        <v>1603868.86</v>
      </c>
      <c r="FJ26" s="10"/>
      <c r="FK26" s="10">
        <f>[27]CE!$U$21</f>
        <v>147032.15</v>
      </c>
      <c r="FL26" s="10"/>
      <c r="FM26" s="10">
        <f>[27]CE!$X$21</f>
        <v>674871.27999999898</v>
      </c>
      <c r="FN26" s="10">
        <f t="shared" si="87"/>
        <v>9494402.5700000096</v>
      </c>
      <c r="FO26" s="10">
        <f>[28]CE!R19</f>
        <v>6568956.2599999998</v>
      </c>
      <c r="FP26" s="10">
        <f>[28]CE!S19</f>
        <v>2187535.5299999998</v>
      </c>
      <c r="FQ26" s="10"/>
      <c r="FR26" s="10">
        <f>[28]CE!Q19</f>
        <v>250607.26</v>
      </c>
      <c r="FS26" s="10"/>
      <c r="FT26" s="10">
        <f>[28]CE!T19</f>
        <v>1502409.75</v>
      </c>
      <c r="FU26" s="10">
        <f t="shared" si="78"/>
        <v>10509508.799999999</v>
      </c>
      <c r="FV26" s="10">
        <f>[28]CE!V19</f>
        <v>5881610.4400000004</v>
      </c>
      <c r="FW26" s="10">
        <f>[28]CE!W19</f>
        <v>2082003.31</v>
      </c>
      <c r="FX26" s="10"/>
      <c r="FY26" s="10">
        <f>[28]CE!U19</f>
        <v>196533.56</v>
      </c>
      <c r="FZ26" s="10"/>
      <c r="GA26" s="10">
        <f>[28]CE!X19</f>
        <v>1284685.01</v>
      </c>
      <c r="GB26" s="10">
        <f t="shared" si="79"/>
        <v>9444832.3200000003</v>
      </c>
      <c r="GC26" s="152">
        <f t="shared" si="70"/>
        <v>71399276.88000001</v>
      </c>
      <c r="GD26" s="151">
        <f t="shared" si="80"/>
        <v>62414023.900000006</v>
      </c>
      <c r="GE26" s="219"/>
      <c r="GG26" s="36"/>
      <c r="GH26" s="36"/>
      <c r="GI26" s="36"/>
      <c r="GJ26" s="36"/>
    </row>
    <row r="27" spans="1:192" s="5" customFormat="1" ht="12.75" x14ac:dyDescent="0.2">
      <c r="A27" s="252"/>
      <c r="B27" s="263" t="s">
        <v>37</v>
      </c>
      <c r="C27" s="264"/>
      <c r="D27" s="264"/>
      <c r="E27" s="58">
        <f t="shared" ref="E27:AB27" si="91">SUM(E13:E13)</f>
        <v>268410</v>
      </c>
      <c r="F27" s="58">
        <f t="shared" si="91"/>
        <v>268410</v>
      </c>
      <c r="G27" s="58">
        <f t="shared" si="91"/>
        <v>2470181.7799999998</v>
      </c>
      <c r="H27" s="58">
        <f t="shared" si="91"/>
        <v>2214215.56</v>
      </c>
      <c r="I27" s="58">
        <f t="shared" si="91"/>
        <v>3519212.05</v>
      </c>
      <c r="J27" s="58">
        <f t="shared" si="91"/>
        <v>3511912.83</v>
      </c>
      <c r="K27" s="58">
        <f t="shared" si="91"/>
        <v>5066229.42</v>
      </c>
      <c r="L27" s="58">
        <f t="shared" si="91"/>
        <v>4731586.53</v>
      </c>
      <c r="M27" s="58">
        <f t="shared" si="91"/>
        <v>7752867.96</v>
      </c>
      <c r="N27" s="58">
        <f t="shared" si="91"/>
        <v>6276712.0999999996</v>
      </c>
      <c r="O27" s="58">
        <f t="shared" si="91"/>
        <v>9707824.8599999994</v>
      </c>
      <c r="P27" s="58">
        <f t="shared" si="91"/>
        <v>7952960.5700000003</v>
      </c>
      <c r="Q27" s="58">
        <f t="shared" si="91"/>
        <v>10032037.59</v>
      </c>
      <c r="R27" s="58">
        <f t="shared" si="91"/>
        <v>10649416.25</v>
      </c>
      <c r="S27" s="58">
        <f t="shared" si="91"/>
        <v>11747468.17</v>
      </c>
      <c r="T27" s="58">
        <f t="shared" si="91"/>
        <v>8290738.4400000004</v>
      </c>
      <c r="U27" s="58">
        <f t="shared" si="91"/>
        <v>19471302.629999999</v>
      </c>
      <c r="V27" s="58">
        <f t="shared" si="91"/>
        <v>19719019.050000001</v>
      </c>
      <c r="W27" s="58">
        <f t="shared" si="91"/>
        <v>21984644.32</v>
      </c>
      <c r="X27" s="58">
        <f t="shared" si="91"/>
        <v>21030986.870000001</v>
      </c>
      <c r="Y27" s="58">
        <f t="shared" si="91"/>
        <v>27370337.57</v>
      </c>
      <c r="Z27" s="58">
        <f t="shared" si="91"/>
        <v>25213821.579999998</v>
      </c>
      <c r="AA27" s="58">
        <f t="shared" si="91"/>
        <v>28795594</v>
      </c>
      <c r="AB27" s="58">
        <f t="shared" si="91"/>
        <v>27121635.609999999</v>
      </c>
      <c r="AC27" s="58">
        <f t="shared" ref="AC27:BH27" si="92">SUM(AC14:AC26)</f>
        <v>32264801.5</v>
      </c>
      <c r="AD27" s="58">
        <f t="shared" si="92"/>
        <v>30542686.889999963</v>
      </c>
      <c r="AE27" s="58">
        <f t="shared" si="92"/>
        <v>35093558.650000006</v>
      </c>
      <c r="AF27" s="58">
        <f t="shared" si="92"/>
        <v>34049473.190000005</v>
      </c>
      <c r="AG27" s="58">
        <f t="shared" si="92"/>
        <v>40869079.649999991</v>
      </c>
      <c r="AH27" s="58">
        <f t="shared" si="92"/>
        <v>40053699.5</v>
      </c>
      <c r="AI27" s="58">
        <f t="shared" si="92"/>
        <v>42016263.650000006</v>
      </c>
      <c r="AJ27" s="58">
        <f t="shared" si="92"/>
        <v>41767370.830000006</v>
      </c>
      <c r="AK27" s="58">
        <f t="shared" si="92"/>
        <v>58114558.280000001</v>
      </c>
      <c r="AL27" s="58">
        <f t="shared" si="92"/>
        <v>55612395.900000006</v>
      </c>
      <c r="AM27" s="58">
        <f t="shared" si="92"/>
        <v>69679306</v>
      </c>
      <c r="AN27" s="58">
        <f t="shared" si="92"/>
        <v>67905616.530000001</v>
      </c>
      <c r="AO27" s="58">
        <f t="shared" si="92"/>
        <v>77664539.900000006</v>
      </c>
      <c r="AP27" s="58">
        <f t="shared" si="92"/>
        <v>76818210.729999989</v>
      </c>
      <c r="AQ27" s="58">
        <f t="shared" si="92"/>
        <v>87856164.989999995</v>
      </c>
      <c r="AR27" s="58">
        <f t="shared" si="92"/>
        <v>86387664.980000004</v>
      </c>
      <c r="AS27" s="58">
        <f t="shared" si="92"/>
        <v>55535428.170000002</v>
      </c>
      <c r="AT27" s="58">
        <f t="shared" si="92"/>
        <v>43880933.180000007</v>
      </c>
      <c r="AU27" s="58">
        <f t="shared" si="92"/>
        <v>0</v>
      </c>
      <c r="AV27" s="58">
        <f t="shared" si="92"/>
        <v>964516.32999999891</v>
      </c>
      <c r="AW27" s="58">
        <f t="shared" si="92"/>
        <v>0</v>
      </c>
      <c r="AX27" s="58">
        <f t="shared" si="92"/>
        <v>1195424.74</v>
      </c>
      <c r="AY27" s="58">
        <f t="shared" si="92"/>
        <v>101576302.41999999</v>
      </c>
      <c r="AZ27" s="58">
        <f t="shared" si="92"/>
        <v>54533289.670000002</v>
      </c>
      <c r="BA27" s="58">
        <f t="shared" si="92"/>
        <v>43487395.439999998</v>
      </c>
      <c r="BB27" s="58">
        <f t="shared" si="92"/>
        <v>0</v>
      </c>
      <c r="BC27" s="58">
        <f t="shared" si="92"/>
        <v>910110.32000000018</v>
      </c>
      <c r="BD27" s="58">
        <f t="shared" si="92"/>
        <v>0</v>
      </c>
      <c r="BE27" s="58">
        <f t="shared" si="92"/>
        <v>973745.33999999892</v>
      </c>
      <c r="BF27" s="58">
        <f t="shared" si="92"/>
        <v>99904540.770000011</v>
      </c>
      <c r="BG27" s="58">
        <f t="shared" si="92"/>
        <v>61379452</v>
      </c>
      <c r="BH27" s="58">
        <f t="shared" si="92"/>
        <v>28642145</v>
      </c>
      <c r="BI27" s="58">
        <f t="shared" ref="BI27:CN27" si="93">SUM(BI14:BI26)</f>
        <v>0</v>
      </c>
      <c r="BJ27" s="58">
        <f t="shared" si="93"/>
        <v>837383</v>
      </c>
      <c r="BK27" s="58">
        <f t="shared" si="93"/>
        <v>91470910</v>
      </c>
      <c r="BL27" s="58">
        <f t="shared" si="93"/>
        <v>979786</v>
      </c>
      <c r="BM27" s="134">
        <f t="shared" si="93"/>
        <v>183309676</v>
      </c>
      <c r="BN27" s="134">
        <f t="shared" si="93"/>
        <v>60691084</v>
      </c>
      <c r="BO27" s="134">
        <f t="shared" si="93"/>
        <v>28123557</v>
      </c>
      <c r="BP27" s="134">
        <f t="shared" si="93"/>
        <v>0</v>
      </c>
      <c r="BQ27" s="134">
        <f t="shared" si="93"/>
        <v>763541</v>
      </c>
      <c r="BR27" s="134">
        <f t="shared" si="93"/>
        <v>91470910</v>
      </c>
      <c r="BS27" s="134">
        <f t="shared" si="93"/>
        <v>883036</v>
      </c>
      <c r="BT27" s="58">
        <f t="shared" si="93"/>
        <v>181932128</v>
      </c>
      <c r="BU27" s="58">
        <f t="shared" si="93"/>
        <v>63727337.090000004</v>
      </c>
      <c r="BV27" s="58">
        <f t="shared" si="93"/>
        <v>32796407.609999992</v>
      </c>
      <c r="BW27" s="58">
        <f t="shared" si="93"/>
        <v>0</v>
      </c>
      <c r="BX27" s="58">
        <f t="shared" si="93"/>
        <v>817426.1800000011</v>
      </c>
      <c r="BY27" s="58">
        <f t="shared" si="93"/>
        <v>67818435.049999997</v>
      </c>
      <c r="BZ27" s="58">
        <f t="shared" si="93"/>
        <v>2052498.2699999998</v>
      </c>
      <c r="CA27" s="58">
        <f t="shared" si="93"/>
        <v>167212104.19999999</v>
      </c>
      <c r="CB27" s="58">
        <f t="shared" si="93"/>
        <v>63015546.270000003</v>
      </c>
      <c r="CC27" s="58">
        <f t="shared" si="93"/>
        <v>32318974.900000002</v>
      </c>
      <c r="CD27" s="58">
        <f t="shared" si="93"/>
        <v>0</v>
      </c>
      <c r="CE27" s="58">
        <f t="shared" si="93"/>
        <v>715830.62</v>
      </c>
      <c r="CF27" s="58">
        <f t="shared" si="93"/>
        <v>67818435.049999997</v>
      </c>
      <c r="CG27" s="58">
        <f t="shared" si="93"/>
        <v>1811320.6299999997</v>
      </c>
      <c r="CH27" s="58">
        <f t="shared" si="93"/>
        <v>165680107.47</v>
      </c>
      <c r="CI27" s="58">
        <f t="shared" si="93"/>
        <v>73498346.100000009</v>
      </c>
      <c r="CJ27" s="58">
        <f t="shared" si="93"/>
        <v>59073414.68</v>
      </c>
      <c r="CK27" s="58">
        <f t="shared" si="93"/>
        <v>0</v>
      </c>
      <c r="CL27" s="58">
        <f t="shared" si="93"/>
        <v>40250115.390000001</v>
      </c>
      <c r="CM27" s="58">
        <f t="shared" si="93"/>
        <v>0</v>
      </c>
      <c r="CN27" s="58">
        <f t="shared" si="93"/>
        <v>2413289.1799999997</v>
      </c>
      <c r="CO27" s="58">
        <f t="shared" ref="CO27:DT27" si="94">SUM(CO14:CO26)</f>
        <v>175235165.35000005</v>
      </c>
      <c r="CP27" s="58">
        <f t="shared" si="94"/>
        <v>73335965.920000002</v>
      </c>
      <c r="CQ27" s="58">
        <f t="shared" si="94"/>
        <v>58308720.199999996</v>
      </c>
      <c r="CR27" s="58">
        <f t="shared" si="94"/>
        <v>0</v>
      </c>
      <c r="CS27" s="58">
        <f t="shared" si="94"/>
        <v>40153323.919999994</v>
      </c>
      <c r="CT27" s="58">
        <f t="shared" si="94"/>
        <v>0</v>
      </c>
      <c r="CU27" s="58">
        <f t="shared" si="94"/>
        <v>1881334.4900000002</v>
      </c>
      <c r="CV27" s="58">
        <f t="shared" si="94"/>
        <v>173679344.53000003</v>
      </c>
      <c r="CW27" s="58">
        <f t="shared" si="94"/>
        <v>79167271.989999995</v>
      </c>
      <c r="CX27" s="58">
        <f t="shared" si="94"/>
        <v>54772085.989999995</v>
      </c>
      <c r="CY27" s="58">
        <f t="shared" si="94"/>
        <v>0</v>
      </c>
      <c r="CZ27" s="58">
        <f t="shared" si="94"/>
        <v>22535836.869999997</v>
      </c>
      <c r="DA27" s="58">
        <f t="shared" si="94"/>
        <v>0</v>
      </c>
      <c r="DB27" s="58">
        <f t="shared" si="94"/>
        <v>2573381.2500000005</v>
      </c>
      <c r="DC27" s="58">
        <f t="shared" si="94"/>
        <v>159048576.09999996</v>
      </c>
      <c r="DD27" s="58">
        <f t="shared" si="94"/>
        <v>78570109.989999995</v>
      </c>
      <c r="DE27" s="58">
        <f t="shared" si="94"/>
        <v>54139996.689999998</v>
      </c>
      <c r="DF27" s="58">
        <f t="shared" si="94"/>
        <v>0</v>
      </c>
      <c r="DG27" s="58">
        <f t="shared" si="94"/>
        <v>22398926.539999999</v>
      </c>
      <c r="DH27" s="58">
        <f t="shared" si="94"/>
        <v>0</v>
      </c>
      <c r="DI27" s="58">
        <f t="shared" si="94"/>
        <v>1944584.07</v>
      </c>
      <c r="DJ27" s="58">
        <f t="shared" si="94"/>
        <v>157053617.28999996</v>
      </c>
      <c r="DK27" s="58">
        <f t="shared" si="94"/>
        <v>87612619.060000002</v>
      </c>
      <c r="DL27" s="58">
        <f t="shared" si="94"/>
        <v>71588550.219999969</v>
      </c>
      <c r="DM27" s="58">
        <f t="shared" si="94"/>
        <v>0</v>
      </c>
      <c r="DN27" s="58">
        <f t="shared" si="94"/>
        <v>46884140.819999993</v>
      </c>
      <c r="DO27" s="58">
        <f t="shared" si="94"/>
        <v>0</v>
      </c>
      <c r="DP27" s="58">
        <f t="shared" si="94"/>
        <v>3021497.5700000003</v>
      </c>
      <c r="DQ27" s="58">
        <f t="shared" si="94"/>
        <v>209106807.66999999</v>
      </c>
      <c r="DR27" s="58">
        <f t="shared" si="94"/>
        <v>87301563.609999999</v>
      </c>
      <c r="DS27" s="58">
        <f t="shared" si="94"/>
        <v>70928887.389999986</v>
      </c>
      <c r="DT27" s="58">
        <f t="shared" si="94"/>
        <v>0</v>
      </c>
      <c r="DU27" s="58">
        <f t="shared" ref="DU27:EZ27" si="95">SUM(DU14:DU26)</f>
        <v>46582322.820000008</v>
      </c>
      <c r="DV27" s="58">
        <f t="shared" si="95"/>
        <v>0</v>
      </c>
      <c r="DW27" s="58">
        <f t="shared" si="95"/>
        <v>2319442.86</v>
      </c>
      <c r="DX27" s="58">
        <f t="shared" si="95"/>
        <v>207132216.68000001</v>
      </c>
      <c r="DY27" s="58">
        <f t="shared" si="95"/>
        <v>100266140.44999999</v>
      </c>
      <c r="DZ27" s="58">
        <f t="shared" si="95"/>
        <v>67153441.780000001</v>
      </c>
      <c r="EA27" s="58">
        <f t="shared" si="95"/>
        <v>0</v>
      </c>
      <c r="EB27" s="58">
        <f t="shared" si="95"/>
        <v>4391778.1399999997</v>
      </c>
      <c r="EC27" s="58">
        <f t="shared" si="95"/>
        <v>0</v>
      </c>
      <c r="ED27" s="58">
        <f t="shared" si="95"/>
        <v>3635453.95</v>
      </c>
      <c r="EE27" s="58">
        <f t="shared" si="95"/>
        <v>175446814.32000002</v>
      </c>
      <c r="EF27" s="58">
        <f t="shared" si="95"/>
        <v>99652038.49999997</v>
      </c>
      <c r="EG27" s="58">
        <f t="shared" si="95"/>
        <v>66496608.719999999</v>
      </c>
      <c r="EH27" s="58">
        <f t="shared" si="95"/>
        <v>0</v>
      </c>
      <c r="EI27" s="58">
        <f t="shared" si="95"/>
        <v>4110330.0399999996</v>
      </c>
      <c r="EJ27" s="58">
        <f t="shared" si="95"/>
        <v>0</v>
      </c>
      <c r="EK27" s="58">
        <f t="shared" si="95"/>
        <v>2869374.7799999993</v>
      </c>
      <c r="EL27" s="58">
        <f t="shared" si="95"/>
        <v>173128352.03999999</v>
      </c>
      <c r="EM27" s="58">
        <f t="shared" si="95"/>
        <v>123848705.17</v>
      </c>
      <c r="EN27" s="58">
        <f t="shared" si="95"/>
        <v>76085331.830000013</v>
      </c>
      <c r="EO27" s="58">
        <f t="shared" si="95"/>
        <v>0</v>
      </c>
      <c r="EP27" s="58">
        <f t="shared" si="95"/>
        <v>3521945.26</v>
      </c>
      <c r="EQ27" s="58">
        <f t="shared" si="95"/>
        <v>0</v>
      </c>
      <c r="ER27" s="58">
        <f t="shared" si="95"/>
        <v>4618859.05</v>
      </c>
      <c r="ES27" s="58">
        <f t="shared" si="95"/>
        <v>208074841.31</v>
      </c>
      <c r="ET27" s="58">
        <f t="shared" si="95"/>
        <v>44391732.119999982</v>
      </c>
      <c r="EU27" s="58">
        <f t="shared" si="95"/>
        <v>11268482.279999996</v>
      </c>
      <c r="EV27" s="58">
        <f t="shared" si="95"/>
        <v>0</v>
      </c>
      <c r="EW27" s="58">
        <f t="shared" si="95"/>
        <v>2171030.88</v>
      </c>
      <c r="EX27" s="58">
        <f t="shared" si="95"/>
        <v>0</v>
      </c>
      <c r="EY27" s="58">
        <f t="shared" si="95"/>
        <v>3323018.1600000006</v>
      </c>
      <c r="EZ27" s="58">
        <f t="shared" si="95"/>
        <v>61154263.439999975</v>
      </c>
      <c r="FA27" s="58">
        <f t="shared" ref="FA27:GB27" si="96">SUM(FA14:FA26)</f>
        <v>146407332.56000003</v>
      </c>
      <c r="FB27" s="58">
        <f t="shared" si="96"/>
        <v>81593320.5</v>
      </c>
      <c r="FC27" s="58">
        <f t="shared" si="96"/>
        <v>0</v>
      </c>
      <c r="FD27" s="58">
        <f t="shared" si="96"/>
        <v>2926728.1700000004</v>
      </c>
      <c r="FE27" s="58">
        <f t="shared" si="96"/>
        <v>0</v>
      </c>
      <c r="FF27" s="58">
        <f t="shared" si="96"/>
        <v>6672590.4500000002</v>
      </c>
      <c r="FG27" s="58">
        <f t="shared" si="96"/>
        <v>237599971.68000001</v>
      </c>
      <c r="FH27" s="58">
        <f t="shared" si="96"/>
        <v>147005136.62</v>
      </c>
      <c r="FI27" s="58">
        <f t="shared" si="96"/>
        <v>76804026.269999996</v>
      </c>
      <c r="FJ27" s="58">
        <f t="shared" si="96"/>
        <v>0</v>
      </c>
      <c r="FK27" s="58">
        <f t="shared" si="96"/>
        <v>2834967.1399999997</v>
      </c>
      <c r="FL27" s="58">
        <f t="shared" si="96"/>
        <v>0</v>
      </c>
      <c r="FM27" s="58">
        <f t="shared" si="96"/>
        <v>5985311.2399999993</v>
      </c>
      <c r="FN27" s="58">
        <f t="shared" si="96"/>
        <v>232629441.27000001</v>
      </c>
      <c r="FO27" s="58">
        <f t="shared" si="96"/>
        <v>152291875.89999998</v>
      </c>
      <c r="FP27" s="58">
        <f t="shared" si="96"/>
        <v>85918578.919999972</v>
      </c>
      <c r="FQ27" s="58">
        <f t="shared" si="96"/>
        <v>0</v>
      </c>
      <c r="FR27" s="58">
        <f t="shared" si="96"/>
        <v>3308833.8500000006</v>
      </c>
      <c r="FS27" s="58">
        <f t="shared" si="96"/>
        <v>0</v>
      </c>
      <c r="FT27" s="58">
        <f t="shared" si="96"/>
        <v>8915318.5599999987</v>
      </c>
      <c r="FU27" s="58">
        <f t="shared" si="96"/>
        <v>250434607.23000005</v>
      </c>
      <c r="FV27" s="58">
        <f t="shared" si="96"/>
        <v>150668102.19</v>
      </c>
      <c r="FW27" s="58">
        <f t="shared" si="96"/>
        <v>86504155.040000007</v>
      </c>
      <c r="FX27" s="58">
        <f t="shared" si="96"/>
        <v>0</v>
      </c>
      <c r="FY27" s="58">
        <f t="shared" si="96"/>
        <v>3138363.35</v>
      </c>
      <c r="FZ27" s="58">
        <f t="shared" si="96"/>
        <v>0</v>
      </c>
      <c r="GA27" s="58">
        <f t="shared" si="96"/>
        <v>7741491.5699999994</v>
      </c>
      <c r="GB27" s="58">
        <f t="shared" si="96"/>
        <v>248052112.15000001</v>
      </c>
      <c r="GC27" s="58">
        <f>SUM(GC13:GC26)</f>
        <v>2458789249.25</v>
      </c>
      <c r="GD27" s="58">
        <f>SUM(GD13:GD26)</f>
        <v>2270464657.5799994</v>
      </c>
      <c r="GE27" s="64"/>
      <c r="GG27" s="196"/>
      <c r="GH27" s="36"/>
      <c r="GI27" s="36"/>
      <c r="GJ27" s="36"/>
    </row>
    <row r="28" spans="1:192" s="5" customFormat="1" ht="12.75" x14ac:dyDescent="0.2">
      <c r="A28" s="261" t="s">
        <v>128</v>
      </c>
      <c r="B28" s="15" t="s">
        <v>45</v>
      </c>
      <c r="C28" s="1" t="s">
        <v>10</v>
      </c>
      <c r="D28" s="2">
        <v>37987</v>
      </c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14" t="s">
        <v>11</v>
      </c>
      <c r="V28" s="14" t="s">
        <v>11</v>
      </c>
      <c r="W28" s="14" t="s">
        <v>11</v>
      </c>
      <c r="X28" s="14" t="s">
        <v>11</v>
      </c>
      <c r="Y28" s="14" t="s">
        <v>11</v>
      </c>
      <c r="Z28" s="14" t="s">
        <v>11</v>
      </c>
      <c r="AA28" s="14" t="s">
        <v>11</v>
      </c>
      <c r="AB28" s="10">
        <v>750483.78</v>
      </c>
      <c r="AC28" s="10">
        <v>1166136.56</v>
      </c>
      <c r="AD28" s="10">
        <v>383910.65</v>
      </c>
      <c r="AE28" s="10">
        <v>1218615.8</v>
      </c>
      <c r="AF28" s="10">
        <v>670052.91</v>
      </c>
      <c r="AG28" s="10">
        <v>1096712.24</v>
      </c>
      <c r="AH28" s="10">
        <v>1099873.3799999999</v>
      </c>
      <c r="AI28" s="10">
        <v>1096817.6399999999</v>
      </c>
      <c r="AJ28" s="10">
        <v>960355.69</v>
      </c>
      <c r="AK28" s="10">
        <v>1110199.53</v>
      </c>
      <c r="AL28" s="10">
        <v>1191622.93</v>
      </c>
      <c r="AM28" s="10">
        <v>1171927</v>
      </c>
      <c r="AN28" s="10">
        <v>1064359</v>
      </c>
      <c r="AO28" s="10">
        <v>981861.84</v>
      </c>
      <c r="AP28" s="10">
        <v>833580.38000000012</v>
      </c>
      <c r="AQ28" s="10">
        <v>834567.82</v>
      </c>
      <c r="AR28" s="10">
        <v>1063969.6299999999</v>
      </c>
      <c r="AS28" s="112">
        <v>731465.87</v>
      </c>
      <c r="AT28" s="10">
        <v>129168.89</v>
      </c>
      <c r="AU28" s="77"/>
      <c r="AV28" s="10">
        <v>362.13</v>
      </c>
      <c r="AW28" s="111">
        <v>0</v>
      </c>
      <c r="AX28" s="10">
        <v>10379.65</v>
      </c>
      <c r="AY28" s="10">
        <f t="shared" ref="AY28:AY37" si="97">SUM(AS28:AX28)</f>
        <v>871376.54</v>
      </c>
      <c r="AZ28" s="10">
        <v>720217.05000000203</v>
      </c>
      <c r="BA28" s="10">
        <v>139515.75000000003</v>
      </c>
      <c r="BB28" s="77"/>
      <c r="BC28" s="10">
        <v>362.13</v>
      </c>
      <c r="BD28" s="10">
        <v>0</v>
      </c>
      <c r="BE28" s="10">
        <v>5687.44</v>
      </c>
      <c r="BF28" s="10">
        <f t="shared" ref="BF28:BF37" si="98">SUM(AZ28:BE28)</f>
        <v>865782.37000000197</v>
      </c>
      <c r="BG28" s="10">
        <v>1488113</v>
      </c>
      <c r="BH28" s="10">
        <v>267960</v>
      </c>
      <c r="BI28" s="10">
        <v>163</v>
      </c>
      <c r="BJ28" s="10">
        <v>1086</v>
      </c>
      <c r="BK28" s="10">
        <v>0</v>
      </c>
      <c r="BL28" s="10">
        <v>22008</v>
      </c>
      <c r="BM28" s="10">
        <f t="shared" ref="BM28:BM37" si="99">SUM(BG28:BL28)</f>
        <v>1779330</v>
      </c>
      <c r="BN28" s="10">
        <v>790035</v>
      </c>
      <c r="BO28" s="10">
        <v>252503</v>
      </c>
      <c r="BP28" s="10">
        <v>163</v>
      </c>
      <c r="BQ28" s="10">
        <v>724</v>
      </c>
      <c r="BR28" s="10">
        <v>0</v>
      </c>
      <c r="BS28" s="10">
        <v>8223</v>
      </c>
      <c r="BT28" s="10">
        <f>SUM(BN28:BS28)</f>
        <v>1051648</v>
      </c>
      <c r="BU28" s="10">
        <v>970269.84</v>
      </c>
      <c r="BV28" s="10">
        <v>286847.01</v>
      </c>
      <c r="BW28" s="10">
        <v>162.88999999999999</v>
      </c>
      <c r="BX28" s="10">
        <v>0</v>
      </c>
      <c r="BY28" s="10">
        <v>0</v>
      </c>
      <c r="BZ28" s="10">
        <v>35887.729999999996</v>
      </c>
      <c r="CA28" s="10">
        <f t="shared" si="65"/>
        <v>1293167.47</v>
      </c>
      <c r="CB28" s="10">
        <v>690954.94</v>
      </c>
      <c r="CC28" s="10">
        <v>243903.62</v>
      </c>
      <c r="CD28" s="10">
        <v>162.88999999999999</v>
      </c>
      <c r="CE28" s="10">
        <v>0</v>
      </c>
      <c r="CF28" s="10">
        <v>0</v>
      </c>
      <c r="CG28" s="10">
        <v>5105.84</v>
      </c>
      <c r="CH28" s="10">
        <f>SUM(CB28:CG28)</f>
        <v>940127.28999999992</v>
      </c>
      <c r="CI28" s="10">
        <v>1299352.81144375</v>
      </c>
      <c r="CJ28" s="10">
        <v>344462.85967899999</v>
      </c>
      <c r="CK28" s="10">
        <v>203.61</v>
      </c>
      <c r="CL28" s="10">
        <v>905.33</v>
      </c>
      <c r="CM28" s="10">
        <v>0</v>
      </c>
      <c r="CN28" s="10">
        <v>47405.487617625811</v>
      </c>
      <c r="CO28" s="10">
        <f>SUM(CI28:CN28)</f>
        <v>1692330.0987403761</v>
      </c>
      <c r="CP28" s="10">
        <v>942690.61</v>
      </c>
      <c r="CQ28" s="10">
        <v>277338.93</v>
      </c>
      <c r="CR28" s="10">
        <v>203.61</v>
      </c>
      <c r="CS28" s="10">
        <v>905.33</v>
      </c>
      <c r="CT28" s="10">
        <v>0</v>
      </c>
      <c r="CU28" s="10">
        <v>22934.09</v>
      </c>
      <c r="CV28" s="10">
        <f>SUM(CP28:CU28)</f>
        <v>1244072.5700000003</v>
      </c>
      <c r="CW28" s="10">
        <f>'[29]2020'!F8</f>
        <v>1303705.5615458991</v>
      </c>
      <c r="CX28" s="10">
        <f>'[29]2020'!G8</f>
        <v>384349.82965761103</v>
      </c>
      <c r="CY28" s="10">
        <f>'[29]2020'!H8</f>
        <v>209.51469</v>
      </c>
      <c r="CZ28" s="10">
        <f>'[29]2020'!I8</f>
        <v>931.530014915518</v>
      </c>
      <c r="DA28" s="10">
        <f>'[29]2020'!J8</f>
        <v>0</v>
      </c>
      <c r="DB28" s="10">
        <f>'[29]2020'!K8</f>
        <v>53658.325045046789</v>
      </c>
      <c r="DC28" s="10">
        <f>SUM(CW28:DB28)</f>
        <v>1742854.7609534727</v>
      </c>
      <c r="DD28" s="10">
        <f>'[29]2020'!M8</f>
        <v>1091362.21</v>
      </c>
      <c r="DE28" s="10">
        <f>'[29]2020'!N8</f>
        <v>331443.15000000002</v>
      </c>
      <c r="DF28" s="10">
        <f>'[29]2020'!O8</f>
        <v>230.46</v>
      </c>
      <c r="DG28" s="10">
        <f>'[29]2020'!P8</f>
        <v>931.53</v>
      </c>
      <c r="DH28" s="10">
        <f>'[29]2020'!Q8</f>
        <v>0</v>
      </c>
      <c r="DI28" s="10">
        <f>'[29]2020'!R8</f>
        <v>20395.84</v>
      </c>
      <c r="DJ28" s="10">
        <f>'[29]2020'!S8</f>
        <v>1444363.19</v>
      </c>
      <c r="DK28" s="10">
        <f>'[30]2021'!F8</f>
        <v>1224310.11806656</v>
      </c>
      <c r="DL28" s="10">
        <f>'[30]2021'!G8</f>
        <v>381882.75571942597</v>
      </c>
      <c r="DM28" s="10">
        <f>'[30]2021'!H8</f>
        <v>216.11165399999999</v>
      </c>
      <c r="DN28" s="10">
        <f>'[30]2021'!I8</f>
        <v>961.77407726592003</v>
      </c>
      <c r="DO28" s="10">
        <f>'[30]2021'!J8</f>
        <v>0</v>
      </c>
      <c r="DP28" s="10">
        <f>'[30]2021'!K8</f>
        <v>57391.184907876501</v>
      </c>
      <c r="DQ28" s="10">
        <f>SUM(DK28:DP28)</f>
        <v>1664761.9444251284</v>
      </c>
      <c r="DR28" s="10">
        <f>'[30]2021'!M8</f>
        <v>900772.98</v>
      </c>
      <c r="DS28" s="10">
        <f>'[30]2021'!N8</f>
        <v>329247.7</v>
      </c>
      <c r="DT28" s="10">
        <f>'[30]2021'!O8</f>
        <v>216.11</v>
      </c>
      <c r="DU28" s="10">
        <f>'[30]2021'!P8</f>
        <v>959.65</v>
      </c>
      <c r="DV28" s="10">
        <f>'[30]2021'!Q8</f>
        <v>0</v>
      </c>
      <c r="DW28" s="10">
        <f>'[30]2021'!R8</f>
        <v>49258.240000000005</v>
      </c>
      <c r="DX28" s="10">
        <f>SUM(DR28:DW28)</f>
        <v>1280454.68</v>
      </c>
      <c r="DY28" s="10">
        <v>1301636</v>
      </c>
      <c r="DZ28" s="10">
        <v>416102</v>
      </c>
      <c r="EA28" s="10">
        <v>238</v>
      </c>
      <c r="EB28" s="10">
        <v>1060</v>
      </c>
      <c r="EC28" s="10" t="s">
        <v>158</v>
      </c>
      <c r="ED28" s="10">
        <v>63310</v>
      </c>
      <c r="EE28" s="10">
        <f t="shared" ref="EE28:EE37" si="100">SUM(DY28:ED28)</f>
        <v>1782346</v>
      </c>
      <c r="EF28" s="10">
        <v>935875</v>
      </c>
      <c r="EG28" s="10">
        <v>355358</v>
      </c>
      <c r="EH28" s="10">
        <v>238</v>
      </c>
      <c r="EI28" s="10">
        <v>1060</v>
      </c>
      <c r="EJ28" s="10" t="s">
        <v>158</v>
      </c>
      <c r="EK28" s="10">
        <v>128871</v>
      </c>
      <c r="EL28" s="10">
        <f t="shared" si="68"/>
        <v>1421402</v>
      </c>
      <c r="EM28" s="10">
        <f>[26]RJ!$E$32</f>
        <v>1671921.2</v>
      </c>
      <c r="EN28" s="10">
        <f>[26]RJ!$E$33</f>
        <v>516536.64</v>
      </c>
      <c r="EO28" s="10">
        <f>[26]RJ!$E$34</f>
        <v>340.55</v>
      </c>
      <c r="EP28" s="10">
        <f>[26]RJ!$E$35</f>
        <v>1163.33</v>
      </c>
      <c r="EQ28" s="10">
        <f>[26]RJ!$E$36</f>
        <v>0</v>
      </c>
      <c r="ER28" s="10">
        <f>[26]RJ!$E$37</f>
        <v>107716.89</v>
      </c>
      <c r="ES28" s="10">
        <f t="shared" ref="ES28:ES58" si="101">SUM(EM28:ER28)</f>
        <v>2297678.61</v>
      </c>
      <c r="ET28" s="10">
        <f>[26]RJ!$E$39</f>
        <v>1325426.94</v>
      </c>
      <c r="EU28" s="10">
        <f>[26]RJ!$E$40</f>
        <v>451916.85</v>
      </c>
      <c r="EV28" s="10">
        <f>[26]RJ!$E$41</f>
        <v>340.55</v>
      </c>
      <c r="EW28" s="10">
        <f>[26]RJ!$E$42</f>
        <v>1163.33</v>
      </c>
      <c r="EX28" s="10">
        <f>[26]RJ!$E$43</f>
        <v>0</v>
      </c>
      <c r="EY28" s="10">
        <f>[26]RJ!$E$44</f>
        <v>102307.45</v>
      </c>
      <c r="EZ28" s="10">
        <f t="shared" ref="EZ28:EZ58" si="102">SUM(ET28:EY28)</f>
        <v>1881155.12</v>
      </c>
      <c r="FA28" s="10">
        <f>[27]RJ1!$D$30</f>
        <v>1675521.81</v>
      </c>
      <c r="FB28" s="10">
        <f>[27]RJ1!$D$31</f>
        <v>557778.14</v>
      </c>
      <c r="FC28" s="10">
        <f>[27]RJ1!$D$32</f>
        <v>358.21</v>
      </c>
      <c r="FD28" s="10">
        <f>[27]RJ1!$D$33</f>
        <v>1223.6500000000001</v>
      </c>
      <c r="FE28" s="10" t="str">
        <f>[27]RJ1!$D$34</f>
        <v>-</v>
      </c>
      <c r="FF28" s="10">
        <f>[27]RJ1!$D$35</f>
        <v>83335.16</v>
      </c>
      <c r="FG28" s="10">
        <f t="shared" ref="FG28:FG33" si="103">SUM(FA28:FF28)</f>
        <v>2318216.9700000002</v>
      </c>
      <c r="FH28" s="10">
        <f>[27]RJ1!$D$37</f>
        <v>1256157</v>
      </c>
      <c r="FI28" s="10">
        <f>[27]RJ1!$D$38</f>
        <v>487786.68</v>
      </c>
      <c r="FJ28" s="10">
        <f>[27]RJ1!$D$39</f>
        <v>358.21</v>
      </c>
      <c r="FK28" s="10">
        <f>[27]RJ1!$D$40</f>
        <v>1223.6500000000001</v>
      </c>
      <c r="FL28" s="10" t="str">
        <f>[27]RJ1!$D$41</f>
        <v>-</v>
      </c>
      <c r="FM28" s="10">
        <f>[27]RJ1!$D$42</f>
        <v>53194.11</v>
      </c>
      <c r="FN28" s="10">
        <f t="shared" ref="FN28:FN33" si="104">SUM(FH28:FM28)</f>
        <v>1798719.65</v>
      </c>
      <c r="FO28" s="10">
        <f>[28]RJ!R19</f>
        <v>2009299.1399999987</v>
      </c>
      <c r="FP28" s="10">
        <f>[28]RJ!S19</f>
        <v>600067.75000000047</v>
      </c>
      <c r="FQ28" s="10"/>
      <c r="FR28" s="10">
        <f>[28]RJ!Q19</f>
        <v>0</v>
      </c>
      <c r="FS28" s="10"/>
      <c r="FT28" s="10">
        <f>[28]RJ!T19</f>
        <v>146277.31000000006</v>
      </c>
      <c r="FU28" s="10">
        <f>SUM(FO28:FT28)</f>
        <v>2755644.1999999993</v>
      </c>
      <c r="FV28" s="10">
        <f>[28]RJ!V19</f>
        <v>952675.11999999965</v>
      </c>
      <c r="FW28" s="10">
        <f>[28]RJ!W19</f>
        <v>580831.00000000035</v>
      </c>
      <c r="FX28" s="10"/>
      <c r="FY28" s="10">
        <f>[28]RJ!U19</f>
        <v>0</v>
      </c>
      <c r="FZ28" s="10"/>
      <c r="GA28" s="10">
        <f>[28]RJ!X19</f>
        <v>139622.6599999998</v>
      </c>
      <c r="GB28" s="10">
        <f>SUM(FV28:GA28)</f>
        <v>1673128.7799999998</v>
      </c>
      <c r="GC28" s="148">
        <f>AC28+AE28+AG28+AI28+AK28+AM28+AO28+AQ28+AY28+BM28+CA28+CO28+DC28+DQ28+EE28+ES28+FG28+FU28</f>
        <v>26874545.024118975</v>
      </c>
      <c r="GD28" s="148">
        <f>AB28+AD28+AF28+AH28+AJ28+AL28+AN28+AP28+AR28+BF28+BT28+CH28+CV28+DJ28+DX28+EL28+EZ28+FN28+GB28</f>
        <v>21619062</v>
      </c>
      <c r="GE28" s="217" t="s">
        <v>9</v>
      </c>
      <c r="GG28" s="196"/>
      <c r="GH28" s="36"/>
      <c r="GI28" s="36"/>
      <c r="GJ28" s="36"/>
    </row>
    <row r="29" spans="1:192" s="5" customFormat="1" ht="12.75" x14ac:dyDescent="0.2">
      <c r="A29" s="261"/>
      <c r="B29" s="15" t="s">
        <v>46</v>
      </c>
      <c r="C29" s="1" t="s">
        <v>10</v>
      </c>
      <c r="D29" s="2">
        <v>37987</v>
      </c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14" t="s">
        <v>11</v>
      </c>
      <c r="V29" s="14" t="s">
        <v>11</v>
      </c>
      <c r="W29" s="14" t="s">
        <v>11</v>
      </c>
      <c r="X29" s="14" t="s">
        <v>11</v>
      </c>
      <c r="Y29" s="14" t="s">
        <v>11</v>
      </c>
      <c r="Z29" s="14" t="s">
        <v>11</v>
      </c>
      <c r="AA29" s="14" t="s">
        <v>11</v>
      </c>
      <c r="AB29" s="10">
        <v>1026261.33</v>
      </c>
      <c r="AC29" s="10">
        <v>605987.28</v>
      </c>
      <c r="AD29" s="10">
        <v>316327.48</v>
      </c>
      <c r="AE29" s="10">
        <v>724843.87</v>
      </c>
      <c r="AF29" s="10">
        <v>478992.92</v>
      </c>
      <c r="AG29" s="10">
        <v>772345.74</v>
      </c>
      <c r="AH29" s="10">
        <v>766713.94</v>
      </c>
      <c r="AI29" s="10">
        <v>706629.66</v>
      </c>
      <c r="AJ29" s="10">
        <v>781696.46</v>
      </c>
      <c r="AK29" s="10">
        <v>748638.5</v>
      </c>
      <c r="AL29" s="10">
        <v>750585.34</v>
      </c>
      <c r="AM29" s="10">
        <v>726236</v>
      </c>
      <c r="AN29" s="10">
        <v>629694</v>
      </c>
      <c r="AO29" s="10">
        <v>736047.54</v>
      </c>
      <c r="AP29" s="10">
        <v>571602.53999999992</v>
      </c>
      <c r="AQ29" s="10">
        <v>577030.32999999996</v>
      </c>
      <c r="AR29" s="10">
        <v>951521.03</v>
      </c>
      <c r="AS29" s="112">
        <v>534806.44999999995</v>
      </c>
      <c r="AT29" s="10">
        <v>135865.44</v>
      </c>
      <c r="AU29" s="77"/>
      <c r="AV29" s="10">
        <v>688.09</v>
      </c>
      <c r="AW29" s="111">
        <v>0</v>
      </c>
      <c r="AX29" s="10">
        <v>10735.52</v>
      </c>
      <c r="AY29" s="10">
        <f t="shared" si="97"/>
        <v>682095.49999999988</v>
      </c>
      <c r="AZ29" s="10">
        <v>501530.79</v>
      </c>
      <c r="BA29" s="10">
        <v>145562.88</v>
      </c>
      <c r="BB29" s="77"/>
      <c r="BC29" s="10">
        <v>1069.2</v>
      </c>
      <c r="BD29" s="10">
        <v>0</v>
      </c>
      <c r="BE29" s="10">
        <v>10662.3</v>
      </c>
      <c r="BF29" s="10">
        <f t="shared" si="98"/>
        <v>658825.16999999993</v>
      </c>
      <c r="BG29" s="10">
        <v>1300486</v>
      </c>
      <c r="BH29" s="10">
        <v>281079</v>
      </c>
      <c r="BI29" s="10">
        <v>12179</v>
      </c>
      <c r="BJ29" s="10">
        <v>1815</v>
      </c>
      <c r="BK29" s="10">
        <v>0</v>
      </c>
      <c r="BL29" s="10">
        <v>23759</v>
      </c>
      <c r="BM29" s="10">
        <f t="shared" si="99"/>
        <v>1619318</v>
      </c>
      <c r="BN29" s="10">
        <v>1174660</v>
      </c>
      <c r="BO29" s="10">
        <v>258665</v>
      </c>
      <c r="BP29" s="10">
        <v>11076</v>
      </c>
      <c r="BQ29" s="10">
        <v>1126</v>
      </c>
      <c r="BR29" s="10">
        <v>0</v>
      </c>
      <c r="BS29" s="10">
        <v>23893</v>
      </c>
      <c r="BT29" s="10">
        <f t="shared" ref="BT29:BT37" si="105">SUM(BN29:BS29)</f>
        <v>1469420</v>
      </c>
      <c r="BU29" s="10">
        <v>666744.41</v>
      </c>
      <c r="BV29" s="10">
        <v>285969.77</v>
      </c>
      <c r="BW29" s="10">
        <v>14399.02</v>
      </c>
      <c r="BX29" s="10">
        <v>23.65</v>
      </c>
      <c r="BY29" s="10">
        <v>0</v>
      </c>
      <c r="BZ29" s="10">
        <v>29044.690000000002</v>
      </c>
      <c r="CA29" s="10">
        <f t="shared" si="65"/>
        <v>996181.54</v>
      </c>
      <c r="CB29" s="10">
        <v>654488.36</v>
      </c>
      <c r="CC29" s="10">
        <v>280856.31</v>
      </c>
      <c r="CD29" s="10">
        <v>10415.120000000001</v>
      </c>
      <c r="CE29" s="10">
        <v>23.65</v>
      </c>
      <c r="CF29" s="10">
        <v>0</v>
      </c>
      <c r="CG29" s="10">
        <v>26941.53</v>
      </c>
      <c r="CH29" s="10">
        <f t="shared" ref="CH29:CH37" si="106">SUM(CB29:CG29)</f>
        <v>972724.97</v>
      </c>
      <c r="CI29" s="10">
        <v>1109858.4384999999</v>
      </c>
      <c r="CJ29" s="10">
        <v>357042.81761020003</v>
      </c>
      <c r="CK29" s="10">
        <v>17885.167792</v>
      </c>
      <c r="CL29" s="10">
        <v>270.07135999999997</v>
      </c>
      <c r="CM29" s="10">
        <v>0</v>
      </c>
      <c r="CN29" s="10">
        <v>42834.426316666701</v>
      </c>
      <c r="CO29" s="10">
        <f t="shared" ref="CO29:CO37" si="107">SUM(CI29:CN29)</f>
        <v>1527890.9215788667</v>
      </c>
      <c r="CP29" s="10">
        <v>1032982</v>
      </c>
      <c r="CQ29" s="10">
        <v>353205.63</v>
      </c>
      <c r="CR29" s="10">
        <v>13637.57</v>
      </c>
      <c r="CS29" s="10">
        <v>270.07</v>
      </c>
      <c r="CT29" s="10">
        <v>0</v>
      </c>
      <c r="CU29" s="10">
        <v>38274.129999999997</v>
      </c>
      <c r="CV29" s="10">
        <f t="shared" ref="CV29:CV37" si="108">SUM(CP29:CU29)</f>
        <v>1438369.4</v>
      </c>
      <c r="CW29" s="10">
        <f>'[29]2020'!F9</f>
        <v>1133127.6519422401</v>
      </c>
      <c r="CX29" s="10">
        <f>'[29]2020'!G9</f>
        <v>367399.88173412578</v>
      </c>
      <c r="CY29" s="10">
        <f>'[29]2020'!H9</f>
        <v>18403.837657968001</v>
      </c>
      <c r="CZ29" s="10">
        <f>'[29]2020'!I9</f>
        <v>272.57570607250506</v>
      </c>
      <c r="DA29" s="10">
        <f>'[29]2020'!J9</f>
        <v>0</v>
      </c>
      <c r="DB29" s="10">
        <f>'[29]2020'!K9</f>
        <v>46959.929388982891</v>
      </c>
      <c r="DC29" s="10">
        <f t="shared" ref="DC29:DC37" si="109">SUM(CW29:DB29)</f>
        <v>1566163.8764293895</v>
      </c>
      <c r="DD29" s="10">
        <f>'[29]2020'!M9</f>
        <v>1049944.53</v>
      </c>
      <c r="DE29" s="10">
        <f>'[29]2020'!N9</f>
        <v>368875.77</v>
      </c>
      <c r="DF29" s="10">
        <f>'[29]2020'!O9</f>
        <v>11612.48</v>
      </c>
      <c r="DG29" s="10">
        <f>'[29]2020'!P9</f>
        <v>0</v>
      </c>
      <c r="DH29" s="10">
        <f>'[29]2020'!Q9</f>
        <v>0</v>
      </c>
      <c r="DI29" s="10">
        <f>'[29]2020'!R9</f>
        <v>49415.82</v>
      </c>
      <c r="DJ29" s="10">
        <f>'[29]2020'!S9</f>
        <v>1479848.6</v>
      </c>
      <c r="DK29" s="10">
        <f>'[30]2021'!F9</f>
        <v>1136016.7049767501</v>
      </c>
      <c r="DL29" s="10">
        <f>'[30]2021'!G9</f>
        <v>376348.15695136401</v>
      </c>
      <c r="DM29" s="10">
        <f>'[30]2021'!H9</f>
        <v>7394.7509586719998</v>
      </c>
      <c r="DN29" s="10">
        <f>'[30]2021'!I9</f>
        <v>6.87</v>
      </c>
      <c r="DO29" s="10">
        <f>'[30]2021'!J9</f>
        <v>0</v>
      </c>
      <c r="DP29" s="10">
        <f>'[30]2021'!K9</f>
        <v>56223.381270892001</v>
      </c>
      <c r="DQ29" s="10">
        <f t="shared" ref="DQ29:DQ37" si="110">SUM(DK29:DP29)</f>
        <v>1575989.8641576783</v>
      </c>
      <c r="DR29" s="10">
        <f>'[30]2021'!M9</f>
        <v>1136234.19</v>
      </c>
      <c r="DS29" s="10">
        <f>'[30]2021'!N9</f>
        <v>394227.76</v>
      </c>
      <c r="DT29" s="10">
        <f>'[30]2021'!O9</f>
        <v>1851.03</v>
      </c>
      <c r="DU29" s="10">
        <f>'[30]2021'!P9</f>
        <v>7.55</v>
      </c>
      <c r="DV29" s="10">
        <f>'[30]2021'!Q9</f>
        <v>0</v>
      </c>
      <c r="DW29" s="10">
        <f>'[30]2021'!R9</f>
        <v>56366.649999999994</v>
      </c>
      <c r="DX29" s="10">
        <f t="shared" ref="DX29:DX37" si="111">SUM(DR29:DW29)</f>
        <v>1588687.18</v>
      </c>
      <c r="DY29" s="10">
        <v>1221391</v>
      </c>
      <c r="DZ29" s="10">
        <v>417224</v>
      </c>
      <c r="EA29" s="10">
        <v>8152</v>
      </c>
      <c r="EB29" s="10">
        <v>302</v>
      </c>
      <c r="EC29" s="10" t="s">
        <v>158</v>
      </c>
      <c r="ED29" s="10">
        <v>58513</v>
      </c>
      <c r="EE29" s="10">
        <f t="shared" si="100"/>
        <v>1705582</v>
      </c>
      <c r="EF29" s="10">
        <v>1233116</v>
      </c>
      <c r="EG29" s="10">
        <v>408521</v>
      </c>
      <c r="EH29" s="10">
        <v>1648</v>
      </c>
      <c r="EI29" s="10">
        <v>387</v>
      </c>
      <c r="EJ29" s="10" t="s">
        <v>158</v>
      </c>
      <c r="EK29" s="10">
        <v>60457</v>
      </c>
      <c r="EL29" s="10">
        <f t="shared" si="68"/>
        <v>1704129</v>
      </c>
      <c r="EM29" s="10">
        <f>[26]RJ!$E$46</f>
        <v>1195348.49</v>
      </c>
      <c r="EN29" s="10">
        <f>[26]RJ!$E$47</f>
        <v>459814.11</v>
      </c>
      <c r="EO29" s="10">
        <f>[26]RJ!$E$48</f>
        <v>15010.18</v>
      </c>
      <c r="EP29" s="10">
        <f>[26]RJ!$E$49</f>
        <v>323.57</v>
      </c>
      <c r="EQ29" s="10">
        <f>[26]RJ!$E$50</f>
        <v>0</v>
      </c>
      <c r="ER29" s="10">
        <f>[26]RJ!$E$51</f>
        <v>79711.38</v>
      </c>
      <c r="ES29" s="10">
        <f t="shared" si="101"/>
        <v>1750207.73</v>
      </c>
      <c r="ET29" s="10">
        <f>[26]RJ!$E$53</f>
        <v>1065890.71</v>
      </c>
      <c r="EU29" s="10">
        <f>[26]RJ!$E$54</f>
        <v>445616.02</v>
      </c>
      <c r="EV29" s="10">
        <f>[26]RJ!$E$55</f>
        <v>5160.8900000000003</v>
      </c>
      <c r="EW29" s="10">
        <f>[26]RJ!$E$56</f>
        <v>0</v>
      </c>
      <c r="EX29" s="10">
        <f>[26]RJ!$E$57</f>
        <v>0</v>
      </c>
      <c r="EY29" s="10">
        <f>[26]RJ!$E$58</f>
        <v>73941.86</v>
      </c>
      <c r="EZ29" s="10">
        <f t="shared" si="102"/>
        <v>1590609.48</v>
      </c>
      <c r="FA29" s="10">
        <f>[27]RJ1!$D$44</f>
        <v>1587107.55</v>
      </c>
      <c r="FB29" s="10">
        <f>[27]RJ1!$D$45</f>
        <v>497387.61</v>
      </c>
      <c r="FC29" s="10">
        <f>[27]RJ1!$D$46</f>
        <v>14519.66</v>
      </c>
      <c r="FD29" s="10">
        <f>[27]RJ1!$D$47</f>
        <v>340.35</v>
      </c>
      <c r="FE29" s="10" t="str">
        <f>[27]RJ1!$D$48</f>
        <v>-</v>
      </c>
      <c r="FF29" s="10">
        <f>[27]RJ1!$D$49</f>
        <v>134980.48000000001</v>
      </c>
      <c r="FG29" s="10">
        <f>SUM(FA29:FF29)</f>
        <v>2234335.6500000004</v>
      </c>
      <c r="FH29" s="10">
        <f>[27]RJ1!$D$51</f>
        <v>1622960.74</v>
      </c>
      <c r="FI29" s="10">
        <f>[27]RJ1!$D$52</f>
        <v>488536.49</v>
      </c>
      <c r="FJ29" s="10">
        <f>[27]RJ1!$D$53</f>
        <v>2077.25</v>
      </c>
      <c r="FK29" s="10">
        <f>[27]RJ1!$D$54</f>
        <v>340.35</v>
      </c>
      <c r="FL29" s="10" t="str">
        <f>[27]RJ1!$D$55</f>
        <v>-</v>
      </c>
      <c r="FM29" s="10">
        <f>[27]RJ1!$D$56</f>
        <v>121633.62</v>
      </c>
      <c r="FN29" s="10">
        <f t="shared" si="104"/>
        <v>2235548.4500000002</v>
      </c>
      <c r="FO29" s="10">
        <f>[28]RJ!R20</f>
        <v>1763762.4200000004</v>
      </c>
      <c r="FP29" s="10">
        <f>[28]RJ!S20</f>
        <v>534800.09999999963</v>
      </c>
      <c r="FQ29" s="10"/>
      <c r="FR29" s="10">
        <f>[28]RJ!Q20</f>
        <v>932.27</v>
      </c>
      <c r="FS29" s="10"/>
      <c r="FT29" s="10">
        <f>[28]RJ!T20</f>
        <v>150052.41999999993</v>
      </c>
      <c r="FU29" s="10">
        <f t="shared" ref="FU29:FU37" si="112">SUM(FO29:FT29)</f>
        <v>2449547.21</v>
      </c>
      <c r="FV29" s="10">
        <f>[28]RJ!V20</f>
        <v>1700757.4399999995</v>
      </c>
      <c r="FW29" s="10">
        <f>[28]RJ!W20</f>
        <v>516249.66999999876</v>
      </c>
      <c r="FX29" s="10"/>
      <c r="FY29" s="10">
        <f>[28]RJ!U20</f>
        <v>739.98</v>
      </c>
      <c r="FZ29" s="10"/>
      <c r="GA29" s="10">
        <f>[28]RJ!X20</f>
        <v>125656.59000000008</v>
      </c>
      <c r="GB29" s="10">
        <f t="shared" ref="GB29:GB37" si="113">SUM(FV29:GA29)</f>
        <v>2343403.6799999988</v>
      </c>
      <c r="GC29" s="148">
        <f t="shared" ref="GC29:GC37" si="114">AC29+AE29+AG29+AI29+AK29+AM29+AO29+AQ29+AY29+BM29+CA29+CO29+DC29+DQ29+EE29+ES29+FG29+FU29</f>
        <v>21705071.212165937</v>
      </c>
      <c r="GD29" s="148">
        <f t="shared" ref="GD29:GD37" si="115">AB29+AD29+AF29+AH29+AJ29+AL29+AN29+AP29+AR29+BF29+BT29+CH29+CV29+DJ29+DX29+EL29+EZ29+FN29+GB29</f>
        <v>21754960.969999999</v>
      </c>
      <c r="GE29" s="218"/>
      <c r="GG29" s="196"/>
      <c r="GH29" s="36"/>
      <c r="GI29" s="36"/>
      <c r="GJ29" s="36"/>
    </row>
    <row r="30" spans="1:192" s="5" customFormat="1" ht="12.75" x14ac:dyDescent="0.2">
      <c r="A30" s="261"/>
      <c r="B30" s="15" t="s">
        <v>101</v>
      </c>
      <c r="C30" s="1" t="s">
        <v>10</v>
      </c>
      <c r="D30" s="2">
        <v>37987</v>
      </c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14" t="s">
        <v>11</v>
      </c>
      <c r="V30" s="14" t="s">
        <v>11</v>
      </c>
      <c r="W30" s="14" t="s">
        <v>11</v>
      </c>
      <c r="X30" s="14" t="s">
        <v>11</v>
      </c>
      <c r="Y30" s="14" t="s">
        <v>11</v>
      </c>
      <c r="Z30" s="14" t="s">
        <v>11</v>
      </c>
      <c r="AA30" s="14" t="s">
        <v>11</v>
      </c>
      <c r="AB30" s="10">
        <v>1154432.71</v>
      </c>
      <c r="AC30" s="10">
        <v>647562.1</v>
      </c>
      <c r="AD30" s="10">
        <v>493775.89</v>
      </c>
      <c r="AE30" s="10">
        <v>655081.18999999994</v>
      </c>
      <c r="AF30" s="10">
        <v>554930.35</v>
      </c>
      <c r="AG30" s="10">
        <v>678240.31</v>
      </c>
      <c r="AH30" s="10">
        <v>717106.39</v>
      </c>
      <c r="AI30" s="10">
        <v>674346.76</v>
      </c>
      <c r="AJ30" s="10">
        <v>636569.49</v>
      </c>
      <c r="AK30" s="10">
        <v>659369.54</v>
      </c>
      <c r="AL30" s="10">
        <v>659829.76000000001</v>
      </c>
      <c r="AM30" s="10">
        <v>665392</v>
      </c>
      <c r="AN30" s="10">
        <v>672678</v>
      </c>
      <c r="AO30" s="10">
        <v>672995.63</v>
      </c>
      <c r="AP30" s="10">
        <v>371797.18000000005</v>
      </c>
      <c r="AQ30" s="10">
        <v>396747.97</v>
      </c>
      <c r="AR30" s="10">
        <v>547776.57999999996</v>
      </c>
      <c r="AS30" s="112">
        <v>348953.53</v>
      </c>
      <c r="AT30" s="10">
        <v>55009.760000000002</v>
      </c>
      <c r="AU30" s="77"/>
      <c r="AV30" s="10">
        <v>43.17</v>
      </c>
      <c r="AW30" s="111">
        <v>0</v>
      </c>
      <c r="AX30" s="10">
        <v>1196.8900000000001</v>
      </c>
      <c r="AY30" s="10">
        <f t="shared" si="97"/>
        <v>405203.35000000003</v>
      </c>
      <c r="AZ30" s="10">
        <v>340696.56000000099</v>
      </c>
      <c r="BA30" s="10">
        <v>80195.09</v>
      </c>
      <c r="BB30" s="77"/>
      <c r="BC30" s="10">
        <v>0</v>
      </c>
      <c r="BD30" s="10">
        <v>0</v>
      </c>
      <c r="BE30" s="10">
        <v>1271.57</v>
      </c>
      <c r="BF30" s="10">
        <f t="shared" si="98"/>
        <v>422163.22000000096</v>
      </c>
      <c r="BG30" s="10">
        <v>709660</v>
      </c>
      <c r="BH30" s="10">
        <v>66838</v>
      </c>
      <c r="BI30" s="10">
        <v>6409</v>
      </c>
      <c r="BJ30" s="10">
        <v>173</v>
      </c>
      <c r="BK30" s="10">
        <v>0</v>
      </c>
      <c r="BL30" s="10">
        <v>3602</v>
      </c>
      <c r="BM30" s="10">
        <f t="shared" si="99"/>
        <v>786682</v>
      </c>
      <c r="BN30" s="10">
        <v>662457</v>
      </c>
      <c r="BO30" s="10">
        <v>59463</v>
      </c>
      <c r="BP30" s="10">
        <v>5797</v>
      </c>
      <c r="BQ30" s="10">
        <v>0</v>
      </c>
      <c r="BR30" s="10">
        <v>0</v>
      </c>
      <c r="BS30" s="10">
        <v>2865</v>
      </c>
      <c r="BT30" s="10">
        <f t="shared" si="105"/>
        <v>730582</v>
      </c>
      <c r="BU30" s="10">
        <v>955290.25</v>
      </c>
      <c r="BV30" s="10">
        <v>60617.71</v>
      </c>
      <c r="BW30" s="10">
        <v>6408.9</v>
      </c>
      <c r="BX30" s="10">
        <v>26.88</v>
      </c>
      <c r="BY30" s="10">
        <v>0</v>
      </c>
      <c r="BZ30" s="10">
        <v>5157.67</v>
      </c>
      <c r="CA30" s="10">
        <f t="shared" si="65"/>
        <v>1027501.41</v>
      </c>
      <c r="CB30" s="10">
        <v>737877.22</v>
      </c>
      <c r="CC30" s="10">
        <v>70293.8</v>
      </c>
      <c r="CD30" s="10">
        <v>6387.63</v>
      </c>
      <c r="CE30" s="10">
        <v>26.88</v>
      </c>
      <c r="CF30" s="10">
        <v>0</v>
      </c>
      <c r="CG30" s="10">
        <v>4545.8100000000004</v>
      </c>
      <c r="CH30" s="10">
        <f t="shared" si="106"/>
        <v>819131.34000000008</v>
      </c>
      <c r="CI30" s="10">
        <v>1423506.5416000001</v>
      </c>
      <c r="CJ30" s="10">
        <v>103296.58386879999</v>
      </c>
      <c r="CK30" s="10">
        <v>12884.322560000001</v>
      </c>
      <c r="CL30" s="10">
        <v>312.77567999999997</v>
      </c>
      <c r="CM30" s="10">
        <v>0</v>
      </c>
      <c r="CN30" s="10">
        <v>13628.643727999999</v>
      </c>
      <c r="CO30" s="10">
        <f t="shared" si="107"/>
        <v>1553628.8674368002</v>
      </c>
      <c r="CP30" s="10">
        <v>1369143.79</v>
      </c>
      <c r="CQ30" s="10">
        <v>103882.38</v>
      </c>
      <c r="CR30" s="10">
        <v>12268.9</v>
      </c>
      <c r="CS30" s="10">
        <v>53.76</v>
      </c>
      <c r="CT30" s="10">
        <v>0</v>
      </c>
      <c r="CU30" s="10">
        <v>14257.82</v>
      </c>
      <c r="CV30" s="10">
        <f t="shared" si="108"/>
        <v>1499606.65</v>
      </c>
      <c r="CW30" s="10">
        <f>'[29]2020'!F10</f>
        <v>1467857.2982137001</v>
      </c>
      <c r="CX30" s="10">
        <f>'[29]2020'!G10</f>
        <v>112565.98744542967</v>
      </c>
      <c r="CY30" s="10">
        <f>'[29]2020'!H10</f>
        <v>13256.357373919998</v>
      </c>
      <c r="CZ30" s="10">
        <f>'[29]2020'!I10</f>
        <v>321.82599029070923</v>
      </c>
      <c r="DA30" s="10">
        <f>'[29]2020'!J10</f>
        <v>0</v>
      </c>
      <c r="DB30" s="10">
        <f>'[29]2020'!K10</f>
        <v>12242.865256896001</v>
      </c>
      <c r="DC30" s="10">
        <f t="shared" si="109"/>
        <v>1606244.3342802364</v>
      </c>
      <c r="DD30" s="10">
        <f>'[29]2020'!M10</f>
        <v>1548775.32</v>
      </c>
      <c r="DE30" s="10">
        <f>'[29]2020'!N10</f>
        <v>109481.7</v>
      </c>
      <c r="DF30" s="10">
        <f>'[29]2020'!O10</f>
        <v>11686.78</v>
      </c>
      <c r="DG30" s="10">
        <f>'[29]2020'!P10</f>
        <v>0</v>
      </c>
      <c r="DH30" s="10">
        <f>'[29]2020'!Q10</f>
        <v>0</v>
      </c>
      <c r="DI30" s="10">
        <f>'[29]2020'!R10</f>
        <v>12144.8</v>
      </c>
      <c r="DJ30" s="10">
        <f>'[29]2020'!S10</f>
        <v>1682088.6</v>
      </c>
      <c r="DK30" s="10">
        <f>'[30]2021'!F10</f>
        <v>1541750.5659271199</v>
      </c>
      <c r="DL30" s="10">
        <f>'[30]2021'!G10</f>
        <v>114469.04599378</v>
      </c>
      <c r="DM30" s="10">
        <f>'[30]2021'!H10</f>
        <v>13350.992576479999</v>
      </c>
      <c r="DN30" s="10">
        <f>'[30]2021'!I10</f>
        <v>332.18975999999998</v>
      </c>
      <c r="DO30" s="10">
        <f>'[30]2021'!J10</f>
        <v>0</v>
      </c>
      <c r="DP30" s="10">
        <f>'[30]2021'!K10</f>
        <v>13657.447764025301</v>
      </c>
      <c r="DQ30" s="10">
        <f t="shared" si="110"/>
        <v>1683560.2420214051</v>
      </c>
      <c r="DR30" s="10">
        <f>'[30]2021'!M10</f>
        <v>1519795.53</v>
      </c>
      <c r="DS30" s="10">
        <f>'[30]2021'!N10</f>
        <v>109663.34</v>
      </c>
      <c r="DT30" s="10">
        <f>'[30]2021'!O10</f>
        <v>12053.12</v>
      </c>
      <c r="DU30" s="10">
        <f>'[30]2021'!P10</f>
        <v>161.51</v>
      </c>
      <c r="DV30" s="10">
        <f>'[30]2021'!Q10</f>
        <v>0</v>
      </c>
      <c r="DW30" s="10">
        <f>'[30]2021'!R10</f>
        <v>14337.26</v>
      </c>
      <c r="DX30" s="10">
        <f t="shared" si="111"/>
        <v>1656010.7600000002</v>
      </c>
      <c r="DY30" s="10">
        <v>1700643</v>
      </c>
      <c r="DZ30" s="10">
        <v>126437</v>
      </c>
      <c r="EA30" s="10">
        <v>14719</v>
      </c>
      <c r="EB30" s="10">
        <v>367</v>
      </c>
      <c r="EC30" s="10" t="s">
        <v>158</v>
      </c>
      <c r="ED30" s="10">
        <v>15963</v>
      </c>
      <c r="EE30" s="10">
        <f t="shared" si="100"/>
        <v>1858129</v>
      </c>
      <c r="EF30" s="10">
        <v>1722790</v>
      </c>
      <c r="EG30" s="10">
        <v>121651</v>
      </c>
      <c r="EH30" s="10">
        <v>13288</v>
      </c>
      <c r="EI30" s="10" t="s">
        <v>160</v>
      </c>
      <c r="EJ30" s="10" t="s">
        <v>158</v>
      </c>
      <c r="EK30" s="10">
        <v>16867</v>
      </c>
      <c r="EL30" s="10">
        <f t="shared" si="68"/>
        <v>1874596</v>
      </c>
      <c r="EM30" s="10">
        <f>[26]RJ!$E$88</f>
        <v>1849488.16</v>
      </c>
      <c r="EN30" s="10">
        <f>[26]RJ!$E$89</f>
        <v>151077.99</v>
      </c>
      <c r="EO30" s="10">
        <f>[26]RJ!$E$90</f>
        <v>15774.98</v>
      </c>
      <c r="EP30" s="10">
        <f>[26]RJ!$E$91</f>
        <v>2774.82</v>
      </c>
      <c r="EQ30" s="10">
        <f>[26]RJ!$E$92</f>
        <v>0</v>
      </c>
      <c r="ER30" s="10">
        <f>[26]RJ!$E$93</f>
        <v>22827.41</v>
      </c>
      <c r="ES30" s="10">
        <f t="shared" si="101"/>
        <v>2041943.3599999999</v>
      </c>
      <c r="ET30" s="10">
        <f>[26]RJ!$E$95</f>
        <v>1844629.25</v>
      </c>
      <c r="EU30" s="10">
        <f>[26]RJ!$E$96</f>
        <v>144215.14000000001</v>
      </c>
      <c r="EV30" s="10">
        <f>[26]RJ!$E$97</f>
        <v>14670.48</v>
      </c>
      <c r="EW30" s="10">
        <f>[26]RJ!$E$98</f>
        <v>2707.34</v>
      </c>
      <c r="EX30" s="10">
        <f>[26]RJ!$E$99</f>
        <v>0</v>
      </c>
      <c r="EY30" s="10">
        <f>[26]RJ!$E$100</f>
        <v>21988.26</v>
      </c>
      <c r="EZ30" s="10">
        <f t="shared" si="102"/>
        <v>2028210.4700000002</v>
      </c>
      <c r="FA30" s="10">
        <f>[27]RJ1!$D$86</f>
        <v>1970104.34</v>
      </c>
      <c r="FB30" s="10">
        <f>[27]RJ1!$D$87</f>
        <v>152829.22</v>
      </c>
      <c r="FC30" s="10">
        <f>[27]RJ1!$D$88</f>
        <v>12768.6</v>
      </c>
      <c r="FD30" s="10">
        <f>[27]RJ1!$D$89</f>
        <v>408.67</v>
      </c>
      <c r="FE30" s="10" t="str">
        <f>[27]RJ1!$D$90</f>
        <v>-</v>
      </c>
      <c r="FF30" s="10">
        <f>[27]RJ1!$D$91</f>
        <v>24251.599999999999</v>
      </c>
      <c r="FG30" s="10">
        <f t="shared" si="103"/>
        <v>2160362.4300000002</v>
      </c>
      <c r="FH30" s="10">
        <f>[27]RJ1!$D$93</f>
        <v>1981524.17</v>
      </c>
      <c r="FI30" s="10">
        <f>[27]RJ1!$D$94</f>
        <v>134107.26999999999</v>
      </c>
      <c r="FJ30" s="10">
        <f>[27]RJ1!$D$95</f>
        <v>11155.56</v>
      </c>
      <c r="FK30" s="10">
        <f>[27]RJ1!$D$96</f>
        <v>337.69</v>
      </c>
      <c r="FL30" s="10" t="str">
        <f>[27]RJ1!$D$97</f>
        <v>-</v>
      </c>
      <c r="FM30" s="10">
        <f>[27]RJ1!$D$98</f>
        <v>23448.23</v>
      </c>
      <c r="FN30" s="10">
        <f t="shared" si="104"/>
        <v>2150572.92</v>
      </c>
      <c r="FO30" s="10">
        <f>[28]RJ!R21</f>
        <v>2175506.0399999996</v>
      </c>
      <c r="FP30" s="10">
        <f>[28]RJ!S21</f>
        <v>161337.73000000001</v>
      </c>
      <c r="FQ30" s="10"/>
      <c r="FR30" s="10">
        <f>[28]RJ!Q21</f>
        <v>74.12</v>
      </c>
      <c r="FS30" s="10"/>
      <c r="FT30" s="10">
        <f>[28]RJ!T21</f>
        <v>54992.089999999822</v>
      </c>
      <c r="FU30" s="10">
        <f t="shared" si="112"/>
        <v>2391909.9799999995</v>
      </c>
      <c r="FV30" s="10">
        <f>[28]RJ!V21</f>
        <v>2173366.9599999976</v>
      </c>
      <c r="FW30" s="10">
        <f>[28]RJ!W21</f>
        <v>156708.68000000005</v>
      </c>
      <c r="FX30" s="10"/>
      <c r="FY30" s="10">
        <f>[28]RJ!U21</f>
        <v>0</v>
      </c>
      <c r="FZ30" s="10"/>
      <c r="GA30" s="10">
        <f>[28]RJ!X21</f>
        <v>53432.9099999998</v>
      </c>
      <c r="GB30" s="10">
        <f t="shared" si="113"/>
        <v>2383508.5499999975</v>
      </c>
      <c r="GC30" s="148">
        <f t="shared" si="114"/>
        <v>20564900.473738439</v>
      </c>
      <c r="GD30" s="148">
        <f t="shared" si="115"/>
        <v>21055366.859999999</v>
      </c>
      <c r="GE30" s="218"/>
      <c r="GG30" s="196"/>
      <c r="GH30" s="36"/>
      <c r="GI30" s="36"/>
      <c r="GJ30" s="36"/>
    </row>
    <row r="31" spans="1:192" s="5" customFormat="1" ht="12.75" x14ac:dyDescent="0.2">
      <c r="A31" s="261"/>
      <c r="B31" s="15" t="s">
        <v>47</v>
      </c>
      <c r="C31" s="1" t="s">
        <v>10</v>
      </c>
      <c r="D31" s="2">
        <v>37987</v>
      </c>
      <c r="E31" s="50"/>
      <c r="F31" s="50"/>
      <c r="G31" s="50"/>
      <c r="H31" s="50"/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14" t="s">
        <v>11</v>
      </c>
      <c r="V31" s="14" t="s">
        <v>11</v>
      </c>
      <c r="W31" s="14" t="s">
        <v>11</v>
      </c>
      <c r="X31" s="14" t="s">
        <v>11</v>
      </c>
      <c r="Y31" s="14" t="s">
        <v>11</v>
      </c>
      <c r="Z31" s="14" t="s">
        <v>11</v>
      </c>
      <c r="AA31" s="14" t="s">
        <v>11</v>
      </c>
      <c r="AB31" s="10">
        <v>691626.26</v>
      </c>
      <c r="AC31" s="10">
        <v>110291.29</v>
      </c>
      <c r="AD31" s="10">
        <v>56964.39</v>
      </c>
      <c r="AE31" s="10">
        <v>144737.04999999999</v>
      </c>
      <c r="AF31" s="10">
        <v>68867.27</v>
      </c>
      <c r="AG31" s="10">
        <v>152447.67999999999</v>
      </c>
      <c r="AH31" s="10">
        <v>153435.10999999999</v>
      </c>
      <c r="AI31" s="10">
        <v>156164.19</v>
      </c>
      <c r="AJ31" s="10">
        <v>157327.04000000001</v>
      </c>
      <c r="AK31" s="10">
        <v>203970.34</v>
      </c>
      <c r="AL31" s="10">
        <v>183384.57</v>
      </c>
      <c r="AM31" s="10">
        <v>242454</v>
      </c>
      <c r="AN31" s="10">
        <v>170912</v>
      </c>
      <c r="AO31" s="10">
        <v>292959.40000000002</v>
      </c>
      <c r="AP31" s="10">
        <v>160443.50999999998</v>
      </c>
      <c r="AQ31" s="10">
        <v>334622.21999999997</v>
      </c>
      <c r="AR31" s="10">
        <v>423300.92999999993</v>
      </c>
      <c r="AS31" s="112">
        <v>212833.63</v>
      </c>
      <c r="AT31" s="10">
        <v>72676.28</v>
      </c>
      <c r="AU31" s="77"/>
      <c r="AV31" s="10">
        <v>18630.120000000003</v>
      </c>
      <c r="AW31" s="111">
        <v>0</v>
      </c>
      <c r="AX31" s="10">
        <v>22064.83</v>
      </c>
      <c r="AY31" s="10">
        <f t="shared" si="97"/>
        <v>326204.86000000004</v>
      </c>
      <c r="AZ31" s="10">
        <v>210490.68</v>
      </c>
      <c r="BA31" s="10">
        <v>22521.31</v>
      </c>
      <c r="BB31" s="77"/>
      <c r="BC31" s="10">
        <v>36431.32</v>
      </c>
      <c r="BD31" s="10">
        <v>0</v>
      </c>
      <c r="BE31" s="10">
        <v>35601.06</v>
      </c>
      <c r="BF31" s="10">
        <f t="shared" si="98"/>
        <v>305044.37</v>
      </c>
      <c r="BG31" s="10">
        <v>444873</v>
      </c>
      <c r="BH31" s="10">
        <v>152655</v>
      </c>
      <c r="BI31" s="10">
        <v>0</v>
      </c>
      <c r="BJ31" s="10">
        <v>18745</v>
      </c>
      <c r="BK31" s="10">
        <v>0</v>
      </c>
      <c r="BL31" s="10">
        <v>176287</v>
      </c>
      <c r="BM31" s="10">
        <f t="shared" si="99"/>
        <v>792560</v>
      </c>
      <c r="BN31" s="10">
        <v>432573</v>
      </c>
      <c r="BO31" s="10">
        <v>32260</v>
      </c>
      <c r="BP31" s="10">
        <v>0</v>
      </c>
      <c r="BQ31" s="10">
        <v>605</v>
      </c>
      <c r="BR31" s="10">
        <v>0</v>
      </c>
      <c r="BS31" s="10">
        <v>19963</v>
      </c>
      <c r="BT31" s="10">
        <f t="shared" si="105"/>
        <v>485401</v>
      </c>
      <c r="BU31" s="10">
        <v>610726.72</v>
      </c>
      <c r="BV31" s="10">
        <v>198166.57</v>
      </c>
      <c r="BW31" s="10">
        <v>0</v>
      </c>
      <c r="BX31" s="10">
        <v>1424.55</v>
      </c>
      <c r="BY31" s="10">
        <v>0</v>
      </c>
      <c r="BZ31" s="10">
        <v>157926.32</v>
      </c>
      <c r="CA31" s="10">
        <f t="shared" si="65"/>
        <v>968244.16000000015</v>
      </c>
      <c r="CB31" s="10">
        <v>639110.52</v>
      </c>
      <c r="CC31" s="10">
        <v>251543.41</v>
      </c>
      <c r="CD31" s="10">
        <v>0</v>
      </c>
      <c r="CE31" s="10">
        <v>630.5</v>
      </c>
      <c r="CF31" s="10">
        <v>0</v>
      </c>
      <c r="CG31" s="10">
        <v>18565.25</v>
      </c>
      <c r="CH31" s="10">
        <f t="shared" si="106"/>
        <v>909849.68</v>
      </c>
      <c r="CI31" s="10">
        <v>780778</v>
      </c>
      <c r="CJ31" s="10">
        <v>246817.6845</v>
      </c>
      <c r="CK31" s="10">
        <v>0</v>
      </c>
      <c r="CL31" s="10">
        <v>2218.3621880000001</v>
      </c>
      <c r="CM31" s="10">
        <v>0</v>
      </c>
      <c r="CN31" s="10">
        <v>184461.874433333</v>
      </c>
      <c r="CO31" s="10">
        <f t="shared" si="107"/>
        <v>1214275.921121333</v>
      </c>
      <c r="CP31" s="10">
        <v>787304.04999999795</v>
      </c>
      <c r="CQ31" s="10">
        <v>120674.96</v>
      </c>
      <c r="CR31" s="10">
        <v>0</v>
      </c>
      <c r="CS31" s="10">
        <v>1066.32</v>
      </c>
      <c r="CT31" s="10">
        <v>0</v>
      </c>
      <c r="CU31" s="10">
        <v>513177.57</v>
      </c>
      <c r="CV31" s="10">
        <f t="shared" si="108"/>
        <v>1422222.8999999978</v>
      </c>
      <c r="CW31" s="10">
        <f>'[29]2020'!F11</f>
        <v>818969.46278417762</v>
      </c>
      <c r="CX31" s="10">
        <f>'[29]2020'!G11</f>
        <v>248937.65827950003</v>
      </c>
      <c r="CY31" s="10">
        <f>'[29]2020'!H11</f>
        <v>0</v>
      </c>
      <c r="CZ31" s="10">
        <f>'[29]2020'!I11</f>
        <v>2397.479120755218</v>
      </c>
      <c r="DA31" s="10">
        <f>'[29]2020'!J11</f>
        <v>0</v>
      </c>
      <c r="DB31" s="10">
        <f>'[29]2020'!K11</f>
        <v>274841.74866138934</v>
      </c>
      <c r="DC31" s="10">
        <f t="shared" si="109"/>
        <v>1345146.348845822</v>
      </c>
      <c r="DD31" s="10">
        <f>'[29]2020'!M11</f>
        <v>787086.99</v>
      </c>
      <c r="DE31" s="10">
        <f>'[29]2020'!N11</f>
        <v>108670.15</v>
      </c>
      <c r="DF31" s="10">
        <f>'[29]2020'!O11</f>
        <v>0</v>
      </c>
      <c r="DG31" s="10">
        <f>'[29]2020'!P11</f>
        <v>1049.3699999999999</v>
      </c>
      <c r="DH31" s="10">
        <f>'[29]2020'!Q11</f>
        <v>0</v>
      </c>
      <c r="DI31" s="10">
        <f>'[29]2020'!R11</f>
        <v>267592.12</v>
      </c>
      <c r="DJ31" s="10">
        <f>'[29]2020'!S11</f>
        <v>1164398.6299999999</v>
      </c>
      <c r="DK31" s="10">
        <f>'[30]2021'!F11</f>
        <v>776932.37202367396</v>
      </c>
      <c r="DL31" s="10">
        <f>'[30]2021'!G11</f>
        <v>267509.72201010003</v>
      </c>
      <c r="DM31" s="10">
        <f>'[30]2021'!H11</f>
        <v>0</v>
      </c>
      <c r="DN31" s="10">
        <f>'[30]2021'!I11</f>
        <v>2515.7489703399401</v>
      </c>
      <c r="DO31" s="10">
        <f>'[30]2021'!J11</f>
        <v>0</v>
      </c>
      <c r="DP31" s="10">
        <f>'[30]2021'!K11</f>
        <v>253648.46383287999</v>
      </c>
      <c r="DQ31" s="10">
        <f t="shared" si="110"/>
        <v>1300606.3068369939</v>
      </c>
      <c r="DR31" s="10">
        <f>'[30]2021'!M11</f>
        <v>814776.82000000007</v>
      </c>
      <c r="DS31" s="10">
        <f>'[30]2021'!N11</f>
        <v>218794.42</v>
      </c>
      <c r="DT31" s="10">
        <f>'[30]2021'!O11</f>
        <v>0</v>
      </c>
      <c r="DU31" s="10">
        <f>'[30]2021'!P11</f>
        <v>2432.9399999999996</v>
      </c>
      <c r="DV31" s="10">
        <f>'[30]2021'!Q11</f>
        <v>0</v>
      </c>
      <c r="DW31" s="10">
        <f>'[30]2021'!R11</f>
        <v>245811.91</v>
      </c>
      <c r="DX31" s="10">
        <f t="shared" si="111"/>
        <v>1281816.0900000001</v>
      </c>
      <c r="DY31" s="10">
        <v>857619</v>
      </c>
      <c r="DZ31" s="10">
        <v>340247</v>
      </c>
      <c r="EA31" s="10" t="s">
        <v>159</v>
      </c>
      <c r="EB31" s="10">
        <v>5559</v>
      </c>
      <c r="EC31" s="10" t="s">
        <v>158</v>
      </c>
      <c r="ED31" s="10">
        <v>281388</v>
      </c>
      <c r="EE31" s="10">
        <f t="shared" si="100"/>
        <v>1484813</v>
      </c>
      <c r="EF31" s="10">
        <v>859433</v>
      </c>
      <c r="EG31" s="10">
        <v>276699</v>
      </c>
      <c r="EH31" s="10" t="s">
        <v>159</v>
      </c>
      <c r="EI31" s="10">
        <v>5542</v>
      </c>
      <c r="EJ31" s="10" t="s">
        <v>158</v>
      </c>
      <c r="EK31" s="10">
        <v>282559</v>
      </c>
      <c r="EL31" s="10">
        <f t="shared" si="68"/>
        <v>1424233</v>
      </c>
      <c r="EM31" s="10">
        <f>[26]RJ!$E$116</f>
        <v>651005.35</v>
      </c>
      <c r="EN31" s="10">
        <f>[26]RJ!$E$117</f>
        <v>369676.86</v>
      </c>
      <c r="EO31" s="10">
        <f>[26]RJ!$E$118</f>
        <v>0</v>
      </c>
      <c r="EP31" s="10">
        <f>[26]RJ!$E$119</f>
        <v>14711.53</v>
      </c>
      <c r="EQ31" s="10">
        <f>[26]RJ!$E$120</f>
        <v>0</v>
      </c>
      <c r="ER31" s="10">
        <f>[26]RJ!$E$121</f>
        <v>299517.06</v>
      </c>
      <c r="ES31" s="10">
        <f t="shared" si="101"/>
        <v>1334910.8</v>
      </c>
      <c r="ET31" s="10">
        <f>[26]RJ!$E$123</f>
        <v>652100.28</v>
      </c>
      <c r="EU31" s="10">
        <f>[26]RJ!$E$124</f>
        <v>240226.7</v>
      </c>
      <c r="EV31" s="10">
        <f>[26]RJ!$E$125</f>
        <v>0</v>
      </c>
      <c r="EW31" s="10">
        <f>[26]RJ!$E$126</f>
        <v>4942.12</v>
      </c>
      <c r="EX31" s="10">
        <f>[26]RJ!$E$127</f>
        <v>0</v>
      </c>
      <c r="EY31" s="10">
        <f>[26]RJ!$E$128</f>
        <v>296328.2</v>
      </c>
      <c r="EZ31" s="10">
        <f t="shared" si="102"/>
        <v>1193597.3</v>
      </c>
      <c r="FA31" s="10">
        <f>[27]RJ1!$D$114</f>
        <v>754088.28</v>
      </c>
      <c r="FB31" s="10">
        <f>[27]RJ1!$D$115</f>
        <v>389265.03</v>
      </c>
      <c r="FC31" s="10">
        <f>[27]RJ1!$D$116</f>
        <v>382.71</v>
      </c>
      <c r="FD31" s="10">
        <f>[27]RJ1!$D$117</f>
        <v>16782.98</v>
      </c>
      <c r="FE31" s="10" t="str">
        <f>[27]RJ1!$D$118</f>
        <v>-</v>
      </c>
      <c r="FF31" s="10">
        <f>[27]RJ1!$D$119</f>
        <v>324488.68</v>
      </c>
      <c r="FG31" s="10">
        <f t="shared" si="103"/>
        <v>1485007.68</v>
      </c>
      <c r="FH31" s="10">
        <f>[27]RJ1!$D$121</f>
        <v>714381.09</v>
      </c>
      <c r="FI31" s="10">
        <f>[27]RJ1!$D$122</f>
        <v>228163.41</v>
      </c>
      <c r="FJ31" s="10">
        <f>[27]RJ1!$D$123</f>
        <v>382.71</v>
      </c>
      <c r="FK31" s="10">
        <f>[27]RJ1!$D$124</f>
        <v>6530.72</v>
      </c>
      <c r="FL31" s="10" t="str">
        <f>[27]RJ1!$D$125</f>
        <v>-</v>
      </c>
      <c r="FM31" s="10">
        <f>[27]RJ1!$D$126</f>
        <v>324317.98</v>
      </c>
      <c r="FN31" s="10">
        <f t="shared" si="104"/>
        <v>1273775.9099999999</v>
      </c>
      <c r="FO31" s="223">
        <f>[28]RJ!R16</f>
        <v>1069190.6199999999</v>
      </c>
      <c r="FP31" s="223">
        <f>[28]RJ!S16</f>
        <v>406035.34999999963</v>
      </c>
      <c r="FQ31" s="223"/>
      <c r="FR31" s="223">
        <f>[28]RJ!Q16</f>
        <v>6365.14</v>
      </c>
      <c r="FS31" s="223"/>
      <c r="FT31" s="223">
        <f>[28]RJ!T16</f>
        <v>331234.27000000014</v>
      </c>
      <c r="FU31" s="223">
        <f t="shared" si="112"/>
        <v>1812825.3799999994</v>
      </c>
      <c r="FV31" s="223">
        <f>[28]RJ!V16</f>
        <v>1102907.7099999997</v>
      </c>
      <c r="FW31" s="223">
        <f>[28]RJ!W16</f>
        <v>246247.87999999983</v>
      </c>
      <c r="FX31" s="223"/>
      <c r="FY31" s="223">
        <f>[28]RJ!U16</f>
        <v>6365.14</v>
      </c>
      <c r="FZ31" s="223"/>
      <c r="GA31" s="223">
        <f>[28]RJ!X16</f>
        <v>330536.42000000033</v>
      </c>
      <c r="GB31" s="223">
        <f t="shared" si="113"/>
        <v>1686057.15</v>
      </c>
      <c r="GC31" s="148">
        <f t="shared" si="114"/>
        <v>13702240.626804149</v>
      </c>
      <c r="GD31" s="148">
        <f>AB31+AD31+AF31+AH31+AJ31+AL31+AN31+AP31+AR31+BF31+BT31+CH31+CV31+DJ31+DX31+EL31+EZ31+FN31+GB31</f>
        <v>13212657.109999999</v>
      </c>
      <c r="GE31" s="218"/>
      <c r="GG31" s="196"/>
      <c r="GH31" s="36"/>
      <c r="GI31" s="36"/>
      <c r="GJ31" s="36"/>
    </row>
    <row r="32" spans="1:192" s="5" customFormat="1" ht="12.75" x14ac:dyDescent="0.2">
      <c r="A32" s="261"/>
      <c r="B32" s="15" t="s">
        <v>50</v>
      </c>
      <c r="C32" s="1" t="s">
        <v>10</v>
      </c>
      <c r="D32" s="2">
        <v>38047</v>
      </c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14" t="s">
        <v>11</v>
      </c>
      <c r="V32" s="14" t="s">
        <v>11</v>
      </c>
      <c r="W32" s="14" t="s">
        <v>11</v>
      </c>
      <c r="X32" s="14" t="s">
        <v>11</v>
      </c>
      <c r="Y32" s="14" t="s">
        <v>11</v>
      </c>
      <c r="Z32" s="14" t="s">
        <v>11</v>
      </c>
      <c r="AA32" s="14" t="s">
        <v>11</v>
      </c>
      <c r="AB32" s="14" t="s">
        <v>11</v>
      </c>
      <c r="AC32" s="10">
        <v>26618.720000000001</v>
      </c>
      <c r="AD32" s="10">
        <v>2867.37</v>
      </c>
      <c r="AE32" s="10">
        <v>67149.48</v>
      </c>
      <c r="AF32" s="10">
        <v>8544.69</v>
      </c>
      <c r="AG32" s="10">
        <v>67727.42</v>
      </c>
      <c r="AH32" s="10">
        <v>67697.850000000006</v>
      </c>
      <c r="AI32" s="10">
        <v>69124.08</v>
      </c>
      <c r="AJ32" s="10">
        <v>69033.13</v>
      </c>
      <c r="AK32" s="10">
        <v>47824.82</v>
      </c>
      <c r="AL32" s="10">
        <v>49599.69</v>
      </c>
      <c r="AM32" s="10">
        <v>71356</v>
      </c>
      <c r="AN32" s="10">
        <v>44069</v>
      </c>
      <c r="AO32" s="10">
        <v>64527.62</v>
      </c>
      <c r="AP32" s="10">
        <v>19176.39</v>
      </c>
      <c r="AQ32" s="10">
        <v>52912.2</v>
      </c>
      <c r="AR32" s="10">
        <v>139473.11999999997</v>
      </c>
      <c r="AS32" s="112">
        <v>54664.6</v>
      </c>
      <c r="AT32" s="10">
        <v>0</v>
      </c>
      <c r="AU32" s="77"/>
      <c r="AV32" s="10">
        <v>0</v>
      </c>
      <c r="AW32" s="111">
        <v>0</v>
      </c>
      <c r="AX32" s="10">
        <v>0</v>
      </c>
      <c r="AY32" s="10">
        <f>SUM(AS32:AX32)</f>
        <v>54664.6</v>
      </c>
      <c r="AZ32" s="10">
        <v>54857.440000000002</v>
      </c>
      <c r="BA32" s="10">
        <v>0</v>
      </c>
      <c r="BB32" s="77"/>
      <c r="BC32" s="10">
        <v>0</v>
      </c>
      <c r="BD32" s="10">
        <v>0</v>
      </c>
      <c r="BE32" s="10">
        <v>0</v>
      </c>
      <c r="BF32" s="10">
        <f>SUM(AZ32:BE32)</f>
        <v>54857.440000000002</v>
      </c>
      <c r="BG32" s="10">
        <v>109550</v>
      </c>
      <c r="BH32" s="10">
        <v>0</v>
      </c>
      <c r="BI32" s="10">
        <v>0</v>
      </c>
      <c r="BJ32" s="10">
        <v>0</v>
      </c>
      <c r="BK32" s="10">
        <v>0</v>
      </c>
      <c r="BL32" s="10">
        <v>0</v>
      </c>
      <c r="BM32" s="10">
        <f>SUM(BG32:BL32)</f>
        <v>109550</v>
      </c>
      <c r="BN32" s="10">
        <v>104923</v>
      </c>
      <c r="BO32" s="10">
        <v>0</v>
      </c>
      <c r="BP32" s="10">
        <v>0</v>
      </c>
      <c r="BQ32" s="10">
        <v>0</v>
      </c>
      <c r="BR32" s="10">
        <v>0</v>
      </c>
      <c r="BS32" s="10">
        <v>0</v>
      </c>
      <c r="BT32" s="10">
        <f>SUM(BN32:BS32)</f>
        <v>104923</v>
      </c>
      <c r="BU32" s="10">
        <v>123794.24000000001</v>
      </c>
      <c r="BV32" s="10">
        <v>0</v>
      </c>
      <c r="BW32" s="10">
        <v>0</v>
      </c>
      <c r="BX32" s="10">
        <v>0</v>
      </c>
      <c r="BY32" s="10">
        <v>0</v>
      </c>
      <c r="BZ32" s="10">
        <v>0</v>
      </c>
      <c r="CA32" s="10">
        <f>SUM(BU32:BZ32)</f>
        <v>123794.24000000001</v>
      </c>
      <c r="CB32" s="10">
        <v>127126.78</v>
      </c>
      <c r="CC32" s="10">
        <v>0</v>
      </c>
      <c r="CD32" s="10">
        <v>0</v>
      </c>
      <c r="CE32" s="10">
        <v>0</v>
      </c>
      <c r="CF32" s="10">
        <v>0</v>
      </c>
      <c r="CG32" s="10">
        <v>0</v>
      </c>
      <c r="CH32" s="10">
        <f>SUM(CB32:CG32)</f>
        <v>127126.78</v>
      </c>
      <c r="CI32" s="10">
        <v>101118.11</v>
      </c>
      <c r="CJ32" s="10">
        <v>0</v>
      </c>
      <c r="CK32" s="10">
        <v>0</v>
      </c>
      <c r="CL32" s="10">
        <v>0</v>
      </c>
      <c r="CM32" s="10">
        <v>0</v>
      </c>
      <c r="CN32" s="10">
        <v>0</v>
      </c>
      <c r="CO32" s="10">
        <f>SUM(CI32:CN32)</f>
        <v>101118.11</v>
      </c>
      <c r="CP32" s="10">
        <v>101969.48</v>
      </c>
      <c r="CQ32" s="10">
        <v>0</v>
      </c>
      <c r="CR32" s="10">
        <v>0</v>
      </c>
      <c r="CS32" s="10">
        <v>0</v>
      </c>
      <c r="CT32" s="10">
        <v>0</v>
      </c>
      <c r="CU32" s="10">
        <v>0</v>
      </c>
      <c r="CV32" s="10">
        <f>SUM(CP32:CU32)</f>
        <v>101969.48</v>
      </c>
      <c r="CW32" s="10">
        <f>'[29]2020'!F15</f>
        <v>127390.08580489599</v>
      </c>
      <c r="CX32" s="10">
        <f>'[29]2020'!G15</f>
        <v>0</v>
      </c>
      <c r="CY32" s="10">
        <f>'[29]2020'!H15</f>
        <v>0</v>
      </c>
      <c r="CZ32" s="10">
        <f>'[29]2020'!I15</f>
        <v>0</v>
      </c>
      <c r="DA32" s="10">
        <f>'[29]2020'!J15</f>
        <v>0</v>
      </c>
      <c r="DB32" s="10">
        <f>'[29]2020'!K15</f>
        <v>0</v>
      </c>
      <c r="DC32" s="10">
        <f>SUM(CW32:DB32)</f>
        <v>127390.08580489599</v>
      </c>
      <c r="DD32" s="10">
        <f>'[29]2020'!M15</f>
        <v>125169.59</v>
      </c>
      <c r="DE32" s="10">
        <f>'[29]2020'!N15</f>
        <v>0</v>
      </c>
      <c r="DF32" s="10">
        <f>'[29]2020'!O15</f>
        <v>0</v>
      </c>
      <c r="DG32" s="10">
        <f>'[29]2020'!P15</f>
        <v>0</v>
      </c>
      <c r="DH32" s="10">
        <f>'[29]2020'!Q15</f>
        <v>0</v>
      </c>
      <c r="DI32" s="10">
        <f>'[29]2020'!R15</f>
        <v>0</v>
      </c>
      <c r="DJ32" s="10">
        <f>'[29]2020'!S15</f>
        <v>125169.59</v>
      </c>
      <c r="DK32" s="10">
        <f>'[30]2021'!F15</f>
        <v>106718.528327586</v>
      </c>
      <c r="DL32" s="10">
        <f>'[30]2021'!G15</f>
        <v>0</v>
      </c>
      <c r="DM32" s="10">
        <f>'[30]2021'!H15</f>
        <v>0</v>
      </c>
      <c r="DN32" s="10">
        <f>'[30]2021'!I15</f>
        <v>0</v>
      </c>
      <c r="DO32" s="10">
        <f>'[30]2021'!J15</f>
        <v>0</v>
      </c>
      <c r="DP32" s="10">
        <f>'[30]2021'!K15</f>
        <v>0</v>
      </c>
      <c r="DQ32" s="10">
        <f>SUM(DK32:DP32)</f>
        <v>106718.528327586</v>
      </c>
      <c r="DR32" s="10">
        <f>'[30]2021'!M15</f>
        <v>100954.14</v>
      </c>
      <c r="DS32" s="10">
        <f>'[30]2021'!N15</f>
        <v>0</v>
      </c>
      <c r="DT32" s="10">
        <f>'[30]2021'!O15</f>
        <v>0</v>
      </c>
      <c r="DU32" s="10">
        <f>'[30]2021'!P15</f>
        <v>0</v>
      </c>
      <c r="DV32" s="10">
        <f>'[30]2021'!Q15</f>
        <v>0</v>
      </c>
      <c r="DW32" s="10">
        <f>'[30]2021'!R15</f>
        <v>0</v>
      </c>
      <c r="DX32" s="10">
        <f>SUM(DR32:DW32)</f>
        <v>100954.14</v>
      </c>
      <c r="DY32" s="10">
        <v>121613</v>
      </c>
      <c r="DZ32" s="10" t="s">
        <v>161</v>
      </c>
      <c r="EA32" s="10" t="s">
        <v>159</v>
      </c>
      <c r="EB32" s="10" t="s">
        <v>160</v>
      </c>
      <c r="EC32" s="10" t="s">
        <v>158</v>
      </c>
      <c r="ED32" s="10" t="s">
        <v>162</v>
      </c>
      <c r="EE32" s="10">
        <f>SUM(DY32:ED32)</f>
        <v>121613</v>
      </c>
      <c r="EF32" s="10">
        <v>127897</v>
      </c>
      <c r="EG32" s="10" t="s">
        <v>161</v>
      </c>
      <c r="EH32" s="10" t="s">
        <v>159</v>
      </c>
      <c r="EI32" s="10" t="s">
        <v>160</v>
      </c>
      <c r="EJ32" s="10" t="s">
        <v>158</v>
      </c>
      <c r="EK32" s="10" t="s">
        <v>162</v>
      </c>
      <c r="EL32" s="10">
        <f>SUM(EF32:EK32)</f>
        <v>127897</v>
      </c>
      <c r="EM32" s="10">
        <f>[26]RJ!$E$130</f>
        <v>127617.82</v>
      </c>
      <c r="EN32" s="10">
        <f>[26]RJ!$E$131</f>
        <v>0</v>
      </c>
      <c r="EO32" s="10">
        <f>[26]RJ!$E$132</f>
        <v>0</v>
      </c>
      <c r="EP32" s="10">
        <f>[26]RJ!$E$133</f>
        <v>0</v>
      </c>
      <c r="EQ32" s="10">
        <f>[26]RJ!$E$134</f>
        <v>0</v>
      </c>
      <c r="ER32" s="10">
        <f>[26]RJ!$E$135</f>
        <v>0</v>
      </c>
      <c r="ES32" s="10">
        <f>SUM(EM32:ER32)</f>
        <v>127617.82</v>
      </c>
      <c r="ET32" s="10">
        <f>[26]RJ!$E$137</f>
        <v>126783.84</v>
      </c>
      <c r="EU32" s="10">
        <f>[26]RJ!$E$138</f>
        <v>0</v>
      </c>
      <c r="EV32" s="10">
        <f>[26]RJ!$E$139</f>
        <v>0</v>
      </c>
      <c r="EW32" s="10">
        <f>[26]RJ!$E$140</f>
        <v>0</v>
      </c>
      <c r="EX32" s="10">
        <f>[26]RJ!$E$141</f>
        <v>0</v>
      </c>
      <c r="EY32" s="10">
        <f>[26]RJ!$E$142</f>
        <v>0</v>
      </c>
      <c r="EZ32" s="10">
        <f>SUM(ET32:EY32)</f>
        <v>126783.84</v>
      </c>
      <c r="FA32" s="10">
        <f>[27]RJ1!$D$128</f>
        <v>141750.87</v>
      </c>
      <c r="FB32" s="10" t="str">
        <f>[27]RJ1!$D$129</f>
        <v>-</v>
      </c>
      <c r="FC32" s="10" t="str">
        <f>[27]RJ1!$D$130</f>
        <v>-</v>
      </c>
      <c r="FD32" s="10" t="str">
        <f>[27]RJ1!$D$131</f>
        <v>-</v>
      </c>
      <c r="FE32" s="10" t="str">
        <f>[27]RJ1!$D$132</f>
        <v>-</v>
      </c>
      <c r="FF32" s="10" t="str">
        <f>[27]RJ1!$D$133</f>
        <v>-</v>
      </c>
      <c r="FG32" s="10">
        <f>SUM(FA32:FF32)</f>
        <v>141750.87</v>
      </c>
      <c r="FH32" s="10">
        <f>[27]RJ1!$D$135</f>
        <v>140626.21</v>
      </c>
      <c r="FI32" s="10" t="str">
        <f>[27]RJ1!$D$136</f>
        <v>-</v>
      </c>
      <c r="FJ32" s="10" t="str">
        <f>[27]RJ1!$D$137</f>
        <v>-</v>
      </c>
      <c r="FK32" s="10" t="str">
        <f>[27]RJ1!$D$138</f>
        <v>-</v>
      </c>
      <c r="FL32" s="10" t="str">
        <f>[27]RJ1!$D$139</f>
        <v>-</v>
      </c>
      <c r="FM32" s="10" t="str">
        <f>[27]RJ1!$D$140</f>
        <v>-</v>
      </c>
      <c r="FN32" s="10">
        <f>SUM(FH32:FM32)</f>
        <v>140626.21</v>
      </c>
      <c r="FO32" s="224"/>
      <c r="FP32" s="224"/>
      <c r="FQ32" s="224"/>
      <c r="FR32" s="224"/>
      <c r="FS32" s="224"/>
      <c r="FT32" s="224"/>
      <c r="FU32" s="224"/>
      <c r="FV32" s="224"/>
      <c r="FW32" s="224"/>
      <c r="FX32" s="224"/>
      <c r="FY32" s="224"/>
      <c r="FZ32" s="224"/>
      <c r="GA32" s="224"/>
      <c r="GB32" s="224"/>
      <c r="GC32" s="148">
        <f t="shared" si="114"/>
        <v>1481457.5941324821</v>
      </c>
      <c r="GD32" s="148">
        <f>AD32+AF32+AH32+AJ32+AL32+AN32+AP32+AR32+BF32+BT32+CH32+CV32+DJ32+DX32+EL32+EZ32+FN32+GB32</f>
        <v>1410768.72</v>
      </c>
      <c r="GE32" s="218"/>
      <c r="GG32" s="196"/>
      <c r="GH32" s="36"/>
      <c r="GI32" s="36"/>
      <c r="GJ32" s="36"/>
    </row>
    <row r="33" spans="1:192" s="5" customFormat="1" ht="12.75" x14ac:dyDescent="0.2">
      <c r="A33" s="261"/>
      <c r="B33" s="15" t="s">
        <v>48</v>
      </c>
      <c r="C33" s="1" t="s">
        <v>10</v>
      </c>
      <c r="D33" s="2">
        <v>38047</v>
      </c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14" t="s">
        <v>11</v>
      </c>
      <c r="V33" s="14" t="s">
        <v>11</v>
      </c>
      <c r="W33" s="14" t="s">
        <v>11</v>
      </c>
      <c r="X33" s="14" t="s">
        <v>11</v>
      </c>
      <c r="Y33" s="14" t="s">
        <v>11</v>
      </c>
      <c r="Z33" s="14" t="s">
        <v>11</v>
      </c>
      <c r="AA33" s="14" t="s">
        <v>11</v>
      </c>
      <c r="AB33" s="10">
        <v>1680656.52</v>
      </c>
      <c r="AC33" s="10">
        <v>2403020.2400000002</v>
      </c>
      <c r="AD33" s="10">
        <v>739553.37</v>
      </c>
      <c r="AE33" s="10">
        <v>3067315.09</v>
      </c>
      <c r="AF33" s="10">
        <v>875256.63</v>
      </c>
      <c r="AG33" s="10">
        <v>4048381.15</v>
      </c>
      <c r="AH33" s="10">
        <v>3973795.63</v>
      </c>
      <c r="AI33" s="10">
        <v>4221693.1399999997</v>
      </c>
      <c r="AJ33" s="10">
        <v>4267103.7</v>
      </c>
      <c r="AK33" s="10">
        <v>3912867.46</v>
      </c>
      <c r="AL33" s="10">
        <v>3954626.59</v>
      </c>
      <c r="AM33" s="10">
        <v>3981866</v>
      </c>
      <c r="AN33" s="10">
        <v>3046505</v>
      </c>
      <c r="AO33" s="10">
        <v>3788497.28</v>
      </c>
      <c r="AP33" s="10">
        <v>2255651.04</v>
      </c>
      <c r="AQ33" s="10">
        <v>3572115.84</v>
      </c>
      <c r="AR33" s="10">
        <v>6270545.1000000006</v>
      </c>
      <c r="AS33" s="112">
        <v>2654179.06</v>
      </c>
      <c r="AT33" s="10">
        <v>571283.17000000004</v>
      </c>
      <c r="AU33" s="77"/>
      <c r="AV33" s="10">
        <v>0</v>
      </c>
      <c r="AW33" s="111">
        <v>0</v>
      </c>
      <c r="AX33" s="10">
        <v>302190.12</v>
      </c>
      <c r="AY33" s="10">
        <f t="shared" si="97"/>
        <v>3527652.35</v>
      </c>
      <c r="AZ33" s="10">
        <v>2651008.38</v>
      </c>
      <c r="BA33" s="10">
        <v>600935.25999999896</v>
      </c>
      <c r="BB33" s="77"/>
      <c r="BC33" s="10">
        <v>0</v>
      </c>
      <c r="BD33" s="10">
        <v>0</v>
      </c>
      <c r="BE33" s="10">
        <v>306757.299999999</v>
      </c>
      <c r="BF33" s="10">
        <f t="shared" si="98"/>
        <v>3558700.9399999976</v>
      </c>
      <c r="BG33" s="10">
        <v>5881416</v>
      </c>
      <c r="BH33" s="10">
        <v>1189010</v>
      </c>
      <c r="BI33" s="10">
        <v>375</v>
      </c>
      <c r="BJ33" s="10">
        <v>0</v>
      </c>
      <c r="BK33" s="10">
        <v>0</v>
      </c>
      <c r="BL33" s="10">
        <v>681008</v>
      </c>
      <c r="BM33" s="10">
        <f t="shared" si="99"/>
        <v>7751809</v>
      </c>
      <c r="BN33" s="10">
        <v>5587848</v>
      </c>
      <c r="BO33" s="10">
        <v>1154970</v>
      </c>
      <c r="BP33" s="10">
        <v>302</v>
      </c>
      <c r="BQ33" s="10">
        <v>0</v>
      </c>
      <c r="BR33" s="10">
        <v>0</v>
      </c>
      <c r="BS33" s="10">
        <v>571969</v>
      </c>
      <c r="BT33" s="10">
        <f t="shared" si="105"/>
        <v>7315089</v>
      </c>
      <c r="BU33" s="10">
        <v>6120117.1600000001</v>
      </c>
      <c r="BV33" s="10">
        <v>1207062.6200000001</v>
      </c>
      <c r="BW33" s="10">
        <v>1370.57</v>
      </c>
      <c r="BX33" s="10">
        <v>0</v>
      </c>
      <c r="BY33" s="10">
        <v>0</v>
      </c>
      <c r="BZ33" s="10">
        <v>726286.16999999993</v>
      </c>
      <c r="CA33" s="10">
        <f t="shared" si="65"/>
        <v>8054836.5200000005</v>
      </c>
      <c r="CB33" s="10">
        <v>6091358.8899999997</v>
      </c>
      <c r="CC33" s="10">
        <v>1096638.53</v>
      </c>
      <c r="CD33" s="10">
        <v>1127.6600000000001</v>
      </c>
      <c r="CE33" s="10">
        <v>0</v>
      </c>
      <c r="CF33" s="10">
        <v>0</v>
      </c>
      <c r="CG33" s="10">
        <v>647477.66</v>
      </c>
      <c r="CH33" s="10">
        <f t="shared" si="106"/>
        <v>7836602.7400000002</v>
      </c>
      <c r="CI33" s="10">
        <v>6048637.9208000004</v>
      </c>
      <c r="CJ33" s="10">
        <v>1165097.3339400601</v>
      </c>
      <c r="CK33" s="10">
        <v>1597.69792512</v>
      </c>
      <c r="CL33" s="10">
        <v>41.900320000000001</v>
      </c>
      <c r="CM33" s="10">
        <v>0</v>
      </c>
      <c r="CN33" s="10">
        <v>693372.7580879617</v>
      </c>
      <c r="CO33" s="10">
        <f t="shared" si="107"/>
        <v>7908747.6110731419</v>
      </c>
      <c r="CP33" s="10">
        <v>6095620.3799999999</v>
      </c>
      <c r="CQ33" s="10">
        <v>1147744.24</v>
      </c>
      <c r="CR33" s="10">
        <v>2001.01</v>
      </c>
      <c r="CS33" s="10">
        <v>0</v>
      </c>
      <c r="CT33" s="10">
        <v>0</v>
      </c>
      <c r="CU33" s="10">
        <v>719602.93000002916</v>
      </c>
      <c r="CV33" s="10">
        <f t="shared" si="108"/>
        <v>7964968.5600000294</v>
      </c>
      <c r="CW33" s="10">
        <f>'[29]2020'!F12</f>
        <v>7742527.0941270478</v>
      </c>
      <c r="CX33" s="10">
        <f>'[29]2020'!G12</f>
        <v>1182180.4594170647</v>
      </c>
      <c r="CY33" s="10">
        <f>'[29]2020'!H12</f>
        <v>1643.947075584</v>
      </c>
      <c r="CZ33" s="10">
        <f>'[29]2020'!I12</f>
        <v>73.908384000000012</v>
      </c>
      <c r="DA33" s="10">
        <f>'[29]2020'!J12</f>
        <v>0</v>
      </c>
      <c r="DB33" s="10">
        <f>'[29]2020'!K12</f>
        <v>730375.28297687869</v>
      </c>
      <c r="DC33" s="10">
        <f t="shared" si="109"/>
        <v>9656800.6919805761</v>
      </c>
      <c r="DD33" s="10">
        <f>'[29]2020'!M12</f>
        <v>7609406.6600000001</v>
      </c>
      <c r="DE33" s="10">
        <f>'[29]2020'!N12</f>
        <v>1232881.5900000001</v>
      </c>
      <c r="DF33" s="10">
        <f>'[29]2020'!O12</f>
        <v>1598.03</v>
      </c>
      <c r="DG33" s="10">
        <f>'[29]2020'!P12</f>
        <v>0</v>
      </c>
      <c r="DH33" s="10">
        <f>'[29]2020'!Q12</f>
        <v>0</v>
      </c>
      <c r="DI33" s="10">
        <f>'[29]2020'!R12</f>
        <v>742923.01</v>
      </c>
      <c r="DJ33" s="10">
        <f>'[29]2020'!S12</f>
        <v>9586809.2899999991</v>
      </c>
      <c r="DK33" s="10">
        <f>'[30]2021'!F12</f>
        <v>8684589.8147660401</v>
      </c>
      <c r="DL33" s="10">
        <f>'[30]2021'!G12</f>
        <v>1254602.7859722399</v>
      </c>
      <c r="DM33" s="10">
        <f>'[30]2021'!H12</f>
        <v>1695.5457674239999</v>
      </c>
      <c r="DN33" s="10">
        <f>'[30]2021'!I12</f>
        <v>0</v>
      </c>
      <c r="DO33" s="10">
        <f>'[30]2021'!J12</f>
        <v>0</v>
      </c>
      <c r="DP33" s="10">
        <f>'[30]2021'!K12</f>
        <v>647080.39605978003</v>
      </c>
      <c r="DQ33" s="10">
        <f t="shared" si="110"/>
        <v>10587968.542565484</v>
      </c>
      <c r="DR33" s="10">
        <f>'[30]2021'!M12</f>
        <v>8067926.5300000003</v>
      </c>
      <c r="DS33" s="10">
        <f>'[30]2021'!N12</f>
        <v>1284573.71</v>
      </c>
      <c r="DT33" s="10">
        <f>'[30]2021'!O12</f>
        <v>1614.68</v>
      </c>
      <c r="DU33" s="10">
        <f>'[30]2021'!P12</f>
        <v>0</v>
      </c>
      <c r="DV33" s="10">
        <f>'[30]2021'!Q12</f>
        <v>0</v>
      </c>
      <c r="DW33" s="10">
        <f>'[30]2021'!R12</f>
        <v>718473.22</v>
      </c>
      <c r="DX33" s="10">
        <f t="shared" si="111"/>
        <v>10072588.140000001</v>
      </c>
      <c r="DY33" s="10">
        <v>10758348</v>
      </c>
      <c r="DZ33" s="10">
        <v>1230199</v>
      </c>
      <c r="EA33" s="10">
        <v>1869</v>
      </c>
      <c r="EB33" s="10" t="s">
        <v>160</v>
      </c>
      <c r="EC33" s="10" t="s">
        <v>158</v>
      </c>
      <c r="ED33" s="10">
        <v>790442</v>
      </c>
      <c r="EE33" s="10">
        <f t="shared" si="100"/>
        <v>12780858</v>
      </c>
      <c r="EF33" s="10">
        <v>10891254</v>
      </c>
      <c r="EG33" s="10">
        <v>1274271</v>
      </c>
      <c r="EH33" s="10">
        <v>1780</v>
      </c>
      <c r="EI33" s="10" t="s">
        <v>160</v>
      </c>
      <c r="EJ33" s="10" t="s">
        <v>158</v>
      </c>
      <c r="EK33" s="10">
        <v>808730</v>
      </c>
      <c r="EL33" s="10">
        <f t="shared" si="68"/>
        <v>12976035</v>
      </c>
      <c r="EM33" s="10">
        <f>[26]RJ!$E$60</f>
        <v>13109466.119999999</v>
      </c>
      <c r="EN33" s="10">
        <f>[26]RJ!$E$61</f>
        <v>1327932.31</v>
      </c>
      <c r="EO33" s="10">
        <f>[26]RJ!$E$62</f>
        <v>2003.29</v>
      </c>
      <c r="EP33" s="10">
        <f>[26]RJ!$E$63</f>
        <v>48208.3</v>
      </c>
      <c r="EQ33" s="10">
        <f>[26]RJ!$E$64</f>
        <v>0</v>
      </c>
      <c r="ER33" s="10">
        <f>[26]RJ!$E$65</f>
        <v>1049499.18</v>
      </c>
      <c r="ES33" s="10">
        <f t="shared" si="101"/>
        <v>15537109.199999999</v>
      </c>
      <c r="ET33" s="10">
        <f>[26]RJ!$E$67</f>
        <v>12923069.199999999</v>
      </c>
      <c r="EU33" s="10">
        <f>[26]RJ!$E$68</f>
        <v>1290558.6000000001</v>
      </c>
      <c r="EV33" s="10">
        <f>[26]RJ!$E$69</f>
        <v>1774.36</v>
      </c>
      <c r="EW33" s="10">
        <f>[26]RJ!$E$70</f>
        <v>48208.3</v>
      </c>
      <c r="EX33" s="10">
        <f>[26]RJ!$E$71</f>
        <v>0</v>
      </c>
      <c r="EY33" s="10">
        <f>[26]RJ!$E$72</f>
        <v>875500.56</v>
      </c>
      <c r="EZ33" s="10">
        <f t="shared" si="102"/>
        <v>15139111.02</v>
      </c>
      <c r="FA33" s="10">
        <f>[27]RJ1!$D$58</f>
        <v>13912625.68</v>
      </c>
      <c r="FB33" s="10">
        <f>[27]RJ1!$D$59</f>
        <v>1379827.28</v>
      </c>
      <c r="FC33" s="10">
        <f>[27]RJ1!$D$60</f>
        <v>2107.19</v>
      </c>
      <c r="FD33" s="10">
        <f>[27]RJ1!$D$61</f>
        <v>121699.23</v>
      </c>
      <c r="FE33" s="10" t="str">
        <f>[27]RJ1!$D$62</f>
        <v>-</v>
      </c>
      <c r="FF33" s="10">
        <f>[27]RJ1!$D$63</f>
        <v>1213163.6599999999</v>
      </c>
      <c r="FG33" s="10">
        <f t="shared" si="103"/>
        <v>16629423.039999999</v>
      </c>
      <c r="FH33" s="10">
        <f>[27]RJ1!$D$65</f>
        <v>14049268.869999999</v>
      </c>
      <c r="FI33" s="10">
        <f>[27]RJ1!$D$66</f>
        <v>1317728.6100000001</v>
      </c>
      <c r="FJ33" s="10">
        <f>[27]RJ1!$D$67</f>
        <v>1866.38</v>
      </c>
      <c r="FK33" s="10">
        <f>[27]RJ1!$D$68</f>
        <v>121699.23</v>
      </c>
      <c r="FL33" s="10" t="str">
        <f>[27]RJ1!$D$69</f>
        <v>-</v>
      </c>
      <c r="FM33" s="10">
        <f>[27]RJ1!$D$70</f>
        <v>1053079.05</v>
      </c>
      <c r="FN33" s="10">
        <f t="shared" si="104"/>
        <v>16543642.140000001</v>
      </c>
      <c r="FO33" s="10">
        <f>[28]RJ!R14</f>
        <v>13225632.260000004</v>
      </c>
      <c r="FP33" s="10">
        <f>[28]RJ!S14</f>
        <v>1517903.67</v>
      </c>
      <c r="FQ33" s="10"/>
      <c r="FR33" s="10">
        <f>[28]RJ!Q14</f>
        <v>4594.18</v>
      </c>
      <c r="FS33" s="10"/>
      <c r="FT33" s="10">
        <f>[28]RJ!T14</f>
        <v>2413663.9199999981</v>
      </c>
      <c r="FU33" s="10">
        <f t="shared" si="112"/>
        <v>17161794.030000001</v>
      </c>
      <c r="FV33" s="10">
        <f>[28]RJ!V14</f>
        <v>13142450.179999983</v>
      </c>
      <c r="FW33" s="10">
        <f>[28]RJ!W14</f>
        <v>1458558.0699999991</v>
      </c>
      <c r="FX33" s="10"/>
      <c r="FY33" s="10">
        <f>[28]RJ!U14</f>
        <v>4594.18</v>
      </c>
      <c r="FZ33" s="10"/>
      <c r="GA33" s="10">
        <f>[28]RJ!X14</f>
        <v>2119459.830000001</v>
      </c>
      <c r="GB33" s="10">
        <f t="shared" si="113"/>
        <v>16725062.259999983</v>
      </c>
      <c r="GC33" s="148">
        <f t="shared" si="114"/>
        <v>138592755.18561921</v>
      </c>
      <c r="GD33" s="148">
        <f t="shared" si="115"/>
        <v>134782302.67000002</v>
      </c>
      <c r="GE33" s="218"/>
      <c r="GG33" s="196"/>
      <c r="GH33" s="36"/>
      <c r="GI33" s="36"/>
      <c r="GJ33" s="36"/>
    </row>
    <row r="34" spans="1:192" s="5" customFormat="1" ht="12.75" x14ac:dyDescent="0.2">
      <c r="A34" s="261"/>
      <c r="B34" s="15" t="s">
        <v>49</v>
      </c>
      <c r="C34" s="1" t="s">
        <v>10</v>
      </c>
      <c r="D34" s="2">
        <v>38047</v>
      </c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14" t="s">
        <v>11</v>
      </c>
      <c r="V34" s="14" t="s">
        <v>11</v>
      </c>
      <c r="W34" s="14" t="s">
        <v>11</v>
      </c>
      <c r="X34" s="14" t="s">
        <v>11</v>
      </c>
      <c r="Y34" s="14" t="s">
        <v>11</v>
      </c>
      <c r="Z34" s="14" t="s">
        <v>11</v>
      </c>
      <c r="AA34" s="14" t="s">
        <v>11</v>
      </c>
      <c r="AB34" s="10">
        <v>443732.14</v>
      </c>
      <c r="AC34" s="10">
        <v>169778.32</v>
      </c>
      <c r="AD34" s="10">
        <v>157605.54</v>
      </c>
      <c r="AE34" s="10">
        <v>174193.18</v>
      </c>
      <c r="AF34" s="10">
        <v>174057.23</v>
      </c>
      <c r="AG34" s="10">
        <v>177401.67</v>
      </c>
      <c r="AH34" s="10">
        <v>186221.83</v>
      </c>
      <c r="AI34" s="10">
        <v>280839.08</v>
      </c>
      <c r="AJ34" s="10">
        <v>277926.28000000003</v>
      </c>
      <c r="AK34" s="10">
        <v>258733.38</v>
      </c>
      <c r="AL34" s="10">
        <v>270401.84999999998</v>
      </c>
      <c r="AM34" s="10">
        <v>280101</v>
      </c>
      <c r="AN34" s="10">
        <v>239428</v>
      </c>
      <c r="AO34" s="10">
        <v>271337.94</v>
      </c>
      <c r="AP34" s="10">
        <v>203684.94999999995</v>
      </c>
      <c r="AQ34" s="10">
        <v>286186.74</v>
      </c>
      <c r="AR34" s="10">
        <v>440518.80000000005</v>
      </c>
      <c r="AS34" s="112">
        <v>218093.25</v>
      </c>
      <c r="AT34" s="10">
        <v>0</v>
      </c>
      <c r="AU34" s="77"/>
      <c r="AV34" s="10">
        <v>0</v>
      </c>
      <c r="AW34" s="111">
        <v>0</v>
      </c>
      <c r="AX34" s="10">
        <v>86393.62</v>
      </c>
      <c r="AY34" s="10">
        <f t="shared" si="97"/>
        <v>304486.87</v>
      </c>
      <c r="AZ34" s="10">
        <v>204530.09</v>
      </c>
      <c r="BA34" s="10">
        <v>0</v>
      </c>
      <c r="BB34" s="77"/>
      <c r="BC34" s="10">
        <v>0</v>
      </c>
      <c r="BD34" s="10">
        <v>0</v>
      </c>
      <c r="BE34" s="10">
        <v>98561.110000000102</v>
      </c>
      <c r="BF34" s="10">
        <f t="shared" si="98"/>
        <v>303091.20000000007</v>
      </c>
      <c r="BG34" s="10">
        <v>413032</v>
      </c>
      <c r="BH34" s="10">
        <v>0</v>
      </c>
      <c r="BI34" s="10">
        <v>0</v>
      </c>
      <c r="BJ34" s="10">
        <v>0</v>
      </c>
      <c r="BK34" s="10">
        <v>0</v>
      </c>
      <c r="BL34" s="10">
        <v>185943</v>
      </c>
      <c r="BM34" s="10">
        <f t="shared" si="99"/>
        <v>598975</v>
      </c>
      <c r="BN34" s="10">
        <v>415364</v>
      </c>
      <c r="BO34" s="10">
        <v>0</v>
      </c>
      <c r="BP34" s="10">
        <v>0</v>
      </c>
      <c r="BQ34" s="10">
        <v>0</v>
      </c>
      <c r="BR34" s="10">
        <v>0</v>
      </c>
      <c r="BS34" s="10">
        <v>178543</v>
      </c>
      <c r="BT34" s="10">
        <f t="shared" si="105"/>
        <v>593907</v>
      </c>
      <c r="BU34" s="10">
        <v>459527.61</v>
      </c>
      <c r="BV34" s="10">
        <v>0</v>
      </c>
      <c r="BW34" s="10">
        <v>0</v>
      </c>
      <c r="BX34" s="10">
        <v>0</v>
      </c>
      <c r="BY34" s="10">
        <v>0</v>
      </c>
      <c r="BZ34" s="10">
        <v>198402.95</v>
      </c>
      <c r="CA34" s="10">
        <f t="shared" si="65"/>
        <v>657930.56000000006</v>
      </c>
      <c r="CB34" s="10">
        <v>464847.9</v>
      </c>
      <c r="CC34" s="10">
        <v>0</v>
      </c>
      <c r="CD34" s="10">
        <v>0</v>
      </c>
      <c r="CE34" s="10">
        <v>0</v>
      </c>
      <c r="CF34" s="10">
        <v>0</v>
      </c>
      <c r="CG34" s="10">
        <v>182427.8</v>
      </c>
      <c r="CH34" s="10">
        <f t="shared" si="106"/>
        <v>647275.69999999995</v>
      </c>
      <c r="CI34" s="10">
        <v>584346.57195999997</v>
      </c>
      <c r="CJ34" s="10">
        <v>0</v>
      </c>
      <c r="CK34" s="10">
        <v>0</v>
      </c>
      <c r="CL34" s="10">
        <v>0</v>
      </c>
      <c r="CM34" s="10">
        <v>0</v>
      </c>
      <c r="CN34" s="10">
        <v>247059.92300000001</v>
      </c>
      <c r="CO34" s="10">
        <f t="shared" si="107"/>
        <v>831406.49496000004</v>
      </c>
      <c r="CP34" s="10">
        <v>580709.18000000005</v>
      </c>
      <c r="CQ34" s="10">
        <v>0</v>
      </c>
      <c r="CR34" s="10">
        <v>0</v>
      </c>
      <c r="CS34" s="10">
        <v>0</v>
      </c>
      <c r="CT34" s="10">
        <v>0</v>
      </c>
      <c r="CU34" s="10">
        <v>232534.78</v>
      </c>
      <c r="CV34" s="10">
        <f t="shared" si="108"/>
        <v>813243.96000000008</v>
      </c>
      <c r="CW34" s="10">
        <f>'[29]2020'!F13</f>
        <v>665035.92000419996</v>
      </c>
      <c r="CX34" s="10">
        <f>'[29]2020'!G13</f>
        <v>0</v>
      </c>
      <c r="CY34" s="10">
        <f>'[29]2020'!H13</f>
        <v>4445.28</v>
      </c>
      <c r="CZ34" s="10">
        <f>'[29]2020'!I13</f>
        <v>0</v>
      </c>
      <c r="DA34" s="10">
        <f>'[29]2020'!J13</f>
        <v>0</v>
      </c>
      <c r="DB34" s="10">
        <f>'[29]2020'!K13</f>
        <v>262496.79904731998</v>
      </c>
      <c r="DC34" s="10">
        <f t="shared" si="109"/>
        <v>931977.9990515199</v>
      </c>
      <c r="DD34" s="10">
        <f>'[29]2020'!M13</f>
        <v>659123.54</v>
      </c>
      <c r="DE34" s="10">
        <f>'[29]2020'!N13</f>
        <v>0</v>
      </c>
      <c r="DF34" s="10">
        <f>'[29]2020'!O13</f>
        <v>0</v>
      </c>
      <c r="DG34" s="10">
        <f>'[29]2020'!P13</f>
        <v>0</v>
      </c>
      <c r="DH34" s="10">
        <f>'[29]2020'!Q13</f>
        <v>0</v>
      </c>
      <c r="DI34" s="10">
        <f>'[29]2020'!R13</f>
        <v>260786.29</v>
      </c>
      <c r="DJ34" s="10">
        <f>'[29]2020'!S13</f>
        <v>919909.83000000007</v>
      </c>
      <c r="DK34" s="10">
        <f>'[30]2021'!F13</f>
        <v>642222.32237208297</v>
      </c>
      <c r="DL34" s="10">
        <f>'[30]2021'!G13</f>
        <v>0</v>
      </c>
      <c r="DM34" s="10">
        <f>'[30]2021'!H13</f>
        <v>4585.2479999999996</v>
      </c>
      <c r="DN34" s="10">
        <f>'[30]2021'!I13</f>
        <v>0</v>
      </c>
      <c r="DO34" s="10">
        <f>'[30]2021'!J13</f>
        <v>0</v>
      </c>
      <c r="DP34" s="10">
        <f>'[30]2021'!K13</f>
        <v>270763.72279351199</v>
      </c>
      <c r="DQ34" s="10">
        <f t="shared" si="110"/>
        <v>917571.29316559504</v>
      </c>
      <c r="DR34" s="10">
        <f>'[30]2021'!M13</f>
        <v>643442.28</v>
      </c>
      <c r="DS34" s="10">
        <f>'[30]2021'!N13</f>
        <v>0</v>
      </c>
      <c r="DT34" s="10">
        <f>'[30]2021'!O13</f>
        <v>0</v>
      </c>
      <c r="DU34" s="10">
        <f>'[30]2021'!P13</f>
        <v>0</v>
      </c>
      <c r="DV34" s="10">
        <f>'[30]2021'!Q13</f>
        <v>0</v>
      </c>
      <c r="DW34" s="10">
        <f>'[30]2021'!R13</f>
        <v>260037.26</v>
      </c>
      <c r="DX34" s="10">
        <f t="shared" si="111"/>
        <v>903479.54</v>
      </c>
      <c r="DY34" s="10">
        <v>685670</v>
      </c>
      <c r="DZ34" s="10" t="s">
        <v>161</v>
      </c>
      <c r="EA34" s="10">
        <v>5055</v>
      </c>
      <c r="EB34" s="10" t="s">
        <v>160</v>
      </c>
      <c r="EC34" s="10" t="s">
        <v>158</v>
      </c>
      <c r="ED34" s="10">
        <v>298480</v>
      </c>
      <c r="EE34" s="10">
        <f t="shared" si="100"/>
        <v>989205</v>
      </c>
      <c r="EF34" s="10">
        <v>665916</v>
      </c>
      <c r="EG34" s="10" t="s">
        <v>161</v>
      </c>
      <c r="EH34" s="10" t="s">
        <v>159</v>
      </c>
      <c r="EI34" s="10" t="s">
        <v>160</v>
      </c>
      <c r="EJ34" s="10" t="s">
        <v>158</v>
      </c>
      <c r="EK34" s="10">
        <v>279927</v>
      </c>
      <c r="EL34" s="10">
        <f t="shared" si="68"/>
        <v>945843</v>
      </c>
      <c r="EM34" s="10">
        <f>[26]RJ!$E$4</f>
        <v>755801.67</v>
      </c>
      <c r="EN34" s="10">
        <f>[26]RJ!$E$5</f>
        <v>0</v>
      </c>
      <c r="EO34" s="10">
        <f>[26]RJ!$E$6</f>
        <v>18915.21</v>
      </c>
      <c r="EP34" s="10">
        <f>[26]RJ!$E$7</f>
        <v>0</v>
      </c>
      <c r="EQ34" s="10">
        <f>[26]RJ!$E$8</f>
        <v>0</v>
      </c>
      <c r="ER34" s="10">
        <f>[26]RJ!$E$9</f>
        <v>302772.08</v>
      </c>
      <c r="ES34" s="10">
        <f t="shared" si="101"/>
        <v>1077488.96</v>
      </c>
      <c r="ET34" s="10">
        <f>[26]RJ!$E$11</f>
        <v>719732.14</v>
      </c>
      <c r="EU34" s="10">
        <f>[26]RJ!$E$12</f>
        <v>0</v>
      </c>
      <c r="EV34" s="10">
        <f>[26]RJ!$E$13</f>
        <v>18689.54</v>
      </c>
      <c r="EW34" s="10">
        <f>[26]RJ!$E$14</f>
        <v>0</v>
      </c>
      <c r="EX34" s="10">
        <f>[26]RJ!$E$15</f>
        <v>0</v>
      </c>
      <c r="EY34" s="10">
        <f>[26]RJ!$E$16</f>
        <v>300954.73</v>
      </c>
      <c r="EZ34" s="10">
        <f t="shared" si="102"/>
        <v>1039376.41</v>
      </c>
      <c r="FA34" s="10">
        <f>[27]RJ1!$D$2</f>
        <v>804277.63</v>
      </c>
      <c r="FB34" s="10" t="str">
        <f>[27]RJ1!$D$10</f>
        <v>-</v>
      </c>
      <c r="FC34" s="10">
        <f>[27]RJ1!$D$4</f>
        <v>12925.97</v>
      </c>
      <c r="FD34" s="10" t="str">
        <f>[27]RJ1!$D$5</f>
        <v>-</v>
      </c>
      <c r="FE34" s="10" t="str">
        <f>[27]RJ1!$D$6</f>
        <v>-</v>
      </c>
      <c r="FF34" s="10">
        <f>[27]RJ1!$D$7</f>
        <v>323879.55</v>
      </c>
      <c r="FG34" s="10">
        <f>SUM(FA34:FF34)</f>
        <v>1141083.1499999999</v>
      </c>
      <c r="FH34" s="10">
        <f>[27]RJ1!$D$9</f>
        <v>833439.99</v>
      </c>
      <c r="FI34" s="10" t="str">
        <f>[27]RJ1!$D$10</f>
        <v>-</v>
      </c>
      <c r="FJ34" s="10">
        <f>[27]RJ1!$D$11</f>
        <v>13472.3</v>
      </c>
      <c r="FK34" s="10" t="str">
        <f>[27]RJ1!$D$12</f>
        <v>-</v>
      </c>
      <c r="FL34" s="10" t="str">
        <f>[27]RJ1!$D$13</f>
        <v>-</v>
      </c>
      <c r="FM34" s="10">
        <f>[27]RJ1!$D$14</f>
        <v>323735.11</v>
      </c>
      <c r="FN34" s="10">
        <f t="shared" ref="FN34:FN91" si="116">SUM(FH34:FM34)</f>
        <v>1170647.3999999999</v>
      </c>
      <c r="FO34" s="10">
        <f>[28]RJ!R15</f>
        <v>874739.08999999927</v>
      </c>
      <c r="FP34" s="10">
        <f>[28]RJ!S15</f>
        <v>0</v>
      </c>
      <c r="FQ34" s="10"/>
      <c r="FR34" s="10">
        <f>[28]RJ!Q15</f>
        <v>0</v>
      </c>
      <c r="FS34" s="10"/>
      <c r="FT34" s="10">
        <f>[28]RJ!T15</f>
        <v>339133.27000000014</v>
      </c>
      <c r="FU34" s="10">
        <f t="shared" si="112"/>
        <v>1213872.3599999994</v>
      </c>
      <c r="FV34" s="10">
        <f>[28]RJ!V15</f>
        <v>923264.24999999988</v>
      </c>
      <c r="FW34" s="10">
        <f>[28]RJ!W15</f>
        <v>0</v>
      </c>
      <c r="FX34" s="10"/>
      <c r="FY34" s="10">
        <f>[28]RJ!U15</f>
        <v>0</v>
      </c>
      <c r="FZ34" s="10"/>
      <c r="GA34" s="10">
        <f>[28]RJ!X15</f>
        <v>341216.0900000002</v>
      </c>
      <c r="GB34" s="10">
        <f t="shared" si="113"/>
        <v>1264480.3400000001</v>
      </c>
      <c r="GC34" s="148">
        <f t="shared" si="114"/>
        <v>10562568.997177115</v>
      </c>
      <c r="GD34" s="148">
        <f t="shared" si="115"/>
        <v>10994831</v>
      </c>
      <c r="GE34" s="218"/>
      <c r="GG34" s="196"/>
      <c r="GH34" s="36"/>
      <c r="GI34" s="36"/>
      <c r="GJ34" s="36"/>
    </row>
    <row r="35" spans="1:192" s="5" customFormat="1" ht="12.75" x14ac:dyDescent="0.2">
      <c r="A35" s="261"/>
      <c r="B35" s="15" t="s">
        <v>25</v>
      </c>
      <c r="C35" s="1" t="s">
        <v>10</v>
      </c>
      <c r="D35" s="2">
        <v>38047</v>
      </c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14" t="s">
        <v>11</v>
      </c>
      <c r="V35" s="14" t="s">
        <v>11</v>
      </c>
      <c r="W35" s="14" t="s">
        <v>11</v>
      </c>
      <c r="X35" s="14" t="s">
        <v>11</v>
      </c>
      <c r="Y35" s="14" t="s">
        <v>11</v>
      </c>
      <c r="Z35" s="14" t="s">
        <v>11</v>
      </c>
      <c r="AA35" s="14" t="s">
        <v>11</v>
      </c>
      <c r="AB35" s="10">
        <v>2336334.0299999998</v>
      </c>
      <c r="AC35" s="10">
        <v>20850886.579999998</v>
      </c>
      <c r="AD35" s="10">
        <v>1189871.05</v>
      </c>
      <c r="AE35" s="10">
        <v>25363876.940000001</v>
      </c>
      <c r="AF35" s="10">
        <v>3204078.39</v>
      </c>
      <c r="AG35" s="10">
        <v>24011159.370000001</v>
      </c>
      <c r="AH35" s="10">
        <v>23881773.719999999</v>
      </c>
      <c r="AI35" s="10">
        <v>23903079.149999999</v>
      </c>
      <c r="AJ35" s="10">
        <v>23892988.649999999</v>
      </c>
      <c r="AK35" s="10">
        <v>21860556.73</v>
      </c>
      <c r="AL35" s="10">
        <v>22017496</v>
      </c>
      <c r="AM35" s="10">
        <v>22445041</v>
      </c>
      <c r="AN35" s="10">
        <v>15907201</v>
      </c>
      <c r="AO35" s="10">
        <v>22037382.800000001</v>
      </c>
      <c r="AP35" s="10">
        <v>9278631.1699999999</v>
      </c>
      <c r="AQ35" s="10">
        <v>15510646.800000001</v>
      </c>
      <c r="AR35" s="10">
        <v>36540949.369999997</v>
      </c>
      <c r="AS35" s="112">
        <v>14090763.210000001</v>
      </c>
      <c r="AT35" s="10">
        <v>1361384.8</v>
      </c>
      <c r="AU35" s="77"/>
      <c r="AV35" s="10">
        <v>94.17</v>
      </c>
      <c r="AW35" s="111">
        <v>554110.01</v>
      </c>
      <c r="AX35" s="10">
        <v>96896.93</v>
      </c>
      <c r="AY35" s="10">
        <f t="shared" si="97"/>
        <v>16103249.120000001</v>
      </c>
      <c r="AZ35" s="10">
        <v>14203703.83</v>
      </c>
      <c r="BA35" s="10">
        <v>1262524.4700000002</v>
      </c>
      <c r="BB35" s="77"/>
      <c r="BC35" s="10">
        <v>0</v>
      </c>
      <c r="BD35" s="10">
        <v>564373.21</v>
      </c>
      <c r="BE35" s="10">
        <v>102174.96</v>
      </c>
      <c r="BF35" s="10">
        <f t="shared" si="98"/>
        <v>16132776.470000003</v>
      </c>
      <c r="BG35" s="10">
        <v>33012014</v>
      </c>
      <c r="BH35" s="10">
        <v>3400097</v>
      </c>
      <c r="BI35" s="10">
        <v>9276</v>
      </c>
      <c r="BJ35" s="10">
        <v>94</v>
      </c>
      <c r="BK35" s="10">
        <v>1113522</v>
      </c>
      <c r="BL35" s="10">
        <v>254525</v>
      </c>
      <c r="BM35" s="10">
        <f t="shared" si="99"/>
        <v>37789528</v>
      </c>
      <c r="BN35" s="10">
        <v>31437372</v>
      </c>
      <c r="BO35" s="10">
        <v>3316522</v>
      </c>
      <c r="BP35" s="10">
        <v>8687</v>
      </c>
      <c r="BQ35" s="10">
        <v>0</v>
      </c>
      <c r="BR35" s="10">
        <v>1165335</v>
      </c>
      <c r="BS35" s="10">
        <v>238270</v>
      </c>
      <c r="BT35" s="10">
        <f t="shared" si="105"/>
        <v>36166186</v>
      </c>
      <c r="BU35" s="10">
        <v>34026288.240000002</v>
      </c>
      <c r="BV35" s="10">
        <v>3403710.64</v>
      </c>
      <c r="BW35" s="10">
        <v>9377.98</v>
      </c>
      <c r="BX35" s="10">
        <v>3937.27</v>
      </c>
      <c r="BY35" s="10">
        <v>1309451.71</v>
      </c>
      <c r="BZ35" s="10">
        <v>282688.05999999994</v>
      </c>
      <c r="CA35" s="10">
        <f t="shared" si="65"/>
        <v>39035453.900000006</v>
      </c>
      <c r="CB35" s="10">
        <v>33937921</v>
      </c>
      <c r="CC35" s="10">
        <v>3439539.81</v>
      </c>
      <c r="CD35" s="10">
        <v>6859.43</v>
      </c>
      <c r="CE35" s="10">
        <v>0</v>
      </c>
      <c r="CF35" s="10">
        <v>1417533.9</v>
      </c>
      <c r="CG35" s="10">
        <v>271191.43</v>
      </c>
      <c r="CH35" s="10">
        <f t="shared" si="106"/>
        <v>39073045.57</v>
      </c>
      <c r="CI35" s="10">
        <v>33669854.656893916</v>
      </c>
      <c r="CJ35" s="10">
        <v>3515117.6068327799</v>
      </c>
      <c r="CK35" s="10">
        <v>10149.99727016</v>
      </c>
      <c r="CL35" s="10">
        <v>4114.45</v>
      </c>
      <c r="CM35" s="10">
        <v>1524764.2785759999</v>
      </c>
      <c r="CN35" s="10">
        <v>273429.31</v>
      </c>
      <c r="CO35" s="10">
        <f t="shared" si="107"/>
        <v>38997430.299572863</v>
      </c>
      <c r="CP35" s="10">
        <v>33699236.479999997</v>
      </c>
      <c r="CQ35" s="10">
        <v>3502908.81</v>
      </c>
      <c r="CR35" s="10">
        <v>11942.08</v>
      </c>
      <c r="CS35" s="10">
        <v>0</v>
      </c>
      <c r="CT35" s="10">
        <v>1489924.4</v>
      </c>
      <c r="CU35" s="10">
        <v>265956.11</v>
      </c>
      <c r="CV35" s="10">
        <f t="shared" si="108"/>
        <v>38969967.879999995</v>
      </c>
      <c r="CW35" s="10">
        <f>'[29]2020'!F14</f>
        <v>35855734.419999994</v>
      </c>
      <c r="CX35" s="10">
        <f>'[29]2020'!G14</f>
        <v>3881349.8966332851</v>
      </c>
      <c r="CY35" s="10">
        <f>'[29]2020'!H14</f>
        <v>10522.608924612001</v>
      </c>
      <c r="CZ35" s="10">
        <f>'[29]2020'!I14</f>
        <v>4233.5534384000002</v>
      </c>
      <c r="DA35" s="10">
        <f>'[29]2020'!J14</f>
        <v>1568939.092023029</v>
      </c>
      <c r="DB35" s="10">
        <f>'[29]2020'!K14</f>
        <v>302346.55314301973</v>
      </c>
      <c r="DC35" s="10">
        <f t="shared" si="109"/>
        <v>41623126.124162339</v>
      </c>
      <c r="DD35" s="10">
        <f>'[29]2020'!M14</f>
        <v>35673550.189999998</v>
      </c>
      <c r="DE35" s="10">
        <f>'[29]2020'!N14</f>
        <v>3747224.42</v>
      </c>
      <c r="DF35" s="10">
        <f>'[29]2020'!O14</f>
        <v>9363.2899999999991</v>
      </c>
      <c r="DG35" s="10">
        <f>'[29]2020'!P14</f>
        <v>0</v>
      </c>
      <c r="DH35" s="10">
        <f>'[29]2020'!Q14</f>
        <v>1626498.69</v>
      </c>
      <c r="DI35" s="10">
        <f>'[29]2020'!R14</f>
        <v>277210.3</v>
      </c>
      <c r="DJ35" s="10">
        <f>'[29]2020'!S14</f>
        <v>41333846.889999993</v>
      </c>
      <c r="DK35" s="10">
        <f>'[30]2021'!F14</f>
        <v>37121000.129623003</v>
      </c>
      <c r="DL35" s="10">
        <f>'[30]2021'!G14</f>
        <v>3344814.3333057798</v>
      </c>
      <c r="DM35" s="10">
        <f>'[30]2021'!H14</f>
        <v>9721.2613900319993</v>
      </c>
      <c r="DN35" s="10">
        <f>'[30]2021'!I14</f>
        <v>790.14031999999997</v>
      </c>
      <c r="DO35" s="10">
        <f>'[30]2021'!J14</f>
        <v>1618185.0295778101</v>
      </c>
      <c r="DP35" s="10">
        <f>'[30]2021'!K14</f>
        <v>315786.12703232397</v>
      </c>
      <c r="DQ35" s="10">
        <f t="shared" si="110"/>
        <v>42410297.021248952</v>
      </c>
      <c r="DR35" s="10">
        <f>'[30]2021'!M14</f>
        <v>34032472.480000004</v>
      </c>
      <c r="DS35" s="10">
        <f>'[30]2021'!N14</f>
        <v>3490151.03</v>
      </c>
      <c r="DT35" s="10">
        <f>'[30]2021'!O14</f>
        <v>9728.06</v>
      </c>
      <c r="DU35" s="10">
        <f>'[30]2021'!P14</f>
        <v>0</v>
      </c>
      <c r="DV35" s="10">
        <f>'[30]2021'!Q14</f>
        <v>1618087.96</v>
      </c>
      <c r="DW35" s="10">
        <f>'[30]2021'!R14</f>
        <v>339798.31</v>
      </c>
      <c r="DX35" s="10">
        <f t="shared" si="111"/>
        <v>39490237.840000011</v>
      </c>
      <c r="DY35" s="10">
        <v>42756350</v>
      </c>
      <c r="DZ35" s="10">
        <v>3934241</v>
      </c>
      <c r="EA35" s="10">
        <v>10989</v>
      </c>
      <c r="EB35" s="10">
        <v>871</v>
      </c>
      <c r="EC35" s="10">
        <v>1784011</v>
      </c>
      <c r="ED35" s="10">
        <v>369429</v>
      </c>
      <c r="EE35" s="10">
        <f t="shared" si="100"/>
        <v>48855891</v>
      </c>
      <c r="EF35" s="10">
        <v>43914565</v>
      </c>
      <c r="EG35" s="10">
        <v>3888740</v>
      </c>
      <c r="EH35" s="10">
        <v>10695</v>
      </c>
      <c r="EI35" s="10" t="s">
        <v>160</v>
      </c>
      <c r="EJ35" s="10">
        <v>1749837</v>
      </c>
      <c r="EK35" s="10">
        <v>362350</v>
      </c>
      <c r="EL35" s="10">
        <f t="shared" si="68"/>
        <v>49926187</v>
      </c>
      <c r="EM35" s="10">
        <f>[26]RJ!$E$18</f>
        <v>54325893.210000001</v>
      </c>
      <c r="EN35" s="10">
        <f>[26]RJ!$E$19</f>
        <v>4419107.34</v>
      </c>
      <c r="EO35" s="10">
        <f>[26]RJ!$E$20</f>
        <v>11776.79</v>
      </c>
      <c r="EP35" s="10">
        <f>[26]RJ!$E$21</f>
        <v>2006.71</v>
      </c>
      <c r="EQ35" s="10">
        <f>[26]RJ!$E$22</f>
        <v>1989576.61</v>
      </c>
      <c r="ER35" s="10">
        <f>[26]RJ!$E$23</f>
        <v>455481.69</v>
      </c>
      <c r="ES35" s="10">
        <f t="shared" si="101"/>
        <v>61203842.349999994</v>
      </c>
      <c r="ET35" s="10">
        <f>[26]RJ!$E$25</f>
        <v>52540721.329999998</v>
      </c>
      <c r="EU35" s="10">
        <f>[26]RJ!$E$26</f>
        <v>4382310.58</v>
      </c>
      <c r="EV35" s="10">
        <f>[26]RJ!$E$27</f>
        <v>11479.97</v>
      </c>
      <c r="EW35" s="10">
        <f>[26]RJ!$E$28</f>
        <v>1073.1500000000001</v>
      </c>
      <c r="EX35" s="10">
        <f>[26]RJ!$E$29</f>
        <v>1916502.09</v>
      </c>
      <c r="EY35" s="10">
        <f>[26]RJ!$E$30</f>
        <v>418544.09</v>
      </c>
      <c r="EZ35" s="10">
        <f t="shared" si="102"/>
        <v>59270631.210000001</v>
      </c>
      <c r="FA35" s="10">
        <f>[27]RJ1!$D$16</f>
        <v>55460796.43</v>
      </c>
      <c r="FB35" s="10">
        <f>[27]RJ1!$D$17</f>
        <v>4629959.93</v>
      </c>
      <c r="FC35" s="10">
        <f>[27]RJ1!$D$18</f>
        <v>12387.48</v>
      </c>
      <c r="FD35" s="10">
        <f>[27]RJ1!$D$19</f>
        <v>1934.16</v>
      </c>
      <c r="FE35" s="10">
        <f>[27]RJ1!$D$20</f>
        <v>2126407.4</v>
      </c>
      <c r="FF35" s="10">
        <f>[27]RJ1!$D$21</f>
        <v>418763.69</v>
      </c>
      <c r="FG35" s="10">
        <f>SUM(FA35:FF35)</f>
        <v>62650249.089999989</v>
      </c>
      <c r="FH35" s="10">
        <f>[27]RJ1!$D$23</f>
        <v>56750200.18</v>
      </c>
      <c r="FI35" s="10">
        <f>[27]RJ1!$D$24</f>
        <v>4600071.13</v>
      </c>
      <c r="FJ35" s="10">
        <f>[27]RJ1!$D$25</f>
        <v>12162.42</v>
      </c>
      <c r="FK35" s="10">
        <f>[27]RJ1!$D$26</f>
        <v>952.2</v>
      </c>
      <c r="FL35" s="10">
        <f>[27]RJ1!$D$27</f>
        <v>1930803.59</v>
      </c>
      <c r="FM35" s="10">
        <f>[27]RJ1!$D$28</f>
        <v>369120.4</v>
      </c>
      <c r="FN35" s="10">
        <f t="shared" ref="FN35:FN36" si="117">SUM(FH35:FM35)</f>
        <v>63663309.920000009</v>
      </c>
      <c r="FO35" s="10">
        <f>[28]RJ!R17</f>
        <v>57869390.040000036</v>
      </c>
      <c r="FP35" s="10">
        <f>[28]RJ!S17</f>
        <v>4750754.0399999972</v>
      </c>
      <c r="FQ35" s="10"/>
      <c r="FR35" s="10">
        <f>[28]RJ!Q17</f>
        <v>2019.72</v>
      </c>
      <c r="FS35" s="10"/>
      <c r="FT35" s="10">
        <f>[28]RJ!T17</f>
        <v>3141926.5000000019</v>
      </c>
      <c r="FU35" s="10">
        <f t="shared" si="112"/>
        <v>65764090.300000034</v>
      </c>
      <c r="FV35" s="10">
        <f>[28]RJ!V17</f>
        <v>57615313.520000055</v>
      </c>
      <c r="FW35" s="10">
        <f>[28]RJ!W17</f>
        <v>4758782.0699999956</v>
      </c>
      <c r="FX35" s="10"/>
      <c r="FY35" s="10">
        <f>[28]RJ!U17</f>
        <v>994.31</v>
      </c>
      <c r="FZ35" s="10"/>
      <c r="GA35" s="10">
        <f>[28]RJ!X17</f>
        <v>2838728.1299999924</v>
      </c>
      <c r="GB35" s="10">
        <f t="shared" si="113"/>
        <v>65213818.030000046</v>
      </c>
      <c r="GC35" s="148">
        <f t="shared" si="114"/>
        <v>630415786.57498419</v>
      </c>
      <c r="GD35" s="148">
        <f t="shared" si="115"/>
        <v>587489330.19000006</v>
      </c>
      <c r="GE35" s="218"/>
      <c r="GG35" s="196"/>
      <c r="GH35" s="36"/>
      <c r="GI35" s="36"/>
      <c r="GJ35" s="36"/>
    </row>
    <row r="36" spans="1:192" s="5" customFormat="1" ht="12.75" x14ac:dyDescent="0.2">
      <c r="A36" s="261"/>
      <c r="B36" s="15" t="s">
        <v>51</v>
      </c>
      <c r="C36" s="1" t="s">
        <v>10</v>
      </c>
      <c r="D36" s="2">
        <v>38047</v>
      </c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14" t="s">
        <v>11</v>
      </c>
      <c r="V36" s="14" t="s">
        <v>11</v>
      </c>
      <c r="W36" s="14" t="s">
        <v>11</v>
      </c>
      <c r="X36" s="14" t="s">
        <v>11</v>
      </c>
      <c r="Y36" s="14" t="s">
        <v>11</v>
      </c>
      <c r="Z36" s="14" t="s">
        <v>11</v>
      </c>
      <c r="AA36" s="14" t="s">
        <v>11</v>
      </c>
      <c r="AB36" s="10">
        <v>555336.28</v>
      </c>
      <c r="AC36" s="10">
        <v>799977.44</v>
      </c>
      <c r="AD36" s="10">
        <v>785644.09</v>
      </c>
      <c r="AE36" s="10">
        <v>1375868.01</v>
      </c>
      <c r="AF36" s="10">
        <v>1371619.33</v>
      </c>
      <c r="AG36" s="10">
        <v>1417966.65</v>
      </c>
      <c r="AH36" s="10">
        <v>1410668.03</v>
      </c>
      <c r="AI36" s="10">
        <v>1468763.09</v>
      </c>
      <c r="AJ36" s="10">
        <v>1470601.61</v>
      </c>
      <c r="AK36" s="10">
        <v>1611754.63</v>
      </c>
      <c r="AL36" s="10">
        <v>1653396.21</v>
      </c>
      <c r="AM36" s="10">
        <v>1657979</v>
      </c>
      <c r="AN36" s="10">
        <v>1605582</v>
      </c>
      <c r="AO36" s="10">
        <v>667399.61</v>
      </c>
      <c r="AP36" s="10">
        <v>736826.32</v>
      </c>
      <c r="AQ36" s="10">
        <v>1270217.71</v>
      </c>
      <c r="AR36" s="10">
        <v>1651417.5699999998</v>
      </c>
      <c r="AS36" s="112">
        <v>1279277.44</v>
      </c>
      <c r="AT36" s="10">
        <v>11709.7</v>
      </c>
      <c r="AU36" s="77"/>
      <c r="AV36" s="10">
        <v>2023.02</v>
      </c>
      <c r="AW36" s="111">
        <v>0</v>
      </c>
      <c r="AX36" s="10">
        <v>1147.1300000000001</v>
      </c>
      <c r="AY36" s="10">
        <f t="shared" si="97"/>
        <v>1294157.2899999998</v>
      </c>
      <c r="AZ36" s="10">
        <v>1212974.1000000001</v>
      </c>
      <c r="BA36" s="10">
        <v>11391.460000000001</v>
      </c>
      <c r="BB36" s="77"/>
      <c r="BC36" s="10">
        <v>1887.13</v>
      </c>
      <c r="BD36" s="10">
        <v>0</v>
      </c>
      <c r="BE36" s="10">
        <v>670.67</v>
      </c>
      <c r="BF36" s="10">
        <f t="shared" si="98"/>
        <v>1226923.3599999999</v>
      </c>
      <c r="BG36" s="10">
        <v>1200788</v>
      </c>
      <c r="BH36" s="10">
        <v>11058.578</v>
      </c>
      <c r="BI36" s="10">
        <v>1260</v>
      </c>
      <c r="BJ36" s="10">
        <v>2977</v>
      </c>
      <c r="BK36" s="10">
        <v>0</v>
      </c>
      <c r="BL36" s="10">
        <v>1669</v>
      </c>
      <c r="BM36" s="10">
        <f t="shared" si="99"/>
        <v>1217752.578</v>
      </c>
      <c r="BN36" s="10">
        <v>1194973</v>
      </c>
      <c r="BO36" s="10">
        <v>11282</v>
      </c>
      <c r="BP36" s="10">
        <v>1260</v>
      </c>
      <c r="BQ36" s="10">
        <v>1511</v>
      </c>
      <c r="BR36" s="10">
        <v>0</v>
      </c>
      <c r="BS36" s="10">
        <v>1089</v>
      </c>
      <c r="BT36" s="10">
        <f t="shared" si="105"/>
        <v>1210115</v>
      </c>
      <c r="BU36" s="10">
        <v>2346480.12</v>
      </c>
      <c r="BV36" s="10">
        <v>22367.17</v>
      </c>
      <c r="BW36" s="10">
        <v>2520.2199999999998</v>
      </c>
      <c r="BX36" s="10">
        <v>1345.95</v>
      </c>
      <c r="BY36" s="10">
        <v>0</v>
      </c>
      <c r="BZ36" s="10">
        <v>6000.03</v>
      </c>
      <c r="CA36" s="10">
        <f t="shared" si="65"/>
        <v>2378713.4900000002</v>
      </c>
      <c r="CB36" s="10">
        <v>2309827.91</v>
      </c>
      <c r="CC36" s="10">
        <v>22077.41</v>
      </c>
      <c r="CD36" s="10">
        <v>2772.24</v>
      </c>
      <c r="CE36" s="10">
        <v>2293.7199999999998</v>
      </c>
      <c r="CF36" s="10">
        <v>0</v>
      </c>
      <c r="CG36" s="10">
        <v>4060.53</v>
      </c>
      <c r="CH36" s="10">
        <f t="shared" si="106"/>
        <v>2341031.8100000005</v>
      </c>
      <c r="CI36" s="10">
        <v>2469289.0970979999</v>
      </c>
      <c r="CJ36" s="10">
        <v>24064.707643166701</v>
      </c>
      <c r="CK36" s="10">
        <v>2633.6340799999998</v>
      </c>
      <c r="CL36" s="10">
        <v>3307.6654799999997</v>
      </c>
      <c r="CM36" s="10">
        <v>0</v>
      </c>
      <c r="CN36" s="10">
        <v>18555.726365399998</v>
      </c>
      <c r="CO36" s="10">
        <f t="shared" si="107"/>
        <v>2517850.8306665667</v>
      </c>
      <c r="CP36" s="10">
        <v>2464602.98</v>
      </c>
      <c r="CQ36" s="10">
        <v>22951.4</v>
      </c>
      <c r="CR36" s="10">
        <v>2633.63</v>
      </c>
      <c r="CS36" s="10">
        <v>3803.89</v>
      </c>
      <c r="CT36" s="10">
        <v>0</v>
      </c>
      <c r="CU36" s="10">
        <v>9035.29000000001</v>
      </c>
      <c r="CV36" s="10">
        <f t="shared" si="108"/>
        <v>2503027.19</v>
      </c>
      <c r="CW36" s="10">
        <f>'[29]2020'!F16</f>
        <v>2489696.0306009003</v>
      </c>
      <c r="CX36" s="10">
        <f>'[29]2020'!G16</f>
        <v>16838.662522550003</v>
      </c>
      <c r="CY36" s="10">
        <f>'[29]2020'!H16</f>
        <v>2709.870856</v>
      </c>
      <c r="CZ36" s="10">
        <f>'[29]2020'!I16</f>
        <v>3403.5610088579242</v>
      </c>
      <c r="DA36" s="10">
        <f>'[29]2020'!J16</f>
        <v>0</v>
      </c>
      <c r="DB36" s="10">
        <f>'[29]2020'!K16</f>
        <v>37534.430661347171</v>
      </c>
      <c r="DC36" s="10">
        <f t="shared" si="109"/>
        <v>2550182.5556496559</v>
      </c>
      <c r="DD36" s="10">
        <f>'[29]2020'!M16</f>
        <v>2482684.6</v>
      </c>
      <c r="DE36" s="10">
        <f>'[29]2020'!N16</f>
        <v>13851.9</v>
      </c>
      <c r="DF36" s="10">
        <f>'[29]2020'!O16</f>
        <v>2709.87</v>
      </c>
      <c r="DG36" s="10">
        <f>'[29]2020'!P16</f>
        <v>2479.58</v>
      </c>
      <c r="DH36" s="10">
        <f>'[29]2020'!Q16</f>
        <v>0</v>
      </c>
      <c r="DI36" s="10">
        <f>'[29]2020'!R16</f>
        <v>25993.66</v>
      </c>
      <c r="DJ36" s="10">
        <f>'[29]2020'!S16</f>
        <v>2527719.6100000003</v>
      </c>
      <c r="DK36" s="10">
        <f>'[30]2021'!F16</f>
        <v>2552080.0998629699</v>
      </c>
      <c r="DL36" s="10">
        <f>'[30]2021'!G16</f>
        <v>17367.195291799999</v>
      </c>
      <c r="DM36" s="10">
        <f>'[30]2021'!H16</f>
        <v>2794.9284160000002</v>
      </c>
      <c r="DN36" s="10">
        <f>'[30]2021'!I16</f>
        <v>3402.9710878400001</v>
      </c>
      <c r="DO36" s="10">
        <f>'[30]2021'!J16</f>
        <v>0</v>
      </c>
      <c r="DP36" s="10">
        <f>'[30]2021'!K16</f>
        <v>28895.054165593599</v>
      </c>
      <c r="DQ36" s="10">
        <f t="shared" si="110"/>
        <v>2604540.2488242039</v>
      </c>
      <c r="DR36" s="10">
        <f>'[30]2021'!M16</f>
        <v>2399361.91</v>
      </c>
      <c r="DS36" s="10">
        <f>'[30]2021'!N16</f>
        <v>16989.23</v>
      </c>
      <c r="DT36" s="10">
        <f>'[30]2021'!O16</f>
        <v>2794.93</v>
      </c>
      <c r="DU36" s="10">
        <f>'[30]2021'!P16</f>
        <v>2739.88</v>
      </c>
      <c r="DV36" s="10">
        <f>'[30]2021'!Q16</f>
        <v>0</v>
      </c>
      <c r="DW36" s="10">
        <f>'[30]2021'!R16</f>
        <v>34435.51</v>
      </c>
      <c r="DX36" s="10">
        <f t="shared" si="111"/>
        <v>2456321.46</v>
      </c>
      <c r="DY36" s="10">
        <v>2836503</v>
      </c>
      <c r="DZ36" s="10">
        <v>19147</v>
      </c>
      <c r="EA36" s="10">
        <v>3081</v>
      </c>
      <c r="EB36" s="10">
        <v>3744</v>
      </c>
      <c r="EC36" s="10" t="s">
        <v>158</v>
      </c>
      <c r="ED36" s="10">
        <v>30934</v>
      </c>
      <c r="EE36" s="10">
        <f t="shared" si="100"/>
        <v>2893409</v>
      </c>
      <c r="EF36" s="10">
        <v>2960179</v>
      </c>
      <c r="EG36" s="10">
        <v>17412</v>
      </c>
      <c r="EH36" s="10">
        <v>3081</v>
      </c>
      <c r="EI36" s="10">
        <v>3057</v>
      </c>
      <c r="EJ36" s="10" t="s">
        <v>158</v>
      </c>
      <c r="EK36" s="10">
        <v>25581</v>
      </c>
      <c r="EL36" s="10">
        <f t="shared" si="68"/>
        <v>3009310</v>
      </c>
      <c r="EM36" s="10">
        <f>[26]RJ!$E$74</f>
        <v>3051797.37</v>
      </c>
      <c r="EN36" s="10">
        <f>[26]RJ!$E$75</f>
        <v>19224.96</v>
      </c>
      <c r="EO36" s="10">
        <f>[26]RJ!$E$76</f>
        <v>3302.23</v>
      </c>
      <c r="EP36" s="10">
        <f>[26]RJ!$E$77</f>
        <v>5338.4</v>
      </c>
      <c r="EQ36" s="10">
        <f>[26]RJ!$E$78</f>
        <v>0</v>
      </c>
      <c r="ER36" s="10">
        <f>[26]RJ!$E$79</f>
        <v>59503.79</v>
      </c>
      <c r="ES36" s="10">
        <f t="shared" si="101"/>
        <v>3139166.75</v>
      </c>
      <c r="ET36" s="10">
        <f>[26]RJ!$E$81</f>
        <v>3034663.63</v>
      </c>
      <c r="EU36" s="10">
        <f>[26]RJ!$E$82</f>
        <v>16899.59</v>
      </c>
      <c r="EV36" s="10">
        <f>[26]RJ!$E$83</f>
        <v>3302.23</v>
      </c>
      <c r="EW36" s="10">
        <f>[26]RJ!$E$84</f>
        <v>4061.81</v>
      </c>
      <c r="EX36" s="10">
        <f>[26]RJ!$E$85</f>
        <v>0</v>
      </c>
      <c r="EY36" s="10">
        <f>[26]RJ!$E$86</f>
        <v>53253.87</v>
      </c>
      <c r="EZ36" s="10">
        <f t="shared" si="102"/>
        <v>3112181.13</v>
      </c>
      <c r="FA36" s="10">
        <f>[27]RJ1!$D$72</f>
        <v>3294974.23</v>
      </c>
      <c r="FB36" s="10">
        <f>[27]RJ1!$D$73</f>
        <v>23352.39</v>
      </c>
      <c r="FC36" s="10">
        <f>[27]RJ1!$D$74</f>
        <v>3473.46</v>
      </c>
      <c r="FD36" s="10">
        <f>[27]RJ1!$D$75</f>
        <v>5625.84</v>
      </c>
      <c r="FE36" s="10" t="str">
        <f>[27]RJ1!$D$76</f>
        <v>-</v>
      </c>
      <c r="FF36" s="10">
        <f>[27]RJ1!$D$77</f>
        <v>53579.3</v>
      </c>
      <c r="FG36" s="10">
        <f>SUM(FA36:FF36)</f>
        <v>3381005.2199999997</v>
      </c>
      <c r="FH36" s="10">
        <f>[27]RJ1!$D$79</f>
        <v>3275342.53</v>
      </c>
      <c r="FI36" s="10">
        <f>[27]RJ1!$D$80</f>
        <v>21149.96</v>
      </c>
      <c r="FJ36" s="10">
        <f>[27]RJ1!$D$81</f>
        <v>3473.46</v>
      </c>
      <c r="FK36" s="10">
        <f>[27]RJ1!$D$82</f>
        <v>4453.09</v>
      </c>
      <c r="FL36" s="10" t="str">
        <f>[27]RJ1!$D$83</f>
        <v>-</v>
      </c>
      <c r="FM36" s="10">
        <f>[27]RJ1!$D$84</f>
        <v>47987.39</v>
      </c>
      <c r="FN36" s="10">
        <f t="shared" si="117"/>
        <v>3352406.4299999997</v>
      </c>
      <c r="FO36" s="10">
        <f>[28]RJ!R18</f>
        <v>2824817.71</v>
      </c>
      <c r="FP36" s="10">
        <f>[28]RJ!S18</f>
        <v>27082.839999999993</v>
      </c>
      <c r="FQ36" s="10"/>
      <c r="FR36" s="10">
        <f>[28]RJ!Q18</f>
        <v>3151.4300000000003</v>
      </c>
      <c r="FS36" s="10"/>
      <c r="FT36" s="10">
        <f>[28]RJ!T18</f>
        <v>44154.780000000115</v>
      </c>
      <c r="FU36" s="10">
        <f t="shared" si="112"/>
        <v>2899206.7600000002</v>
      </c>
      <c r="FV36" s="10">
        <f>[28]RJ!V18</f>
        <v>3029115.9199999981</v>
      </c>
      <c r="FW36" s="10">
        <f>[28]RJ!W18</f>
        <v>21392.529999999988</v>
      </c>
      <c r="FX36" s="10"/>
      <c r="FY36" s="10">
        <f>[28]RJ!U18</f>
        <v>3151.4300000000003</v>
      </c>
      <c r="FZ36" s="10"/>
      <c r="GA36" s="10">
        <f>[28]RJ!X18</f>
        <v>42250.369999999923</v>
      </c>
      <c r="GB36" s="10">
        <f t="shared" si="113"/>
        <v>3095910.2499999981</v>
      </c>
      <c r="GC36" s="148">
        <f t="shared" si="114"/>
        <v>35145910.863140427</v>
      </c>
      <c r="GD36" s="148">
        <f t="shared" si="115"/>
        <v>36076037.68</v>
      </c>
      <c r="GE36" s="218"/>
      <c r="GG36" s="196"/>
      <c r="GH36" s="36"/>
      <c r="GI36" s="36"/>
      <c r="GJ36" s="36"/>
    </row>
    <row r="37" spans="1:192" s="5" customFormat="1" ht="12.75" x14ac:dyDescent="0.2">
      <c r="A37" s="261"/>
      <c r="B37" s="15" t="s">
        <v>52</v>
      </c>
      <c r="C37" s="1" t="s">
        <v>10</v>
      </c>
      <c r="D37" s="2">
        <v>38047</v>
      </c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14" t="s">
        <v>11</v>
      </c>
      <c r="V37" s="14" t="s">
        <v>11</v>
      </c>
      <c r="W37" s="14" t="s">
        <v>11</v>
      </c>
      <c r="X37" s="14" t="s">
        <v>11</v>
      </c>
      <c r="Y37" s="14" t="s">
        <v>11</v>
      </c>
      <c r="Z37" s="14" t="s">
        <v>11</v>
      </c>
      <c r="AA37" s="14" t="s">
        <v>11</v>
      </c>
      <c r="AB37" s="10">
        <v>2361751.7000000002</v>
      </c>
      <c r="AC37" s="10">
        <v>1062905.07</v>
      </c>
      <c r="AD37" s="10">
        <v>518352.59</v>
      </c>
      <c r="AE37" s="10">
        <v>1001934.65</v>
      </c>
      <c r="AF37" s="10">
        <v>571587.91</v>
      </c>
      <c r="AG37" s="10">
        <v>1014572.88</v>
      </c>
      <c r="AH37" s="10">
        <v>1111388.42</v>
      </c>
      <c r="AI37" s="10">
        <v>1112550.53</v>
      </c>
      <c r="AJ37" s="10">
        <v>1118166.0900000001</v>
      </c>
      <c r="AK37" s="10">
        <v>1065010.3400000001</v>
      </c>
      <c r="AL37" s="10">
        <v>1073149.8400000001</v>
      </c>
      <c r="AM37" s="10">
        <v>1112087</v>
      </c>
      <c r="AN37" s="10">
        <v>916112</v>
      </c>
      <c r="AO37" s="10">
        <v>1083849.31</v>
      </c>
      <c r="AP37" s="10">
        <v>698349.40000000014</v>
      </c>
      <c r="AQ37" s="10">
        <v>1187446.3600000001</v>
      </c>
      <c r="AR37" s="10">
        <v>1832787.9500000002</v>
      </c>
      <c r="AS37" s="112">
        <v>400546.25</v>
      </c>
      <c r="AT37" s="10">
        <v>203718.53</v>
      </c>
      <c r="AU37" s="77"/>
      <c r="AV37" s="10">
        <v>68.31</v>
      </c>
      <c r="AW37" s="111">
        <v>430641.52</v>
      </c>
      <c r="AX37" s="10">
        <v>9224.92</v>
      </c>
      <c r="AY37" s="10">
        <f t="shared" si="97"/>
        <v>1044199.5300000001</v>
      </c>
      <c r="AZ37" s="10">
        <v>407149.32999999996</v>
      </c>
      <c r="BA37" s="10">
        <v>244251.84</v>
      </c>
      <c r="BB37" s="77"/>
      <c r="BC37" s="10">
        <v>68.31</v>
      </c>
      <c r="BD37" s="10">
        <v>382271.13</v>
      </c>
      <c r="BE37" s="10">
        <v>5791.03</v>
      </c>
      <c r="BF37" s="10">
        <f t="shared" si="98"/>
        <v>1039531.64</v>
      </c>
      <c r="BG37" s="10">
        <v>863380</v>
      </c>
      <c r="BH37" s="10">
        <v>404194</v>
      </c>
      <c r="BI37" s="10">
        <v>0</v>
      </c>
      <c r="BJ37" s="10">
        <v>68</v>
      </c>
      <c r="BK37" s="10">
        <v>627890</v>
      </c>
      <c r="BL37" s="10">
        <v>69606</v>
      </c>
      <c r="BM37" s="10">
        <f t="shared" si="99"/>
        <v>1965138</v>
      </c>
      <c r="BN37" s="10">
        <v>822859</v>
      </c>
      <c r="BO37" s="10">
        <v>329555</v>
      </c>
      <c r="BP37" s="10">
        <v>0</v>
      </c>
      <c r="BQ37" s="10">
        <v>68</v>
      </c>
      <c r="BR37" s="10">
        <v>637558</v>
      </c>
      <c r="BS37" s="10">
        <v>70259</v>
      </c>
      <c r="BT37" s="10">
        <f t="shared" si="105"/>
        <v>1860299</v>
      </c>
      <c r="BU37" s="10">
        <v>902380.39</v>
      </c>
      <c r="BV37" s="10">
        <v>346500.14</v>
      </c>
      <c r="BW37" s="10">
        <v>0</v>
      </c>
      <c r="BX37" s="10">
        <v>136.63</v>
      </c>
      <c r="BY37" s="10">
        <v>627889.61</v>
      </c>
      <c r="BZ37" s="10">
        <v>77023.59</v>
      </c>
      <c r="CA37" s="10">
        <f t="shared" si="65"/>
        <v>1953930.36</v>
      </c>
      <c r="CB37" s="10">
        <v>891522.07</v>
      </c>
      <c r="CC37" s="10">
        <v>349382.18</v>
      </c>
      <c r="CD37" s="10">
        <v>0</v>
      </c>
      <c r="CE37" s="10">
        <v>136.63</v>
      </c>
      <c r="CF37" s="10">
        <v>632217.64</v>
      </c>
      <c r="CG37" s="10">
        <v>68314.14</v>
      </c>
      <c r="CH37" s="10">
        <f t="shared" si="106"/>
        <v>1941572.66</v>
      </c>
      <c r="CI37" s="10">
        <v>1106188.3</v>
      </c>
      <c r="CJ37" s="10">
        <v>407258.09989999997</v>
      </c>
      <c r="CK37" s="10">
        <v>0</v>
      </c>
      <c r="CL37" s="10">
        <v>775.46</v>
      </c>
      <c r="CM37" s="10">
        <v>784862.01</v>
      </c>
      <c r="CN37" s="10">
        <v>107536.394032258</v>
      </c>
      <c r="CO37" s="10">
        <f t="shared" si="107"/>
        <v>2406620.2639322584</v>
      </c>
      <c r="CP37" s="10">
        <v>1086287.73</v>
      </c>
      <c r="CQ37" s="10">
        <v>406180.98</v>
      </c>
      <c r="CR37" s="10">
        <v>0</v>
      </c>
      <c r="CS37" s="10">
        <v>775.46</v>
      </c>
      <c r="CT37" s="10">
        <v>750644.19</v>
      </c>
      <c r="CU37" s="10">
        <v>95100.209999999905</v>
      </c>
      <c r="CV37" s="10">
        <f t="shared" si="108"/>
        <v>2338988.5699999998</v>
      </c>
      <c r="CW37" s="10">
        <f>'[29]2020'!F17</f>
        <v>1151644.7840887499</v>
      </c>
      <c r="CX37" s="10">
        <f>'[29]2020'!G17</f>
        <v>446566.89754110004</v>
      </c>
      <c r="CY37" s="10">
        <f>'[29]2020'!H17</f>
        <v>0</v>
      </c>
      <c r="CZ37" s="10">
        <f>'[29]2020'!I17</f>
        <v>797.89829705056809</v>
      </c>
      <c r="DA37" s="10">
        <f>'[29]2020'!J17</f>
        <v>807623.00952480023</v>
      </c>
      <c r="DB37" s="10">
        <f>'[29]2020'!K17</f>
        <v>102579.40611657659</v>
      </c>
      <c r="DC37" s="10">
        <f t="shared" si="109"/>
        <v>2509211.9955682773</v>
      </c>
      <c r="DD37" s="10">
        <f>'[29]2020'!M17</f>
        <v>1143851.6200000001</v>
      </c>
      <c r="DE37" s="10">
        <f>'[29]2020'!N17</f>
        <v>449804.97</v>
      </c>
      <c r="DF37" s="10">
        <f>'[29]2020'!O17</f>
        <v>0</v>
      </c>
      <c r="DG37" s="10">
        <f>'[29]2020'!P17</f>
        <v>797.9</v>
      </c>
      <c r="DH37" s="10">
        <f>'[29]2020'!Q17</f>
        <v>820711.18</v>
      </c>
      <c r="DI37" s="10">
        <f>'[29]2020'!R17</f>
        <v>89262.7</v>
      </c>
      <c r="DJ37" s="10">
        <f>'[29]2020'!S17</f>
        <v>2504428.37</v>
      </c>
      <c r="DK37" s="10">
        <f>'[30]2021'!F17</f>
        <v>1152543.9949916799</v>
      </c>
      <c r="DL37" s="10">
        <f>'[30]2021'!G17</f>
        <v>458408.060067193</v>
      </c>
      <c r="DM37" s="10">
        <f>'[30]2021'!H17</f>
        <v>0</v>
      </c>
      <c r="DN37" s="10">
        <f>'[30]2021'!I17</f>
        <v>823.07324400000005</v>
      </c>
      <c r="DO37" s="10">
        <f>'[30]2021'!J17</f>
        <v>833052.53868768003</v>
      </c>
      <c r="DP37" s="10">
        <f>'[30]2021'!K17</f>
        <v>82059.126329194507</v>
      </c>
      <c r="DQ37" s="10">
        <f t="shared" si="110"/>
        <v>2526886.7933197473</v>
      </c>
      <c r="DR37" s="10">
        <f>'[30]2021'!M17</f>
        <v>1118190.3</v>
      </c>
      <c r="DS37" s="10">
        <f>'[30]2021'!N17</f>
        <v>458045.33</v>
      </c>
      <c r="DT37" s="10">
        <f>'[30]2021'!O17</f>
        <v>0</v>
      </c>
      <c r="DU37" s="10">
        <f>'[30]2021'!P17</f>
        <v>0</v>
      </c>
      <c r="DV37" s="10">
        <f>'[30]2021'!Q17</f>
        <v>936487.98</v>
      </c>
      <c r="DW37" s="10">
        <f>'[30]2021'!R17</f>
        <v>73851.86</v>
      </c>
      <c r="DX37" s="10">
        <f t="shared" si="111"/>
        <v>2586575.4700000002</v>
      </c>
      <c r="DY37" s="10">
        <v>1157617</v>
      </c>
      <c r="DZ37" s="10">
        <v>505202</v>
      </c>
      <c r="EA37" s="10" t="s">
        <v>159</v>
      </c>
      <c r="EB37" s="10">
        <v>907</v>
      </c>
      <c r="EC37" s="10">
        <v>918333</v>
      </c>
      <c r="ED37" s="10">
        <v>92912</v>
      </c>
      <c r="EE37" s="10">
        <f t="shared" si="100"/>
        <v>2674971</v>
      </c>
      <c r="EF37" s="10">
        <v>1106296</v>
      </c>
      <c r="EG37" s="10">
        <v>542990</v>
      </c>
      <c r="EH37" s="10" t="s">
        <v>159</v>
      </c>
      <c r="EI37" s="10">
        <v>907</v>
      </c>
      <c r="EJ37" s="10">
        <v>860591</v>
      </c>
      <c r="EK37" s="10">
        <v>88347</v>
      </c>
      <c r="EL37" s="10">
        <f t="shared" si="68"/>
        <v>2599131</v>
      </c>
      <c r="EM37" s="10">
        <f>[26]RJ!$E$102</f>
        <v>1116323.3600000001</v>
      </c>
      <c r="EN37" s="10">
        <f>[26]RJ!$E$103</f>
        <v>542471.03</v>
      </c>
      <c r="EO37" s="10">
        <f>[26]RJ!$E$104</f>
        <v>0</v>
      </c>
      <c r="EP37" s="10">
        <f>[26]RJ!$E$105</f>
        <v>0</v>
      </c>
      <c r="EQ37" s="10">
        <f>[26]RJ!$E$106</f>
        <v>1236146.42</v>
      </c>
      <c r="ER37" s="10">
        <f>[26]RJ!$E$107</f>
        <v>107720.5</v>
      </c>
      <c r="ES37" s="10">
        <f t="shared" si="101"/>
        <v>3002661.31</v>
      </c>
      <c r="ET37" s="10">
        <f>[26]RJ!$E$109</f>
        <v>1065874.46</v>
      </c>
      <c r="EU37" s="10">
        <f>[26]RJ!$E$110</f>
        <v>541817.99</v>
      </c>
      <c r="EV37" s="10">
        <f>[26]RJ!$E$111</f>
        <v>0</v>
      </c>
      <c r="EW37" s="10">
        <f>[26]RJ!$E$112</f>
        <v>0</v>
      </c>
      <c r="EX37" s="10">
        <f>[26]RJ!$E$113</f>
        <v>1177757.02</v>
      </c>
      <c r="EY37" s="10">
        <f>[26]RJ!$E$114</f>
        <v>95056.05</v>
      </c>
      <c r="EZ37" s="10">
        <f t="shared" si="102"/>
        <v>2880505.5199999996</v>
      </c>
      <c r="FA37" s="10">
        <f>[27]RJ1!$D$100</f>
        <v>1448664.02</v>
      </c>
      <c r="FB37" s="10">
        <f>[27]RJ1!$D$101</f>
        <v>571521.64</v>
      </c>
      <c r="FC37" s="10" t="str">
        <f>[27]RJ1!$D$102</f>
        <v>-</v>
      </c>
      <c r="FD37" s="10" t="str">
        <f>[27]RJ1!$D$103</f>
        <v>-</v>
      </c>
      <c r="FE37" s="10">
        <f>[27]RJ1!$D$104</f>
        <v>1347428.66</v>
      </c>
      <c r="FF37" s="10">
        <f>[27]RJ1!$D$105</f>
        <v>131894.49</v>
      </c>
      <c r="FG37" s="10">
        <f>SUM(FA37:FF37)</f>
        <v>3499508.8100000005</v>
      </c>
      <c r="FH37" s="10">
        <f>[27]RJ1!$D$107</f>
        <v>1485856.55</v>
      </c>
      <c r="FI37" s="10">
        <f>[27]RJ1!$D$108</f>
        <v>570941.98</v>
      </c>
      <c r="FJ37" s="10" t="str">
        <f>[27]RJ1!$D$109</f>
        <v>-</v>
      </c>
      <c r="FK37" s="10" t="str">
        <f>[27]RJ1!$D$110</f>
        <v>-</v>
      </c>
      <c r="FL37" s="10">
        <f>[27]RJ1!$D$111</f>
        <v>1298172.8</v>
      </c>
      <c r="FM37" s="10">
        <f>[27]RJ1!$D$112</f>
        <v>112378.31</v>
      </c>
      <c r="FN37" s="10">
        <f t="shared" ref="FN37" si="118">SUM(FH37:FM37)</f>
        <v>3467349.64</v>
      </c>
      <c r="FO37" s="10">
        <f>[28]RJ!R22</f>
        <v>1987092.7100000004</v>
      </c>
      <c r="FP37" s="10">
        <f>[28]RJ!S22</f>
        <v>598189.44999999995</v>
      </c>
      <c r="FQ37" s="10"/>
      <c r="FR37" s="10">
        <f>[28]RJ!Q22</f>
        <v>0</v>
      </c>
      <c r="FS37" s="10"/>
      <c r="FT37" s="10">
        <f>[28]RJ!T22</f>
        <v>1290010.0500000005</v>
      </c>
      <c r="FU37" s="10">
        <f t="shared" si="112"/>
        <v>3875292.2100000009</v>
      </c>
      <c r="FV37" s="10">
        <f>[28]RJ!V22</f>
        <v>1975114.8200000015</v>
      </c>
      <c r="FW37" s="10">
        <f>[28]RJ!W22</f>
        <v>598042.73000000033</v>
      </c>
      <c r="FX37" s="10"/>
      <c r="FY37" s="10">
        <f>[28]RJ!U22</f>
        <v>0</v>
      </c>
      <c r="FZ37" s="10"/>
      <c r="GA37" s="10">
        <f>[28]RJ!X22</f>
        <v>1268146.1500000004</v>
      </c>
      <c r="GB37" s="10">
        <f t="shared" si="113"/>
        <v>3841303.700000002</v>
      </c>
      <c r="GC37" s="148">
        <f t="shared" si="114"/>
        <v>34098776.41282028</v>
      </c>
      <c r="GD37" s="148">
        <f t="shared" si="115"/>
        <v>35261331.469999999</v>
      </c>
      <c r="GE37" s="219"/>
      <c r="GG37" s="196"/>
      <c r="GH37" s="36"/>
      <c r="GI37" s="36"/>
      <c r="GJ37" s="36"/>
    </row>
    <row r="38" spans="1:192" s="5" customFormat="1" ht="12.75" x14ac:dyDescent="0.2">
      <c r="A38" s="262"/>
      <c r="B38" s="259" t="s">
        <v>38</v>
      </c>
      <c r="C38" s="260"/>
      <c r="D38" s="260"/>
      <c r="E38" s="13">
        <f t="shared" ref="E38:AJ38" si="119">SUM(E28:E37)</f>
        <v>0</v>
      </c>
      <c r="F38" s="13">
        <f t="shared" si="119"/>
        <v>0</v>
      </c>
      <c r="G38" s="13">
        <f t="shared" si="119"/>
        <v>0</v>
      </c>
      <c r="H38" s="13">
        <f t="shared" si="119"/>
        <v>0</v>
      </c>
      <c r="I38" s="13">
        <f t="shared" si="119"/>
        <v>0</v>
      </c>
      <c r="J38" s="13">
        <f t="shared" si="119"/>
        <v>0</v>
      </c>
      <c r="K38" s="13">
        <f t="shared" si="119"/>
        <v>0</v>
      </c>
      <c r="L38" s="13">
        <f t="shared" si="119"/>
        <v>0</v>
      </c>
      <c r="M38" s="13">
        <f t="shared" si="119"/>
        <v>0</v>
      </c>
      <c r="N38" s="13">
        <f t="shared" si="119"/>
        <v>0</v>
      </c>
      <c r="O38" s="13">
        <f t="shared" si="119"/>
        <v>0</v>
      </c>
      <c r="P38" s="13">
        <f t="shared" si="119"/>
        <v>0</v>
      </c>
      <c r="Q38" s="13">
        <f t="shared" si="119"/>
        <v>0</v>
      </c>
      <c r="R38" s="13">
        <f t="shared" si="119"/>
        <v>0</v>
      </c>
      <c r="S38" s="13">
        <f t="shared" si="119"/>
        <v>0</v>
      </c>
      <c r="T38" s="13">
        <f t="shared" si="119"/>
        <v>0</v>
      </c>
      <c r="U38" s="13">
        <f t="shared" si="119"/>
        <v>0</v>
      </c>
      <c r="V38" s="13">
        <f t="shared" si="119"/>
        <v>0</v>
      </c>
      <c r="W38" s="13">
        <f t="shared" si="119"/>
        <v>0</v>
      </c>
      <c r="X38" s="13">
        <f t="shared" si="119"/>
        <v>0</v>
      </c>
      <c r="Y38" s="13">
        <f t="shared" si="119"/>
        <v>0</v>
      </c>
      <c r="Z38" s="13">
        <f t="shared" si="119"/>
        <v>0</v>
      </c>
      <c r="AA38" s="13">
        <f t="shared" si="119"/>
        <v>0</v>
      </c>
      <c r="AB38" s="13">
        <f t="shared" si="119"/>
        <v>11000614.75</v>
      </c>
      <c r="AC38" s="13">
        <f t="shared" si="119"/>
        <v>27843163.600000001</v>
      </c>
      <c r="AD38" s="13">
        <f t="shared" si="119"/>
        <v>4644872.42</v>
      </c>
      <c r="AE38" s="13">
        <f t="shared" si="119"/>
        <v>33793615.260000005</v>
      </c>
      <c r="AF38" s="13">
        <f t="shared" si="119"/>
        <v>7977987.6300000008</v>
      </c>
      <c r="AG38" s="13">
        <f t="shared" si="119"/>
        <v>33436955.109999999</v>
      </c>
      <c r="AH38" s="13">
        <f t="shared" si="119"/>
        <v>33368674.299999997</v>
      </c>
      <c r="AI38" s="13">
        <f t="shared" si="119"/>
        <v>33690007.319999993</v>
      </c>
      <c r="AJ38" s="13">
        <f t="shared" si="119"/>
        <v>33631768.140000001</v>
      </c>
      <c r="AK38" s="13">
        <f t="shared" ref="AK38:BP38" si="120">SUM(AK28:AK37)</f>
        <v>31478925.27</v>
      </c>
      <c r="AL38" s="13">
        <f t="shared" si="120"/>
        <v>31804092.780000001</v>
      </c>
      <c r="AM38" s="13">
        <f t="shared" si="120"/>
        <v>32354439</v>
      </c>
      <c r="AN38" s="13">
        <f t="shared" si="120"/>
        <v>24296540</v>
      </c>
      <c r="AO38" s="13">
        <f t="shared" si="120"/>
        <v>30596858.969999999</v>
      </c>
      <c r="AP38" s="13">
        <f t="shared" si="120"/>
        <v>15129742.880000001</v>
      </c>
      <c r="AQ38" s="13">
        <f t="shared" si="120"/>
        <v>24022493.990000002</v>
      </c>
      <c r="AR38" s="13">
        <f t="shared" si="120"/>
        <v>49862260.080000006</v>
      </c>
      <c r="AS38" s="13">
        <f t="shared" si="120"/>
        <v>20525583.290000003</v>
      </c>
      <c r="AT38" s="13">
        <f t="shared" si="120"/>
        <v>2540816.5699999998</v>
      </c>
      <c r="AU38" s="13">
        <f t="shared" si="120"/>
        <v>0</v>
      </c>
      <c r="AV38" s="13">
        <f t="shared" si="120"/>
        <v>21909.010000000002</v>
      </c>
      <c r="AW38" s="13">
        <f t="shared" si="120"/>
        <v>984751.53</v>
      </c>
      <c r="AX38" s="13">
        <f t="shared" si="120"/>
        <v>540229.6100000001</v>
      </c>
      <c r="AY38" s="13">
        <f t="shared" si="120"/>
        <v>24613290.010000002</v>
      </c>
      <c r="AZ38" s="13">
        <f t="shared" si="120"/>
        <v>20507158.25</v>
      </c>
      <c r="BA38" s="13">
        <f t="shared" si="120"/>
        <v>2506898.0599999987</v>
      </c>
      <c r="BB38" s="13">
        <f t="shared" si="120"/>
        <v>0</v>
      </c>
      <c r="BC38" s="13">
        <f t="shared" si="120"/>
        <v>39818.089999999997</v>
      </c>
      <c r="BD38" s="13">
        <f t="shared" si="120"/>
        <v>946644.34</v>
      </c>
      <c r="BE38" s="13">
        <f t="shared" si="120"/>
        <v>567177.43999999913</v>
      </c>
      <c r="BF38" s="13">
        <f t="shared" si="120"/>
        <v>24567696.180000003</v>
      </c>
      <c r="BG38" s="13">
        <f t="shared" si="120"/>
        <v>45423312</v>
      </c>
      <c r="BH38" s="13">
        <f t="shared" si="120"/>
        <v>5772891.5779999997</v>
      </c>
      <c r="BI38" s="13">
        <f t="shared" si="120"/>
        <v>29662</v>
      </c>
      <c r="BJ38" s="13">
        <f t="shared" si="120"/>
        <v>24958</v>
      </c>
      <c r="BK38" s="13">
        <f t="shared" si="120"/>
        <v>1741412</v>
      </c>
      <c r="BL38" s="13">
        <f t="shared" si="120"/>
        <v>1418407</v>
      </c>
      <c r="BM38" s="13">
        <f t="shared" si="120"/>
        <v>54410642.578000002</v>
      </c>
      <c r="BN38" s="13">
        <f t="shared" si="120"/>
        <v>42623064</v>
      </c>
      <c r="BO38" s="13">
        <f t="shared" si="120"/>
        <v>5415220</v>
      </c>
      <c r="BP38" s="13">
        <f t="shared" si="120"/>
        <v>27285</v>
      </c>
      <c r="BQ38" s="13">
        <f t="shared" ref="BQ38:CV38" si="121">SUM(BQ28:BQ37)</f>
        <v>4034</v>
      </c>
      <c r="BR38" s="13">
        <f t="shared" si="121"/>
        <v>1802893</v>
      </c>
      <c r="BS38" s="13">
        <f t="shared" si="121"/>
        <v>1115074</v>
      </c>
      <c r="BT38" s="13">
        <f t="shared" si="121"/>
        <v>50987570</v>
      </c>
      <c r="BU38" s="13">
        <f t="shared" si="121"/>
        <v>47181618.979999997</v>
      </c>
      <c r="BV38" s="13">
        <f t="shared" si="121"/>
        <v>5811241.6299999999</v>
      </c>
      <c r="BW38" s="13">
        <f t="shared" si="121"/>
        <v>34239.579999999994</v>
      </c>
      <c r="BX38" s="13">
        <f t="shared" si="121"/>
        <v>6894.93</v>
      </c>
      <c r="BY38" s="13">
        <f t="shared" si="121"/>
        <v>1937341.3199999998</v>
      </c>
      <c r="BZ38" s="13">
        <f t="shared" si="121"/>
        <v>1518417.21</v>
      </c>
      <c r="CA38" s="13">
        <f t="shared" si="121"/>
        <v>56489753.650000006</v>
      </c>
      <c r="CB38" s="13">
        <f t="shared" si="121"/>
        <v>46545035.589999996</v>
      </c>
      <c r="CC38" s="13">
        <f t="shared" si="121"/>
        <v>5754235.0700000003</v>
      </c>
      <c r="CD38" s="13">
        <f t="shared" si="121"/>
        <v>27724.97</v>
      </c>
      <c r="CE38" s="13">
        <f t="shared" si="121"/>
        <v>3111.38</v>
      </c>
      <c r="CF38" s="13">
        <f t="shared" si="121"/>
        <v>2049751.54</v>
      </c>
      <c r="CG38" s="13">
        <f t="shared" si="121"/>
        <v>1228629.99</v>
      </c>
      <c r="CH38" s="13">
        <f t="shared" si="121"/>
        <v>55608488.539999999</v>
      </c>
      <c r="CI38" s="13">
        <f t="shared" si="121"/>
        <v>48592930.448295668</v>
      </c>
      <c r="CJ38" s="13">
        <f t="shared" si="121"/>
        <v>6163157.6939740069</v>
      </c>
      <c r="CK38" s="13">
        <f t="shared" si="121"/>
        <v>45354.429627279998</v>
      </c>
      <c r="CL38" s="13">
        <f t="shared" si="121"/>
        <v>11946.015027999998</v>
      </c>
      <c r="CM38" s="13">
        <f t="shared" si="121"/>
        <v>2309626.2885759999</v>
      </c>
      <c r="CN38" s="13">
        <f t="shared" si="121"/>
        <v>1628284.5435812452</v>
      </c>
      <c r="CO38" s="13">
        <f t="shared" si="121"/>
        <v>58751299.419082202</v>
      </c>
      <c r="CP38" s="13">
        <f t="shared" si="121"/>
        <v>48160546.679999992</v>
      </c>
      <c r="CQ38" s="13">
        <f t="shared" si="121"/>
        <v>5934887.3300000001</v>
      </c>
      <c r="CR38" s="13">
        <f t="shared" si="121"/>
        <v>42686.799999999996</v>
      </c>
      <c r="CS38" s="13">
        <f t="shared" si="121"/>
        <v>6874.83</v>
      </c>
      <c r="CT38" s="13">
        <f t="shared" si="121"/>
        <v>2240568.59</v>
      </c>
      <c r="CU38" s="13">
        <f t="shared" si="121"/>
        <v>1910872.930000029</v>
      </c>
      <c r="CV38" s="13">
        <f t="shared" si="121"/>
        <v>58296437.160000019</v>
      </c>
      <c r="CW38" s="13">
        <f t="shared" ref="CW38:EB38" si="122">SUM(CW28:CW37)</f>
        <v>52755688.309111804</v>
      </c>
      <c r="CX38" s="13">
        <f t="shared" si="122"/>
        <v>6640189.2732306663</v>
      </c>
      <c r="CY38" s="13">
        <f t="shared" si="122"/>
        <v>51191.416578084005</v>
      </c>
      <c r="CZ38" s="13">
        <f t="shared" si="122"/>
        <v>12432.331960342442</v>
      </c>
      <c r="DA38" s="13">
        <f t="shared" si="122"/>
        <v>2376562.1015478293</v>
      </c>
      <c r="DB38" s="13">
        <f t="shared" si="122"/>
        <v>1823035.3402974573</v>
      </c>
      <c r="DC38" s="13">
        <f t="shared" si="122"/>
        <v>63659098.772726178</v>
      </c>
      <c r="DD38" s="13">
        <f t="shared" si="122"/>
        <v>52170955.25</v>
      </c>
      <c r="DE38" s="13">
        <f t="shared" si="122"/>
        <v>6362233.6500000004</v>
      </c>
      <c r="DF38" s="13">
        <f t="shared" si="122"/>
        <v>37200.910000000003</v>
      </c>
      <c r="DG38" s="13">
        <f t="shared" si="122"/>
        <v>5258.3799999999992</v>
      </c>
      <c r="DH38" s="13">
        <f t="shared" si="122"/>
        <v>2447209.87</v>
      </c>
      <c r="DI38" s="13">
        <f t="shared" si="122"/>
        <v>1745724.54</v>
      </c>
      <c r="DJ38" s="13">
        <f t="shared" si="122"/>
        <v>62768582.599999987</v>
      </c>
      <c r="DK38" s="13">
        <f t="shared" si="122"/>
        <v>54938164.650937468</v>
      </c>
      <c r="DL38" s="13">
        <f t="shared" si="122"/>
        <v>6215402.0553116826</v>
      </c>
      <c r="DM38" s="13">
        <f t="shared" si="122"/>
        <v>39758.838762608</v>
      </c>
      <c r="DN38" s="13">
        <f t="shared" si="122"/>
        <v>8832.7674594458604</v>
      </c>
      <c r="DO38" s="13">
        <f t="shared" si="122"/>
        <v>2451237.5682654902</v>
      </c>
      <c r="DP38" s="13">
        <f t="shared" si="122"/>
        <v>1725504.9041560779</v>
      </c>
      <c r="DQ38" s="13">
        <f t="shared" si="122"/>
        <v>65378900.784892768</v>
      </c>
      <c r="DR38" s="13">
        <f t="shared" si="122"/>
        <v>50733927.159999996</v>
      </c>
      <c r="DS38" s="13">
        <f t="shared" si="122"/>
        <v>6301692.5199999996</v>
      </c>
      <c r="DT38" s="13">
        <f t="shared" si="122"/>
        <v>28257.93</v>
      </c>
      <c r="DU38" s="13">
        <f t="shared" si="122"/>
        <v>6301.53</v>
      </c>
      <c r="DV38" s="13">
        <f t="shared" si="122"/>
        <v>2554575.94</v>
      </c>
      <c r="DW38" s="13">
        <f t="shared" si="122"/>
        <v>1792370.2200000002</v>
      </c>
      <c r="DX38" s="13">
        <f t="shared" si="122"/>
        <v>61417125.300000012</v>
      </c>
      <c r="DY38" s="13">
        <f t="shared" si="122"/>
        <v>63397390</v>
      </c>
      <c r="DZ38" s="13">
        <f t="shared" si="122"/>
        <v>6988799</v>
      </c>
      <c r="EA38" s="13">
        <f t="shared" si="122"/>
        <v>44103</v>
      </c>
      <c r="EB38" s="13">
        <f t="shared" si="122"/>
        <v>12810</v>
      </c>
      <c r="EC38" s="13">
        <f t="shared" ref="EC38:FH38" si="123">SUM(EC28:EC37)</f>
        <v>2702344</v>
      </c>
      <c r="ED38" s="13">
        <f t="shared" si="123"/>
        <v>2001371</v>
      </c>
      <c r="EE38" s="13">
        <f t="shared" si="123"/>
        <v>75146817</v>
      </c>
      <c r="EF38" s="13">
        <f t="shared" si="123"/>
        <v>64417321</v>
      </c>
      <c r="EG38" s="13">
        <f t="shared" si="123"/>
        <v>6885642</v>
      </c>
      <c r="EH38" s="13">
        <f t="shared" si="123"/>
        <v>30730</v>
      </c>
      <c r="EI38" s="13">
        <f t="shared" si="123"/>
        <v>10953</v>
      </c>
      <c r="EJ38" s="13">
        <f t="shared" si="123"/>
        <v>2610428</v>
      </c>
      <c r="EK38" s="13">
        <f t="shared" si="123"/>
        <v>2053689</v>
      </c>
      <c r="EL38" s="13">
        <f t="shared" si="123"/>
        <v>76008763</v>
      </c>
      <c r="EM38" s="13">
        <f t="shared" si="123"/>
        <v>77854662.750000015</v>
      </c>
      <c r="EN38" s="13">
        <f t="shared" si="123"/>
        <v>7805841.2400000002</v>
      </c>
      <c r="EO38" s="13">
        <f t="shared" si="123"/>
        <v>67123.23</v>
      </c>
      <c r="EP38" s="13">
        <f t="shared" si="123"/>
        <v>74526.66</v>
      </c>
      <c r="EQ38" s="13">
        <f t="shared" si="123"/>
        <v>3225723.0300000003</v>
      </c>
      <c r="ER38" s="13">
        <f t="shared" si="123"/>
        <v>2484749.98</v>
      </c>
      <c r="ES38" s="13">
        <f t="shared" si="123"/>
        <v>91512626.890000001</v>
      </c>
      <c r="ET38" s="13">
        <f t="shared" si="123"/>
        <v>75298891.779999986</v>
      </c>
      <c r="EU38" s="13">
        <f t="shared" si="123"/>
        <v>7513561.4700000007</v>
      </c>
      <c r="EV38" s="13">
        <f t="shared" si="123"/>
        <v>55418.020000000004</v>
      </c>
      <c r="EW38" s="13">
        <f t="shared" si="123"/>
        <v>62156.05</v>
      </c>
      <c r="EX38" s="13">
        <f t="shared" si="123"/>
        <v>3094259.1100000003</v>
      </c>
      <c r="EY38" s="13">
        <f t="shared" si="123"/>
        <v>2237875.0699999998</v>
      </c>
      <c r="EZ38" s="13">
        <f t="shared" si="123"/>
        <v>88262161.499999985</v>
      </c>
      <c r="FA38" s="13">
        <f t="shared" si="123"/>
        <v>81049910.840000004</v>
      </c>
      <c r="FB38" s="13">
        <f t="shared" si="123"/>
        <v>8201921.2399999993</v>
      </c>
      <c r="FC38" s="13">
        <f t="shared" si="123"/>
        <v>58923.279999999992</v>
      </c>
      <c r="FD38" s="13">
        <f t="shared" si="123"/>
        <v>148014.88</v>
      </c>
      <c r="FE38" s="13">
        <f t="shared" si="123"/>
        <v>3473836.0599999996</v>
      </c>
      <c r="FF38" s="13">
        <f t="shared" si="123"/>
        <v>2708336.6099999994</v>
      </c>
      <c r="FG38" s="13">
        <f t="shared" si="123"/>
        <v>95640942.909999996</v>
      </c>
      <c r="FH38" s="13">
        <f t="shared" si="123"/>
        <v>82109757.329999998</v>
      </c>
      <c r="FI38" s="13">
        <f t="shared" ref="FI38:GD38" si="124">SUM(FI28:FI37)</f>
        <v>7848485.5299999993</v>
      </c>
      <c r="FJ38" s="13">
        <f t="shared" si="124"/>
        <v>44948.29</v>
      </c>
      <c r="FK38" s="13">
        <f t="shared" si="124"/>
        <v>135536.93</v>
      </c>
      <c r="FL38" s="13">
        <f t="shared" si="124"/>
        <v>3228976.39</v>
      </c>
      <c r="FM38" s="13">
        <f t="shared" si="124"/>
        <v>2428894.2000000002</v>
      </c>
      <c r="FN38" s="13">
        <f t="shared" si="124"/>
        <v>95796598.670000002</v>
      </c>
      <c r="FO38" s="13">
        <f t="shared" si="124"/>
        <v>83799430.030000031</v>
      </c>
      <c r="FP38" s="13">
        <f t="shared" si="124"/>
        <v>8596170.929999996</v>
      </c>
      <c r="FQ38" s="13">
        <f t="shared" si="124"/>
        <v>0</v>
      </c>
      <c r="FR38" s="13">
        <f t="shared" si="124"/>
        <v>17136.86</v>
      </c>
      <c r="FS38" s="13">
        <f t="shared" si="124"/>
        <v>0</v>
      </c>
      <c r="FT38" s="13">
        <f t="shared" si="124"/>
        <v>7911444.6100000003</v>
      </c>
      <c r="FU38" s="13">
        <f t="shared" si="124"/>
        <v>100324182.43000004</v>
      </c>
      <c r="FV38" s="13">
        <f t="shared" si="124"/>
        <v>82614965.920000046</v>
      </c>
      <c r="FW38" s="13">
        <f t="shared" si="124"/>
        <v>8336812.6299999943</v>
      </c>
      <c r="FX38" s="13">
        <f t="shared" si="124"/>
        <v>0</v>
      </c>
      <c r="FY38" s="13">
        <f t="shared" si="124"/>
        <v>15845.04</v>
      </c>
      <c r="FZ38" s="13">
        <f t="shared" si="124"/>
        <v>0</v>
      </c>
      <c r="GA38" s="13">
        <f t="shared" si="124"/>
        <v>7259049.1499999939</v>
      </c>
      <c r="GB38" s="13">
        <f t="shared" si="124"/>
        <v>98226672.740000024</v>
      </c>
      <c r="GC38" s="13">
        <f t="shared" si="124"/>
        <v>933144012.96470118</v>
      </c>
      <c r="GD38" s="13">
        <f t="shared" si="124"/>
        <v>883656648.67000008</v>
      </c>
      <c r="GE38" s="8"/>
      <c r="GG38" s="196"/>
      <c r="GH38" s="36"/>
      <c r="GI38" s="36"/>
      <c r="GJ38" s="36"/>
    </row>
    <row r="39" spans="1:192" s="5" customFormat="1" ht="12.75" x14ac:dyDescent="0.2">
      <c r="A39" s="265" t="s">
        <v>35</v>
      </c>
      <c r="B39" s="15" t="s">
        <v>12</v>
      </c>
      <c r="C39" s="1" t="s">
        <v>13</v>
      </c>
      <c r="D39" s="2">
        <v>39083</v>
      </c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80"/>
      <c r="U39" s="80"/>
      <c r="V39" s="80"/>
      <c r="W39" s="80"/>
      <c r="X39" s="80"/>
      <c r="Y39" s="80"/>
      <c r="Z39" s="80"/>
      <c r="AA39" s="79">
        <f>[26]SP!$E$5</f>
        <v>2247200.77</v>
      </c>
      <c r="AB39" s="79">
        <f>[26]SP!$E$9</f>
        <v>2240261.1800000002</v>
      </c>
      <c r="AC39" s="79">
        <f>[26]SP!$F$5</f>
        <v>2503364.21</v>
      </c>
      <c r="AD39" s="79">
        <f>[26]SP!$F$9</f>
        <v>2467615.41</v>
      </c>
      <c r="AE39" s="79">
        <f>[26]SP!$G$5</f>
        <v>2646199.69</v>
      </c>
      <c r="AF39" s="79">
        <f>[26]SP!$G$9</f>
        <v>2576691.69</v>
      </c>
      <c r="AG39" s="79">
        <f>[26]SP!$H$5</f>
        <v>3200893.35</v>
      </c>
      <c r="AH39" s="79">
        <f>[26]SP!$H$9</f>
        <v>3193007.46</v>
      </c>
      <c r="AI39" s="79">
        <f>[26]SP!$I$5</f>
        <v>3426186.47</v>
      </c>
      <c r="AJ39" s="79">
        <f>[26]SP!$I$9</f>
        <v>3413065.18</v>
      </c>
      <c r="AK39" s="79">
        <f>[26]SP!$J$5</f>
        <v>3175430.94</v>
      </c>
      <c r="AL39" s="79">
        <f>[26]SP!$J$9</f>
        <v>3167545.09</v>
      </c>
      <c r="AM39" s="79">
        <f>[26]SP!$K$5</f>
        <v>3591675.36</v>
      </c>
      <c r="AN39" s="79">
        <f>[26]SP!$K$9</f>
        <v>3560126.38</v>
      </c>
      <c r="AO39" s="79">
        <f>[26]SP!$L$5</f>
        <v>3310456.86</v>
      </c>
      <c r="AP39" s="79">
        <f>[26]SP!$L$9</f>
        <v>3297595.02</v>
      </c>
      <c r="AQ39" s="79">
        <f>[26]SP!$M$5</f>
        <v>2999199.33</v>
      </c>
      <c r="AR39" s="79">
        <f>[26]SP!$M$9</f>
        <v>2982172.16</v>
      </c>
      <c r="AS39" s="79">
        <f>[26]SP!$N$2</f>
        <v>1906890.49</v>
      </c>
      <c r="AT39" s="79">
        <f>[26]SP!$N$3</f>
        <v>974141.94</v>
      </c>
      <c r="AU39" s="50"/>
      <c r="AV39" s="79">
        <v>0</v>
      </c>
      <c r="AW39" s="50"/>
      <c r="AX39" s="79">
        <f>[26]SP!$N$4</f>
        <v>249769.32</v>
      </c>
      <c r="AY39" s="10">
        <f>SUM(AS39:AX39)</f>
        <v>3130801.7499999995</v>
      </c>
      <c r="AZ39" s="79">
        <f>[26]SP!$N$6</f>
        <v>1906890.49</v>
      </c>
      <c r="BA39" s="79">
        <f>[26]SP!$N$7</f>
        <v>962212.58</v>
      </c>
      <c r="BB39" s="50"/>
      <c r="BC39" s="79">
        <v>0</v>
      </c>
      <c r="BD39" s="50"/>
      <c r="BE39" s="79">
        <f>[26]SP!$N$8</f>
        <v>247361.28</v>
      </c>
      <c r="BF39" s="10">
        <f>SUM(AZ39:BE39)</f>
        <v>3116464.3499999996</v>
      </c>
      <c r="BG39" s="10">
        <f>[26]SP!$O$2</f>
        <v>2070362.52</v>
      </c>
      <c r="BH39" s="10">
        <f>[26]SP!$O$3</f>
        <v>910493.2</v>
      </c>
      <c r="BI39" s="10">
        <v>0</v>
      </c>
      <c r="BJ39" s="10">
        <v>0</v>
      </c>
      <c r="BK39" s="10">
        <v>0</v>
      </c>
      <c r="BL39" s="10">
        <f>[26]SP!$O$4</f>
        <v>318237.84999999998</v>
      </c>
      <c r="BM39" s="10">
        <f t="shared" ref="BM39:BM51" si="125">SUM(BG39:BL39)</f>
        <v>3299093.57</v>
      </c>
      <c r="BN39" s="10">
        <f>[26]SP!$O$6</f>
        <v>2070362.52</v>
      </c>
      <c r="BO39" s="10">
        <f>[26]SP!$O$7</f>
        <v>882210.94</v>
      </c>
      <c r="BP39" s="10">
        <v>0</v>
      </c>
      <c r="BQ39" s="10">
        <v>0</v>
      </c>
      <c r="BR39" s="10">
        <v>0</v>
      </c>
      <c r="BS39" s="10">
        <f>[26]SP!$O$8</f>
        <v>316304.69</v>
      </c>
      <c r="BT39" s="10">
        <f>SUM(BN39:BS39)</f>
        <v>3268878.15</v>
      </c>
      <c r="BU39" s="10">
        <f>[26]SP!$P$2</f>
        <v>12131682.99</v>
      </c>
      <c r="BV39" s="10">
        <f>[26]SP!$P$3</f>
        <v>973303.55</v>
      </c>
      <c r="BW39" s="10"/>
      <c r="BX39" s="10">
        <v>0</v>
      </c>
      <c r="BY39" s="10">
        <v>0</v>
      </c>
      <c r="BZ39" s="10">
        <f>[26]SP!$P$4</f>
        <v>392189.8</v>
      </c>
      <c r="CA39" s="10">
        <f t="shared" si="65"/>
        <v>13497176.340000002</v>
      </c>
      <c r="CB39" s="14">
        <f>[26]SP!$P$6</f>
        <v>12131682.99</v>
      </c>
      <c r="CC39" s="14">
        <f>[26]SP!$P$7</f>
        <v>962715.82</v>
      </c>
      <c r="CD39" s="14">
        <v>0</v>
      </c>
      <c r="CE39" s="14">
        <v>0</v>
      </c>
      <c r="CF39" s="14">
        <v>0</v>
      </c>
      <c r="CG39" s="14">
        <f>[26]SP!$P$8</f>
        <v>372413.71</v>
      </c>
      <c r="CH39" s="10">
        <f>SUM(CB39:CG39)</f>
        <v>13466812.520000001</v>
      </c>
      <c r="CI39" s="10">
        <f>[26]SP!$Q$2</f>
        <v>10964002.33</v>
      </c>
      <c r="CJ39" s="10">
        <f>[26]SP!$Q$3</f>
        <v>1029829.86</v>
      </c>
      <c r="CK39" s="10"/>
      <c r="CL39" s="10">
        <v>0</v>
      </c>
      <c r="CM39" s="10">
        <v>0</v>
      </c>
      <c r="CN39" s="10">
        <f>[26]SP!$Q$4</f>
        <v>373773.24</v>
      </c>
      <c r="CO39" s="10">
        <f>SUM(CI39:CN39)</f>
        <v>12367605.43</v>
      </c>
      <c r="CP39" s="14">
        <f>[26]SP!$Q$6</f>
        <v>10964002.33</v>
      </c>
      <c r="CQ39" s="14">
        <f>[26]SP!$Q$7</f>
        <v>1015178.01</v>
      </c>
      <c r="CR39" s="14">
        <v>0</v>
      </c>
      <c r="CS39" s="14">
        <v>0</v>
      </c>
      <c r="CT39" s="14">
        <v>0</v>
      </c>
      <c r="CU39" s="14">
        <f>[26]SP!$Q$8</f>
        <v>365372.17</v>
      </c>
      <c r="CV39" s="10">
        <f>SUM(CP39:CU39)</f>
        <v>12344552.51</v>
      </c>
      <c r="CW39" s="10">
        <f>[26]SP!$R$2</f>
        <v>11780857.68</v>
      </c>
      <c r="CX39" s="10">
        <f>[26]SP!$R$3</f>
        <v>1166927.29</v>
      </c>
      <c r="CY39" s="10"/>
      <c r="CZ39" s="10"/>
      <c r="DA39" s="10"/>
      <c r="DB39" s="10">
        <f>[26]SP!$R$4</f>
        <v>397871.28</v>
      </c>
      <c r="DC39" s="10">
        <f t="shared" ref="DC39:DC46" si="126">SUM(CW39:DB39)</f>
        <v>13345656.249999998</v>
      </c>
      <c r="DD39" s="10">
        <f>[26]SP!$R$6</f>
        <v>11780857.68</v>
      </c>
      <c r="DE39" s="10">
        <f>[26]SP!$R$7</f>
        <v>1150438.81</v>
      </c>
      <c r="DF39" s="10"/>
      <c r="DG39" s="10"/>
      <c r="DH39" s="10"/>
      <c r="DI39" s="10">
        <f>[26]SP!$R$8</f>
        <v>394254.76</v>
      </c>
      <c r="DJ39" s="10">
        <f t="shared" ref="DJ39:DJ46" si="127">SUM(DD39:DI39)</f>
        <v>13325551.25</v>
      </c>
      <c r="DK39" s="10">
        <f>[26]SP!$S$2</f>
        <v>12395535.300000001</v>
      </c>
      <c r="DL39" s="10">
        <f>[26]SP!$S$3</f>
        <v>1363840.57</v>
      </c>
      <c r="DM39" s="10"/>
      <c r="DN39" s="10"/>
      <c r="DO39" s="10"/>
      <c r="DP39" s="10">
        <f>[26]SP!$S$4</f>
        <v>440087.42</v>
      </c>
      <c r="DQ39" s="148">
        <f>SUM(DK39:DP39)</f>
        <v>14199463.290000001</v>
      </c>
      <c r="DR39" s="10">
        <f>[26]SP!$S$6</f>
        <v>12395535.300000001</v>
      </c>
      <c r="DS39" s="10">
        <f>[26]SP!$S$7</f>
        <v>1203658.3500000001</v>
      </c>
      <c r="DT39" s="10"/>
      <c r="DU39" s="10"/>
      <c r="DV39" s="10"/>
      <c r="DW39" s="10">
        <f>[26]SP!$S$8</f>
        <v>434801.19</v>
      </c>
      <c r="DX39" s="10">
        <f>SUM(DR39:DW39)</f>
        <v>14033994.84</v>
      </c>
      <c r="DY39" s="10">
        <f>[26]SP!$T$2</f>
        <v>15098658.109999999</v>
      </c>
      <c r="DZ39" s="10">
        <f>[26]SP!$T$3</f>
        <v>1104134.49</v>
      </c>
      <c r="EA39" s="10"/>
      <c r="EB39" s="10"/>
      <c r="EC39" s="10"/>
      <c r="ED39" s="10">
        <f>[26]SP!$T$4</f>
        <v>655369.09</v>
      </c>
      <c r="EE39" s="169">
        <f>SUM(DY39:ED39)</f>
        <v>16858161.690000001</v>
      </c>
      <c r="EF39" s="10">
        <f>[26]SP!$T$6</f>
        <v>15098658.109999999</v>
      </c>
      <c r="EG39" s="10">
        <f>[26]SP!$T$7</f>
        <v>1067654.7</v>
      </c>
      <c r="EH39" s="10"/>
      <c r="EI39" s="10"/>
      <c r="EJ39" s="10"/>
      <c r="EK39" s="10">
        <f>[26]SP!$T$8</f>
        <v>611272.07999999996</v>
      </c>
      <c r="EL39" s="148">
        <f>SUM(EF39:EK39)</f>
        <v>16777584.889999997</v>
      </c>
      <c r="EM39" s="10">
        <f>[26]SP!$U$2</f>
        <v>12131199.07</v>
      </c>
      <c r="EN39" s="10">
        <f>[26]SP!$U$3</f>
        <v>1262810.23</v>
      </c>
      <c r="EO39" s="10"/>
      <c r="EP39" s="10"/>
      <c r="EQ39" s="10"/>
      <c r="ER39" s="10">
        <f>[26]SP!$U$4</f>
        <v>566065.01</v>
      </c>
      <c r="ES39" s="148">
        <f t="shared" si="101"/>
        <v>13960074.310000001</v>
      </c>
      <c r="ET39" s="10">
        <f>[26]SP!$U$6</f>
        <v>12127859.35</v>
      </c>
      <c r="EU39" s="10">
        <f>[26]SP!$U$7</f>
        <v>1198325.95</v>
      </c>
      <c r="EV39" s="10"/>
      <c r="EW39" s="10"/>
      <c r="EX39" s="10"/>
      <c r="EY39" s="10">
        <f>[26]SP!$U$8</f>
        <v>462436.21</v>
      </c>
      <c r="EZ39" s="10">
        <f t="shared" si="102"/>
        <v>13788621.51</v>
      </c>
      <c r="FA39" s="10">
        <f>[27]SP1!$B$30</f>
        <v>6576866.4900000002</v>
      </c>
      <c r="FB39" s="10">
        <f>[27]SP1!$C$30</f>
        <v>1220982.56</v>
      </c>
      <c r="FC39" s="10"/>
      <c r="FD39" s="10"/>
      <c r="FE39" s="10"/>
      <c r="FF39" s="10">
        <f>[27]SP1!$D$30</f>
        <v>762238.96</v>
      </c>
      <c r="FG39" s="10">
        <f t="shared" ref="FG39:FG91" si="128">SUM(FA39:FF39)</f>
        <v>8560088.0100000016</v>
      </c>
      <c r="FH39" s="10">
        <f>[27]SP1!$F$30</f>
        <v>6523810.5</v>
      </c>
      <c r="FI39" s="10">
        <f>[27]SP1!$G$30</f>
        <v>1087381.03</v>
      </c>
      <c r="FJ39" s="10"/>
      <c r="FK39" s="10"/>
      <c r="FL39" s="10"/>
      <c r="FM39" s="10">
        <f>[27]SP1!$H$30</f>
        <v>587214.23</v>
      </c>
      <c r="FN39" s="10">
        <f t="shared" si="116"/>
        <v>8198405.7599999998</v>
      </c>
      <c r="FO39" s="10">
        <f>[28]SP!R26</f>
        <v>9512910.2899999991</v>
      </c>
      <c r="FP39" s="10">
        <f>[28]SP!S26</f>
        <v>1329298.26</v>
      </c>
      <c r="FQ39" s="10"/>
      <c r="FR39" s="10">
        <f>[28]SP!Q26</f>
        <v>0</v>
      </c>
      <c r="FS39" s="10"/>
      <c r="FT39" s="10">
        <f>[28]SP!T26</f>
        <v>1240604.97</v>
      </c>
      <c r="FU39" s="10">
        <f>SUM(FO39:FT39)</f>
        <v>12082813.52</v>
      </c>
      <c r="FV39" s="10">
        <f>[28]SP!V26</f>
        <v>9288786.8000000007</v>
      </c>
      <c r="FW39" s="10">
        <f>[28]SP!W26</f>
        <v>1326109.53</v>
      </c>
      <c r="FX39" s="10"/>
      <c r="FY39" s="10">
        <f>[28]SP!U26</f>
        <v>0</v>
      </c>
      <c r="FZ39" s="10"/>
      <c r="GA39" s="10">
        <f>[28]SP!X26</f>
        <v>419623.75</v>
      </c>
      <c r="GB39" s="10">
        <f>SUM(FV39:GA39)</f>
        <v>11034520.08</v>
      </c>
      <c r="GC39" s="148">
        <f>E39+G39+I39+K39+M39+O39+Q39+S39+U39+W39+Y39+AA39+AC39+AE39+AG39+AI39+AK39+AM39+AO39+AQ39+AY39+BM39+CA39+CO39+DC39+DQ39+EE39+ES39+FG39+FU39</f>
        <v>138401541.14000002</v>
      </c>
      <c r="GD39" s="148">
        <f>F39+H39+J39+L39+N39+P39+R39+T39+V39+X39+Z39+AB39+AD39+AF39+AH39+AJ39+AL39+AN39+AP39+AR39+BF39+BT39+CH39+CV39+DJ39+DX39+EL39+EZ39+FN39+GB39</f>
        <v>136253465.43000001</v>
      </c>
      <c r="GE39" s="217" t="s">
        <v>118</v>
      </c>
      <c r="GG39" s="196"/>
      <c r="GH39" s="36"/>
      <c r="GI39" s="36"/>
      <c r="GJ39" s="36"/>
    </row>
    <row r="40" spans="1:192" s="5" customFormat="1" ht="12.75" x14ac:dyDescent="0.2">
      <c r="A40" s="266"/>
      <c r="B40" s="15" t="s">
        <v>16</v>
      </c>
      <c r="C40" s="1" t="s">
        <v>13</v>
      </c>
      <c r="D40" s="2">
        <v>39083</v>
      </c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79">
        <f>[26]SP!$E$31</f>
        <v>11015000.199999999</v>
      </c>
      <c r="AB40" s="79">
        <f>[26]SP!$E$41</f>
        <v>9820940.6699999999</v>
      </c>
      <c r="AC40" s="79">
        <f>[26]SP!$F$31</f>
        <v>13236791</v>
      </c>
      <c r="AD40" s="79">
        <f>[26]SP!$F$41</f>
        <v>12068722.76</v>
      </c>
      <c r="AE40" s="79">
        <f>[26]SP!$G$31</f>
        <v>16464513.689999999</v>
      </c>
      <c r="AF40" s="79">
        <f>[26]SP!$G$41</f>
        <v>15656944.85</v>
      </c>
      <c r="AG40" s="79">
        <f>[26]SP!$H$31</f>
        <v>19278871</v>
      </c>
      <c r="AH40" s="79">
        <f>[26]SP!$H$41</f>
        <v>17624172.050000001</v>
      </c>
      <c r="AI40" s="79">
        <f>[26]SP!$I$31</f>
        <v>18611763.02</v>
      </c>
      <c r="AJ40" s="79">
        <f>[26]SP!$I$41</f>
        <v>16938924.329999998</v>
      </c>
      <c r="AK40" s="79">
        <f>[26]SP!$J$31</f>
        <v>18681497.469999999</v>
      </c>
      <c r="AL40" s="79">
        <f>[26]SP!$J$41</f>
        <v>16558989.789999999</v>
      </c>
      <c r="AM40" s="79">
        <f>[26]SP!$K$31</f>
        <v>17431889.41</v>
      </c>
      <c r="AN40" s="79">
        <f>[26]SP!$K$41</f>
        <v>16224907.689999999</v>
      </c>
      <c r="AO40" s="79">
        <f>[26]SP!$L$31</f>
        <v>16065212.34</v>
      </c>
      <c r="AP40" s="79">
        <f>[26]SP!$L$41</f>
        <v>14603926.32</v>
      </c>
      <c r="AQ40" s="79">
        <f>[26]SP!$M$31</f>
        <v>15922133.710000001</v>
      </c>
      <c r="AR40" s="79">
        <f>[26]SP!$M$41</f>
        <v>13612498.52</v>
      </c>
      <c r="AS40" s="79">
        <f>[26]SP!$N$22+[26]SP!$N28</f>
        <v>16791195.949999999</v>
      </c>
      <c r="AT40" s="79">
        <f>[26]SP!$N$23</f>
        <v>3927893.43</v>
      </c>
      <c r="AU40" s="50"/>
      <c r="AV40" s="10">
        <v>0</v>
      </c>
      <c r="AW40" s="50"/>
      <c r="AX40" s="79">
        <f>[26]SP!$N$27+[26]SP!$N$29</f>
        <v>1400667.2</v>
      </c>
      <c r="AY40" s="10">
        <f>SUM(AS40:AX40)</f>
        <v>22119756.579999998</v>
      </c>
      <c r="AZ40" s="79">
        <f>[26]SP!$N$32+[26]SP!$N$38</f>
        <v>11013010.560000001</v>
      </c>
      <c r="BA40" s="79">
        <f>[26]SP!$N$33</f>
        <v>3364035.83</v>
      </c>
      <c r="BB40" s="50"/>
      <c r="BC40" s="10">
        <v>0</v>
      </c>
      <c r="BD40" s="50"/>
      <c r="BE40" s="79">
        <f>[26]SP!$N$37+[26]SP!$N$39</f>
        <v>1210953.4000000001</v>
      </c>
      <c r="BF40" s="10">
        <f>SUM(AZ40:BE40)</f>
        <v>15587999.790000001</v>
      </c>
      <c r="BG40" s="10">
        <f>[26]SP!$O$22+[26]SP!$O$28</f>
        <v>16182970.59</v>
      </c>
      <c r="BH40" s="10">
        <f>[26]SP!$O$23</f>
        <v>4012751.97</v>
      </c>
      <c r="BI40" s="10">
        <v>0</v>
      </c>
      <c r="BJ40" s="10">
        <v>0</v>
      </c>
      <c r="BK40" s="10">
        <v>0</v>
      </c>
      <c r="BL40" s="10">
        <f>[26]SP!$O$27+[26]SP!$O$29</f>
        <v>1629334.07</v>
      </c>
      <c r="BM40" s="10">
        <f t="shared" si="125"/>
        <v>21825056.629999999</v>
      </c>
      <c r="BN40" s="14">
        <f>[26]SP!$O$32+[26]SP!$O$38</f>
        <v>14621586.559999999</v>
      </c>
      <c r="BO40" s="14">
        <f>[26]SP!$O$33</f>
        <v>3606963.09</v>
      </c>
      <c r="BP40" s="14">
        <v>0</v>
      </c>
      <c r="BQ40" s="14">
        <v>0</v>
      </c>
      <c r="BR40" s="14">
        <v>0</v>
      </c>
      <c r="BS40" s="14">
        <f>[26]SP!$O$37+[26]SP!$O$39</f>
        <v>1415040.28</v>
      </c>
      <c r="BT40" s="10">
        <f>SUM(BN40:BS40)</f>
        <v>19643589.93</v>
      </c>
      <c r="BU40" s="10">
        <f>[26]SP!$P$22+[26]SP!$P$28</f>
        <v>17578254.18</v>
      </c>
      <c r="BV40" s="10">
        <f>[26]SP!$P$23</f>
        <v>4495769.63</v>
      </c>
      <c r="BW40" s="10">
        <v>0</v>
      </c>
      <c r="BX40" s="10">
        <v>0</v>
      </c>
      <c r="BY40" s="10">
        <v>0</v>
      </c>
      <c r="BZ40" s="10">
        <f>[26]SP!$P$27+[26]SP!$P$29</f>
        <v>1883625.56</v>
      </c>
      <c r="CA40" s="10">
        <f t="shared" si="65"/>
        <v>23957649.369999997</v>
      </c>
      <c r="CB40" s="14">
        <f>[26]SP!$P$32+[26]SP!$P$38</f>
        <v>16558274.26</v>
      </c>
      <c r="CC40" s="14">
        <f>[26]SP!$P$33</f>
        <v>4046757.98</v>
      </c>
      <c r="CD40" s="14">
        <v>0</v>
      </c>
      <c r="CE40" s="14">
        <v>0</v>
      </c>
      <c r="CF40" s="14">
        <v>0</v>
      </c>
      <c r="CG40" s="14">
        <f>[26]SP!$P$37+[26]SP!$P$39</f>
        <v>1434002.22</v>
      </c>
      <c r="CH40" s="10">
        <f>SUM(CB40:CG40)</f>
        <v>22039034.459999997</v>
      </c>
      <c r="CI40" s="10">
        <f>[26]SP!$Q$22+[26]SP!$Q$28</f>
        <v>16891144.84</v>
      </c>
      <c r="CJ40" s="10">
        <f>[26]SP!$Q$23</f>
        <v>4905183.2</v>
      </c>
      <c r="CK40" s="10">
        <v>0</v>
      </c>
      <c r="CL40" s="10">
        <v>0</v>
      </c>
      <c r="CM40" s="10">
        <v>0</v>
      </c>
      <c r="CN40" s="10">
        <f>[26]SP!$Q$27+[26]SP!$Q$29</f>
        <v>2085673.78</v>
      </c>
      <c r="CO40" s="10">
        <f t="shared" ref="CO40:CO57" si="129">SUM(CI40:CN40)</f>
        <v>23882001.82</v>
      </c>
      <c r="CP40" s="14">
        <f>[26]SP!$Q$32+[26]SP!$Q$38</f>
        <v>16025664.050000001</v>
      </c>
      <c r="CQ40" s="14">
        <f>[26]SP!$Q$33</f>
        <v>4547520.5</v>
      </c>
      <c r="CR40" s="14">
        <v>0</v>
      </c>
      <c r="CS40" s="14">
        <v>0</v>
      </c>
      <c r="CT40" s="14">
        <v>0</v>
      </c>
      <c r="CU40" s="14">
        <f>[26]SP!$Q$37+[26]SP!$Q$39</f>
        <v>1772092.5699999998</v>
      </c>
      <c r="CV40" s="10">
        <f>SUM(CP40:CU40)</f>
        <v>22345277.120000001</v>
      </c>
      <c r="CW40" s="10">
        <f>[26]SP!$R$22+[26]SP!$R$28</f>
        <v>15435682.869999999</v>
      </c>
      <c r="CX40" s="10">
        <f>[26]SP!$R$23</f>
        <v>4240396.42</v>
      </c>
      <c r="CY40" s="10"/>
      <c r="CZ40" s="10"/>
      <c r="DA40" s="10"/>
      <c r="DB40" s="10">
        <f>[26]SP!$R$27+[26]SP!$R$29</f>
        <v>2154039.0700000003</v>
      </c>
      <c r="DC40" s="10">
        <f t="shared" si="126"/>
        <v>21830118.359999999</v>
      </c>
      <c r="DD40" s="10">
        <f>[26]SP!$R$32+[26]SP!$R$38</f>
        <v>13571705.899999999</v>
      </c>
      <c r="DE40" s="10">
        <f>[26]SP!$R$33</f>
        <v>4008037.44</v>
      </c>
      <c r="DF40" s="10"/>
      <c r="DG40" s="10"/>
      <c r="DH40" s="10"/>
      <c r="DI40" s="10">
        <f>[26]SP!$R$37+[26]SP!$R$39</f>
        <v>1796531.45</v>
      </c>
      <c r="DJ40" s="10">
        <f t="shared" si="127"/>
        <v>19376274.789999999</v>
      </c>
      <c r="DK40" s="10">
        <f>[26]SP!$S$22+[26]SP!$S$28</f>
        <v>16901874.27</v>
      </c>
      <c r="DL40" s="10">
        <f>[26]SP!$S$23</f>
        <v>4334335.3099999996</v>
      </c>
      <c r="DM40" s="10"/>
      <c r="DN40" s="10"/>
      <c r="DO40" s="10"/>
      <c r="DP40" s="10">
        <f>[26]SP!$S$27+[26]SP!$S$29</f>
        <v>2850235.29</v>
      </c>
      <c r="DQ40" s="148">
        <f>SUM(DK40:DP40)</f>
        <v>24086444.869999997</v>
      </c>
      <c r="DR40" s="10">
        <f>[26]SP!$S$32+[26]SP!$S$38</f>
        <v>15482319.640000001</v>
      </c>
      <c r="DS40" s="10">
        <f>[26]SP!$S$33</f>
        <v>4129592.97</v>
      </c>
      <c r="DT40" s="10"/>
      <c r="DU40" s="10"/>
      <c r="DV40" s="10"/>
      <c r="DW40" s="10">
        <f>[26]SP!$S$37+[26]SP!$S$39</f>
        <v>2205217.94</v>
      </c>
      <c r="DX40" s="10">
        <f>SUM(DR40:DW40)</f>
        <v>21817130.550000001</v>
      </c>
      <c r="DY40" s="10">
        <f>[26]SP!$T$22+[26]SP!$T$28</f>
        <v>16630198.530000001</v>
      </c>
      <c r="DZ40" s="10">
        <f>[26]SP!$T$23</f>
        <v>3904902.05</v>
      </c>
      <c r="EA40" s="10"/>
      <c r="EB40" s="10"/>
      <c r="EC40" s="10"/>
      <c r="ED40" s="10">
        <f>[26]SP!$T$27+[26]SP!$T$29</f>
        <v>2491604.6399999997</v>
      </c>
      <c r="EE40" s="169">
        <f>SUM(DY40:ED40)</f>
        <v>23026705.220000003</v>
      </c>
      <c r="EF40" s="10">
        <f>[26]SP!$T$32+[26]SP!$T$38</f>
        <v>16519299.540000001</v>
      </c>
      <c r="EG40" s="10">
        <f>[26]SP!$T$33</f>
        <v>3466781.9</v>
      </c>
      <c r="EH40" s="10"/>
      <c r="EI40" s="10"/>
      <c r="EJ40" s="10"/>
      <c r="EK40" s="10">
        <f>[26]SP!$T$37+[26]SP!$T$39</f>
        <v>1864287.46</v>
      </c>
      <c r="EL40" s="148">
        <f>SUM(EF40:EK40)</f>
        <v>21850368.900000002</v>
      </c>
      <c r="EM40" s="10">
        <f>[26]SP!$U$22+[26]SP!$U$28</f>
        <v>15967431.879999999</v>
      </c>
      <c r="EN40" s="10">
        <f>[26]SP!$U$23</f>
        <v>4333460.2</v>
      </c>
      <c r="EO40" s="10"/>
      <c r="EP40" s="10"/>
      <c r="EQ40" s="10"/>
      <c r="ER40" s="10">
        <f>[26]SP!$U$27+[26]SP!$U$29</f>
        <v>2328246.3600000003</v>
      </c>
      <c r="ES40" s="148">
        <f t="shared" si="101"/>
        <v>22629138.439999998</v>
      </c>
      <c r="ET40" s="10">
        <f>[26]SP!$U$32+[26]SP!$U$38</f>
        <v>15626542.870000001</v>
      </c>
      <c r="EU40" s="10">
        <f>[26]SP!$U$33</f>
        <v>3882675.51</v>
      </c>
      <c r="EV40" s="10"/>
      <c r="EW40" s="10"/>
      <c r="EX40" s="10"/>
      <c r="EY40" s="10">
        <f>[26]SP!$U$37+[26]SP!$U$39</f>
        <v>1904743.5999999999</v>
      </c>
      <c r="EZ40" s="10">
        <f t="shared" si="102"/>
        <v>21413961.980000004</v>
      </c>
      <c r="FA40" s="10">
        <f>[27]SP1!$C$95</f>
        <v>12789102.01</v>
      </c>
      <c r="FB40" s="10">
        <f>[27]SP1!$D$95</f>
        <v>4475290.0999999996</v>
      </c>
      <c r="FC40" s="10"/>
      <c r="FD40" s="10"/>
      <c r="FE40" s="10"/>
      <c r="FF40" s="10">
        <f>[27]SP1!$H$95+[27]SP1!$I$95+[27]SP1!$J$95</f>
        <v>6554618.3200000003</v>
      </c>
      <c r="FG40" s="10">
        <f t="shared" si="128"/>
        <v>23819010.43</v>
      </c>
      <c r="FH40" s="10">
        <f>[27]SP1!$C$119</f>
        <v>12747441.59</v>
      </c>
      <c r="FI40" s="10">
        <f>[27]SP1!$D$119</f>
        <v>4091506.92</v>
      </c>
      <c r="FJ40" s="10"/>
      <c r="FK40" s="10"/>
      <c r="FL40" s="10"/>
      <c r="FM40" s="10">
        <f>[27]SP1!$H$119+[27]SP1!$I$119+[27]SP1!$J$119</f>
        <v>5952823.1500000004</v>
      </c>
      <c r="FN40" s="10">
        <f t="shared" si="116"/>
        <v>22791771.659999996</v>
      </c>
      <c r="FO40" s="10">
        <f>[28]SP!R14</f>
        <v>12893467.359999999</v>
      </c>
      <c r="FP40" s="10">
        <f>[28]SP!S14</f>
        <v>4270371.0199999996</v>
      </c>
      <c r="FQ40" s="10"/>
      <c r="FR40" s="10">
        <f>[28]SP!Q14</f>
        <v>0</v>
      </c>
      <c r="FS40" s="10"/>
      <c r="FT40" s="10">
        <f>[28]SP!T14</f>
        <v>6453296.5099999998</v>
      </c>
      <c r="FU40" s="10">
        <f t="shared" ref="FU40:FU59" si="130">SUM(FO40:FT40)</f>
        <v>23617134.890000001</v>
      </c>
      <c r="FV40" s="10">
        <f>[28]SP!V14</f>
        <v>12593814.710000001</v>
      </c>
      <c r="FW40" s="10">
        <f>[28]SP!W14</f>
        <v>3836836.09</v>
      </c>
      <c r="FX40" s="10"/>
      <c r="FY40" s="10">
        <f>[28]SP!U14</f>
        <v>0</v>
      </c>
      <c r="FZ40" s="10"/>
      <c r="GA40" s="10">
        <f>[28]SP!X14</f>
        <v>5973092.7199999997</v>
      </c>
      <c r="GB40" s="10">
        <f t="shared" ref="GB40:GB59" si="131">SUM(FV40:GA40)</f>
        <v>22403743.52</v>
      </c>
      <c r="GC40" s="148">
        <f t="shared" ref="GC40:GC59" si="132">E40+G40+I40+K40+M40+O40+Q40+S40+U40+W40+Y40+AA40+AC40+AE40+AG40+AI40+AK40+AM40+AO40+AQ40+AY40+BM40+CA40+CO40+DC40+DQ40+EE40+ES40+FG40+FU40</f>
        <v>377500688.45000005</v>
      </c>
      <c r="GD40" s="148">
        <f t="shared" ref="GD40:GD59" si="133">F40+H40+J40+L40+N40+P40+R40+T40+V40+X40+Z40+AB40+AD40+AF40+AH40+AJ40+AL40+AN40+AP40+AR40+BF40+BT40+CH40+CV40+DJ40+DX40+EL40+EZ40+FN40+GB40</f>
        <v>342379179.67999995</v>
      </c>
      <c r="GE40" s="218"/>
      <c r="GG40" s="196"/>
      <c r="GH40" s="36"/>
      <c r="GI40" s="36"/>
      <c r="GJ40" s="36"/>
    </row>
    <row r="41" spans="1:192" s="5" customFormat="1" ht="12.75" x14ac:dyDescent="0.2">
      <c r="A41" s="266"/>
      <c r="B41" s="15" t="s">
        <v>28</v>
      </c>
      <c r="C41" s="1" t="s">
        <v>13</v>
      </c>
      <c r="D41" s="2">
        <v>40391</v>
      </c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79">
        <f>[31]cobranças!AG7</f>
        <v>2735576.09</v>
      </c>
      <c r="AH41" s="79">
        <f>[31]cobranças!AH7</f>
        <v>2390433.04</v>
      </c>
      <c r="AI41" s="79">
        <f>[31]cobranças!AI7</f>
        <v>7165907.4699999997</v>
      </c>
      <c r="AJ41" s="79">
        <f>[31]cobranças!AJ7</f>
        <v>6423654.8700000001</v>
      </c>
      <c r="AK41" s="79">
        <f>[31]cobranças!AK7</f>
        <v>7899067.4500000002</v>
      </c>
      <c r="AL41" s="79">
        <f>[31]cobranças!AL7</f>
        <v>7564925.5199999996</v>
      </c>
      <c r="AM41" s="79">
        <f>[31]cobranças!AM7</f>
        <v>8675732.3900000006</v>
      </c>
      <c r="AN41" s="79">
        <f>[31]cobranças!AN7</f>
        <v>8343467.96</v>
      </c>
      <c r="AO41" s="79">
        <f>[31]cobranças!AO7</f>
        <v>7274943.2599999998</v>
      </c>
      <c r="AP41" s="79">
        <f>[31]cobranças!AP7</f>
        <v>4589200</v>
      </c>
      <c r="AQ41" s="79">
        <f>[31]cobranças!AQ7</f>
        <v>7656889.21</v>
      </c>
      <c r="AR41" s="79">
        <f>[31]cobranças!AR7</f>
        <v>7706675</v>
      </c>
      <c r="AS41" s="75" t="s">
        <v>11</v>
      </c>
      <c r="AT41" s="75" t="s">
        <v>11</v>
      </c>
      <c r="AU41" s="50"/>
      <c r="AV41" s="75">
        <v>0</v>
      </c>
      <c r="AW41" s="50"/>
      <c r="AX41" s="75" t="s">
        <v>11</v>
      </c>
      <c r="AY41" s="79">
        <v>7719407</v>
      </c>
      <c r="AZ41" s="75" t="s">
        <v>11</v>
      </c>
      <c r="BA41" s="75" t="s">
        <v>11</v>
      </c>
      <c r="BB41" s="50"/>
      <c r="BC41" s="75">
        <v>0</v>
      </c>
      <c r="BD41" s="50"/>
      <c r="BE41" s="75" t="s">
        <v>11</v>
      </c>
      <c r="BF41" s="10">
        <f>[31]cobranças!BF7</f>
        <v>6258281.2000000002</v>
      </c>
      <c r="BG41" s="10">
        <v>5036702.79</v>
      </c>
      <c r="BH41" s="10">
        <v>3314076.01</v>
      </c>
      <c r="BI41" s="10">
        <v>0</v>
      </c>
      <c r="BJ41" s="10">
        <v>0</v>
      </c>
      <c r="BK41" s="10">
        <v>0</v>
      </c>
      <c r="BL41" s="10">
        <v>61890.1</v>
      </c>
      <c r="BM41" s="10">
        <f t="shared" si="125"/>
        <v>8412668.9000000004</v>
      </c>
      <c r="BN41" s="10">
        <v>4802038.34</v>
      </c>
      <c r="BO41" s="10">
        <v>2687451.99</v>
      </c>
      <c r="BP41" s="10">
        <v>0</v>
      </c>
      <c r="BQ41" s="10">
        <v>0</v>
      </c>
      <c r="BR41" s="10">
        <v>0</v>
      </c>
      <c r="BS41" s="10">
        <v>39894.17</v>
      </c>
      <c r="BT41" s="10">
        <f>[31]cobranças!BT7</f>
        <v>7529384.5</v>
      </c>
      <c r="BU41" s="10">
        <v>4948575.8600000003</v>
      </c>
      <c r="BV41" s="10">
        <v>3268708.13</v>
      </c>
      <c r="BW41" s="10">
        <v>0</v>
      </c>
      <c r="BX41" s="10">
        <v>0</v>
      </c>
      <c r="BY41" s="10">
        <v>0</v>
      </c>
      <c r="BZ41" s="10">
        <v>57926</v>
      </c>
      <c r="CA41" s="10">
        <f t="shared" si="65"/>
        <v>8275209.9900000002</v>
      </c>
      <c r="CB41" s="14" t="s">
        <v>11</v>
      </c>
      <c r="CC41" s="14" t="s">
        <v>11</v>
      </c>
      <c r="CD41" s="14">
        <v>0</v>
      </c>
      <c r="CE41" s="14">
        <v>0</v>
      </c>
      <c r="CF41" s="14">
        <v>0</v>
      </c>
      <c r="CG41" s="14" t="s">
        <v>11</v>
      </c>
      <c r="CH41" s="10">
        <f>[31]cobranças!CH7</f>
        <v>8024694.6799999997</v>
      </c>
      <c r="CI41" s="10">
        <v>5430353</v>
      </c>
      <c r="CJ41" s="10">
        <v>3586938</v>
      </c>
      <c r="CK41" s="10">
        <v>0</v>
      </c>
      <c r="CL41" s="10">
        <v>0</v>
      </c>
      <c r="CM41" s="10">
        <v>0</v>
      </c>
      <c r="CN41" s="10">
        <v>63566</v>
      </c>
      <c r="CO41" s="10">
        <f t="shared" si="129"/>
        <v>9080857</v>
      </c>
      <c r="CP41" s="14" t="s">
        <v>11</v>
      </c>
      <c r="CQ41" s="14" t="s">
        <v>11</v>
      </c>
      <c r="CR41" s="14" t="s">
        <v>11</v>
      </c>
      <c r="CS41" s="14">
        <v>0</v>
      </c>
      <c r="CT41" s="14">
        <v>0</v>
      </c>
      <c r="CU41" s="14" t="s">
        <v>11</v>
      </c>
      <c r="CV41" s="10">
        <f>[31]cobranças!CI7</f>
        <v>8575594.6499999985</v>
      </c>
      <c r="CW41" s="10">
        <f>[26]SP!$R$87</f>
        <v>5923216.7999999998</v>
      </c>
      <c r="CX41" s="10">
        <f>[26]SP!$R$88</f>
        <v>2575763.29</v>
      </c>
      <c r="CY41" s="10"/>
      <c r="CZ41" s="10"/>
      <c r="DA41" s="10"/>
      <c r="DB41" s="10">
        <f>[26]SP!$R$94</f>
        <v>817983.76</v>
      </c>
      <c r="DC41" s="10">
        <f t="shared" si="126"/>
        <v>9316963.8499999996</v>
      </c>
      <c r="DD41" s="10">
        <f>[26]SP!$R$97</f>
        <v>5914282.0099999998</v>
      </c>
      <c r="DE41" s="10">
        <f>[26]SP!$R$98</f>
        <v>2135596.54</v>
      </c>
      <c r="DF41" s="10"/>
      <c r="DG41" s="10"/>
      <c r="DH41" s="10"/>
      <c r="DI41" s="10">
        <f>[26]SP!$R$104</f>
        <v>482296.62</v>
      </c>
      <c r="DJ41" s="10">
        <f t="shared" si="127"/>
        <v>8532175.1699999999</v>
      </c>
      <c r="DK41" s="10">
        <f>[26]SP!$S$87</f>
        <v>7173832.79</v>
      </c>
      <c r="DL41" s="10">
        <f>[26]SP!$S$88</f>
        <v>2622432.63</v>
      </c>
      <c r="DM41" s="10"/>
      <c r="DN41" s="10"/>
      <c r="DO41" s="10"/>
      <c r="DP41" s="10">
        <f>[26]SP!$S$94</f>
        <v>925360.31</v>
      </c>
      <c r="DQ41" s="148">
        <f>SUM(DK41:DP41)</f>
        <v>10721625.73</v>
      </c>
      <c r="DR41" s="10">
        <f>[26]SP!$S$97</f>
        <v>7175062.9100000001</v>
      </c>
      <c r="DS41" s="10">
        <f>[26]SP!$S$98</f>
        <v>2157107.4900000002</v>
      </c>
      <c r="DT41" s="10"/>
      <c r="DU41" s="10"/>
      <c r="DV41" s="10"/>
      <c r="DW41" s="10">
        <f>[26]SP!$S$104</f>
        <v>685306.96</v>
      </c>
      <c r="DX41" s="10">
        <f>SUM(DR41:DW41)</f>
        <v>10017477.359999999</v>
      </c>
      <c r="DY41" s="10">
        <f>[26]SP!$T$87</f>
        <v>7584549.2400000002</v>
      </c>
      <c r="DZ41" s="10">
        <f>[26]SP!$T$88</f>
        <v>2048216.41</v>
      </c>
      <c r="EA41" s="10"/>
      <c r="EB41" s="10"/>
      <c r="EC41" s="10"/>
      <c r="ED41" s="10">
        <f>[26]SP!$T$94+3000</f>
        <v>1025989.16</v>
      </c>
      <c r="EE41" s="169">
        <f>SUM(DY41:ED41)</f>
        <v>10658754.810000001</v>
      </c>
      <c r="EF41" s="10">
        <f>[26]SP!$T$97</f>
        <v>7684970.3300000001</v>
      </c>
      <c r="EG41" s="10">
        <f>[26]SP!$T$98</f>
        <v>1510878.35</v>
      </c>
      <c r="EH41" s="10"/>
      <c r="EI41" s="10"/>
      <c r="EJ41" s="10"/>
      <c r="EK41" s="10">
        <f>[26]SP!$T$104</f>
        <v>689391.44</v>
      </c>
      <c r="EL41" s="148">
        <f>SUM(EF41:EK41)</f>
        <v>9885240.1199999992</v>
      </c>
      <c r="EM41" s="10">
        <f>[26]SP!$U$87</f>
        <v>7719035.7999999998</v>
      </c>
      <c r="EN41" s="10">
        <f>[26]SP!$U$88</f>
        <v>2026490.81</v>
      </c>
      <c r="EO41" s="10"/>
      <c r="EP41" s="10"/>
      <c r="EQ41" s="10"/>
      <c r="ER41" s="10">
        <f>[26]SP!$U$94</f>
        <v>960973.49</v>
      </c>
      <c r="ES41" s="148">
        <f t="shared" si="101"/>
        <v>10706500.1</v>
      </c>
      <c r="ET41" s="10">
        <f>[26]SP!$U$97</f>
        <v>7482666.1600000001</v>
      </c>
      <c r="EU41" s="10">
        <f>[26]SP!$U$98</f>
        <v>1506115.26</v>
      </c>
      <c r="EV41" s="10"/>
      <c r="EW41" s="10"/>
      <c r="EX41" s="10"/>
      <c r="EY41" s="10">
        <f>[26]SP!$U$104</f>
        <v>698545.85</v>
      </c>
      <c r="EZ41" s="10">
        <f t="shared" si="102"/>
        <v>9687327.2699999996</v>
      </c>
      <c r="FA41" s="10">
        <f>[27]SP1!$C$215</f>
        <v>8100295.1399999997</v>
      </c>
      <c r="FB41" s="10">
        <f>[27]SP1!$D$215</f>
        <v>2484366.73</v>
      </c>
      <c r="FC41" s="10"/>
      <c r="FD41" s="10"/>
      <c r="FE41" s="10"/>
      <c r="FF41" s="10">
        <f>[27]SP1!$J$215</f>
        <v>1233060.05</v>
      </c>
      <c r="FG41" s="10">
        <f t="shared" si="128"/>
        <v>11817721.92</v>
      </c>
      <c r="FH41" s="10">
        <f>[27]SP1!$C$223</f>
        <v>7825221.7800000003</v>
      </c>
      <c r="FI41" s="10">
        <f>[27]SP1!$D$223</f>
        <v>1523719.59</v>
      </c>
      <c r="FJ41" s="10"/>
      <c r="FK41" s="10"/>
      <c r="FL41" s="10"/>
      <c r="FM41" s="10">
        <f>[27]SP1!$J$223</f>
        <v>731395.63</v>
      </c>
      <c r="FN41" s="10">
        <f t="shared" si="116"/>
        <v>10080337.000000002</v>
      </c>
      <c r="FO41" s="10">
        <f>[28]SP!R28</f>
        <v>8010063.8799999999</v>
      </c>
      <c r="FP41" s="10">
        <f>[28]SP!S28</f>
        <v>4499967.32</v>
      </c>
      <c r="FQ41" s="10"/>
      <c r="FR41" s="10">
        <f>[28]SP!Q28</f>
        <v>0</v>
      </c>
      <c r="FS41" s="10"/>
      <c r="FT41" s="10">
        <f>[28]SP!T28</f>
        <v>53313.98</v>
      </c>
      <c r="FU41" s="10">
        <f t="shared" si="130"/>
        <v>12563345.18</v>
      </c>
      <c r="FV41" s="10">
        <f>[28]SP!V28</f>
        <v>7698408.0300000003</v>
      </c>
      <c r="FW41" s="10">
        <f>[28]SP!W28</f>
        <v>3218397.62</v>
      </c>
      <c r="FX41" s="10"/>
      <c r="FY41" s="10">
        <f>[28]SP!U28</f>
        <v>0</v>
      </c>
      <c r="FZ41" s="10"/>
      <c r="GA41" s="10">
        <f>[28]SP!X28</f>
        <v>23485.74</v>
      </c>
      <c r="GB41" s="10">
        <f t="shared" si="131"/>
        <v>10940291.390000001</v>
      </c>
      <c r="GC41" s="148">
        <f t="shared" si="132"/>
        <v>140681170.34999999</v>
      </c>
      <c r="GD41" s="148">
        <f t="shared" si="133"/>
        <v>126549159.73</v>
      </c>
      <c r="GE41" s="218"/>
      <c r="GG41" s="196"/>
      <c r="GH41" s="36"/>
      <c r="GI41" s="36"/>
      <c r="GJ41" s="36"/>
    </row>
    <row r="42" spans="1:192" s="5" customFormat="1" ht="12.75" x14ac:dyDescent="0.2">
      <c r="A42" s="266"/>
      <c r="B42" s="4" t="s">
        <v>30</v>
      </c>
      <c r="C42" s="1" t="s">
        <v>13</v>
      </c>
      <c r="D42" s="2">
        <v>40909</v>
      </c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79">
        <f>[31]cobranças!AK8</f>
        <v>8907503.9100000001</v>
      </c>
      <c r="AL42" s="79">
        <f>[31]cobranças!AL8</f>
        <v>8609595.5299999993</v>
      </c>
      <c r="AM42" s="79">
        <f>[31]cobranças!AM8</f>
        <v>10062456.890000001</v>
      </c>
      <c r="AN42" s="79">
        <f>[31]cobranças!AN8</f>
        <v>10807616.880000001</v>
      </c>
      <c r="AO42" s="79">
        <f>[31]cobranças!AO8</f>
        <v>10187697</v>
      </c>
      <c r="AP42" s="79">
        <f>[31]cobranças!AP8</f>
        <v>9460862.1500000004</v>
      </c>
      <c r="AQ42" s="79">
        <f>[31]cobranças!AQ8</f>
        <v>11154008.73</v>
      </c>
      <c r="AR42" s="79">
        <f>[31]cobranças!AR8</f>
        <v>11118176</v>
      </c>
      <c r="AS42" s="79">
        <v>4332414.6100000003</v>
      </c>
      <c r="AT42" s="79">
        <v>1687353.33</v>
      </c>
      <c r="AU42" s="50"/>
      <c r="AV42" s="10">
        <v>0</v>
      </c>
      <c r="AW42" s="50"/>
      <c r="AX42" s="79">
        <v>65132.75</v>
      </c>
      <c r="AY42" s="10">
        <f t="shared" ref="AY42:AY47" si="134">SUM(AS42:AX42)</f>
        <v>6084900.6900000004</v>
      </c>
      <c r="AZ42" s="75" t="s">
        <v>11</v>
      </c>
      <c r="BA42" s="75" t="s">
        <v>11</v>
      </c>
      <c r="BB42" s="50"/>
      <c r="BC42" s="10">
        <v>0</v>
      </c>
      <c r="BD42" s="50"/>
      <c r="BE42" s="75" t="s">
        <v>11</v>
      </c>
      <c r="BF42" s="10">
        <f>[31]cobranças!BF8</f>
        <v>6517831.7999999998</v>
      </c>
      <c r="BG42" s="10">
        <v>5951161.2400000002</v>
      </c>
      <c r="BH42" s="10">
        <v>2089319.84</v>
      </c>
      <c r="BI42" s="10">
        <v>0</v>
      </c>
      <c r="BJ42" s="10">
        <v>0</v>
      </c>
      <c r="BK42" s="10">
        <v>0</v>
      </c>
      <c r="BL42" s="10">
        <v>190044.71</v>
      </c>
      <c r="BM42" s="10">
        <f t="shared" si="125"/>
        <v>8230525.79</v>
      </c>
      <c r="BN42" s="14" t="s">
        <v>11</v>
      </c>
      <c r="BO42" s="14" t="s">
        <v>11</v>
      </c>
      <c r="BP42" s="14">
        <v>0</v>
      </c>
      <c r="BQ42" s="14">
        <v>0</v>
      </c>
      <c r="BR42" s="14">
        <v>0</v>
      </c>
      <c r="BS42" s="14" t="s">
        <v>11</v>
      </c>
      <c r="BT42" s="10">
        <f>[31]cobranças!BT8</f>
        <v>7991124.7199999997</v>
      </c>
      <c r="BU42" s="10">
        <v>6581456.0800000001</v>
      </c>
      <c r="BV42" s="10">
        <v>2336298.35</v>
      </c>
      <c r="BW42" s="10">
        <v>0</v>
      </c>
      <c r="BX42" s="10">
        <v>0</v>
      </c>
      <c r="BY42" s="10">
        <v>0</v>
      </c>
      <c r="BZ42" s="10">
        <v>189686.84</v>
      </c>
      <c r="CA42" s="10">
        <f t="shared" si="65"/>
        <v>9107441.2699999996</v>
      </c>
      <c r="CB42" s="14" t="s">
        <v>11</v>
      </c>
      <c r="CC42" s="14" t="s">
        <v>11</v>
      </c>
      <c r="CD42" s="14">
        <v>0</v>
      </c>
      <c r="CE42" s="14">
        <v>0</v>
      </c>
      <c r="CF42" s="14">
        <v>0</v>
      </c>
      <c r="CG42" s="14" t="s">
        <v>11</v>
      </c>
      <c r="CH42" s="10">
        <f>[31]cobranças!CH8</f>
        <v>9122675.1199999992</v>
      </c>
      <c r="CI42" s="10">
        <v>6072955.3300000001</v>
      </c>
      <c r="CJ42" s="10">
        <v>1803952.92</v>
      </c>
      <c r="CK42" s="10">
        <v>0</v>
      </c>
      <c r="CL42" s="10">
        <v>0</v>
      </c>
      <c r="CM42" s="10">
        <v>0</v>
      </c>
      <c r="CN42" s="10">
        <v>219627.77</v>
      </c>
      <c r="CO42" s="10">
        <f t="shared" si="129"/>
        <v>8096536.0199999996</v>
      </c>
      <c r="CP42" s="14" t="s">
        <v>11</v>
      </c>
      <c r="CQ42" s="14" t="s">
        <v>11</v>
      </c>
      <c r="CR42" s="14" t="s">
        <v>11</v>
      </c>
      <c r="CS42" s="14">
        <v>0</v>
      </c>
      <c r="CT42" s="14">
        <v>0</v>
      </c>
      <c r="CU42" s="14" t="s">
        <v>11</v>
      </c>
      <c r="CV42" s="10">
        <f>[31]cobranças!CI8</f>
        <v>9072410.879999999</v>
      </c>
      <c r="CW42" s="10">
        <f>[26]SP!$R$56</f>
        <v>5074005.5</v>
      </c>
      <c r="CX42" s="10">
        <f>[26]SP!$R$57</f>
        <v>1281760.83</v>
      </c>
      <c r="CY42" s="10">
        <f>[26]SP!$R$58</f>
        <v>156.04</v>
      </c>
      <c r="CZ42" s="10"/>
      <c r="DA42" s="10"/>
      <c r="DB42" s="10">
        <f>[26]SP!$R$61</f>
        <v>247046.78</v>
      </c>
      <c r="DC42" s="10">
        <f t="shared" si="126"/>
        <v>6602969.1500000004</v>
      </c>
      <c r="DD42" s="10">
        <f>[26]SP!$R$64</f>
        <v>5090917.29</v>
      </c>
      <c r="DE42" s="10">
        <f>[26]SP!$R$65</f>
        <v>1274655.33</v>
      </c>
      <c r="DF42" s="10">
        <f>[26]SP!$R$66</f>
        <v>156.04</v>
      </c>
      <c r="DG42" s="10"/>
      <c r="DH42" s="10"/>
      <c r="DI42" s="10">
        <f>[26]SP!$R$69</f>
        <v>246435.81</v>
      </c>
      <c r="DJ42" s="10">
        <f t="shared" si="127"/>
        <v>6612164.4699999997</v>
      </c>
      <c r="DK42" s="10">
        <f>[26]SP!$S$56</f>
        <v>2685146.69</v>
      </c>
      <c r="DL42" s="10">
        <f>[26]SP!$S$57</f>
        <v>853738.16</v>
      </c>
      <c r="DM42" s="10">
        <f>[26]SP!$S$58</f>
        <v>89.23</v>
      </c>
      <c r="DN42" s="10">
        <f>[26]SP!$S$59</f>
        <v>0</v>
      </c>
      <c r="DO42" s="10">
        <f>[26]SP!$S$60</f>
        <v>0</v>
      </c>
      <c r="DP42" s="10">
        <f>[26]SP!$S$61</f>
        <v>84055.81</v>
      </c>
      <c r="DQ42" s="148">
        <f>SUM(DK42:DP42)</f>
        <v>3623029.89</v>
      </c>
      <c r="DR42" s="10">
        <f>[26]SP!$S$64</f>
        <v>2685146.69</v>
      </c>
      <c r="DS42" s="10">
        <f>[26]SP!$S$65</f>
        <v>849157.81</v>
      </c>
      <c r="DT42" s="10">
        <f>[26]SP!$S$66</f>
        <v>89.2</v>
      </c>
      <c r="DU42" s="10">
        <f>[26]SP!$S$67</f>
        <v>0</v>
      </c>
      <c r="DV42" s="10">
        <f>[26]SP!$S$68</f>
        <v>0</v>
      </c>
      <c r="DW42" s="10">
        <f>[26]SP!$S$69</f>
        <v>83641.490000000005</v>
      </c>
      <c r="DX42" s="10">
        <f>SUM(DR42:DW42)</f>
        <v>3618035.1900000004</v>
      </c>
      <c r="DY42" s="10">
        <f>[26]SP!$T$56</f>
        <v>10087927.300000001</v>
      </c>
      <c r="DZ42" s="10">
        <f>[26]SP!$T$57</f>
        <v>1230491.7</v>
      </c>
      <c r="EA42" s="10">
        <f>[26]SP!$T$58</f>
        <v>156.04</v>
      </c>
      <c r="EB42" s="10">
        <f>[26]SP!$T$59</f>
        <v>0</v>
      </c>
      <c r="EC42" s="10">
        <f>[26]SP!$T$60</f>
        <v>0</v>
      </c>
      <c r="ED42" s="10">
        <f>[26]SP!$T$61</f>
        <v>213169.89</v>
      </c>
      <c r="EE42" s="169">
        <f>SUM(DY42:ED42)</f>
        <v>11531744.93</v>
      </c>
      <c r="EF42" s="10">
        <f>[26]SP!$T$64</f>
        <v>10087927.300000001</v>
      </c>
      <c r="EG42" s="10">
        <f>[26]SP!$T$65</f>
        <v>1227989.49</v>
      </c>
      <c r="EH42" s="10">
        <f>[26]SP!$T$66</f>
        <v>156.04</v>
      </c>
      <c r="EI42" s="10">
        <f>[26]SP!$T$67</f>
        <v>0</v>
      </c>
      <c r="EJ42" s="10">
        <f>[26]SP!$T$68</f>
        <v>0</v>
      </c>
      <c r="EK42" s="10">
        <f>[26]SP!$T$69</f>
        <v>213643.2</v>
      </c>
      <c r="EL42" s="148">
        <f>SUM(EF42:EK42)</f>
        <v>11529716.029999999</v>
      </c>
      <c r="EM42" s="10">
        <f>[26]SP!$U$56</f>
        <v>8508047.9299999997</v>
      </c>
      <c r="EN42" s="10">
        <f>[26]SP!$U$57</f>
        <v>2340750.08</v>
      </c>
      <c r="EO42" s="10">
        <f>[26]SP!$U$58</f>
        <v>156.04</v>
      </c>
      <c r="EP42" s="10">
        <f>[26]SP!$U$59</f>
        <v>0</v>
      </c>
      <c r="EQ42" s="10">
        <f>[26]SP!$U$60</f>
        <v>0</v>
      </c>
      <c r="ER42" s="10">
        <f>[26]SP!$U$61</f>
        <v>111355.66</v>
      </c>
      <c r="ES42" s="148">
        <f t="shared" si="101"/>
        <v>10960309.709999999</v>
      </c>
      <c r="ET42" s="10">
        <f>[26]SP!$U$64</f>
        <v>8508047.9299999997</v>
      </c>
      <c r="EU42" s="10">
        <f>[26]SP!$U$65</f>
        <v>2344454.02</v>
      </c>
      <c r="EV42" s="10">
        <f>[26]SP!$U$66</f>
        <v>156.04</v>
      </c>
      <c r="EW42" s="10">
        <f>[26]SP!$U$67</f>
        <v>0</v>
      </c>
      <c r="EX42" s="10">
        <f>[26]SP!$U$68</f>
        <v>0</v>
      </c>
      <c r="EY42" s="10">
        <f>[26]SP!$U$69</f>
        <v>109815.64</v>
      </c>
      <c r="EZ42" s="10">
        <f t="shared" si="102"/>
        <v>10962473.629999999</v>
      </c>
      <c r="FA42" s="10">
        <f>[27]SP1!$H$150</f>
        <v>7185708.5800000001</v>
      </c>
      <c r="FB42" s="10">
        <f>[27]SP1!$H$151</f>
        <v>2310659.4700000002</v>
      </c>
      <c r="FC42" s="10">
        <f>[27]SP1!$H$152</f>
        <v>156.04</v>
      </c>
      <c r="FD42" s="10"/>
      <c r="FE42" s="10"/>
      <c r="FF42" s="10">
        <f>[27]SP1!$H$153</f>
        <v>187841.73</v>
      </c>
      <c r="FG42" s="10">
        <f t="shared" si="128"/>
        <v>9684365.8200000003</v>
      </c>
      <c r="FH42" s="10">
        <f>[27]SP1!$H$156</f>
        <v>7185708.5800000001</v>
      </c>
      <c r="FI42" s="10">
        <f>[27]SP1!$H$157</f>
        <v>2310659.4700000002</v>
      </c>
      <c r="FJ42" s="10">
        <f>[27]SP1!$H$158</f>
        <v>156.04</v>
      </c>
      <c r="FK42" s="10"/>
      <c r="FL42" s="10"/>
      <c r="FM42" s="10">
        <f>[27]SP1!$H$159+[27]SP1!$H$160</f>
        <v>305523.94</v>
      </c>
      <c r="FN42" s="10">
        <f t="shared" si="116"/>
        <v>9802048.0299999993</v>
      </c>
      <c r="FO42" s="10">
        <f>[28]SP!R24</f>
        <v>6579553.0499999998</v>
      </c>
      <c r="FP42" s="10">
        <f>[28]SP!S24</f>
        <v>1383560.62</v>
      </c>
      <c r="FQ42" s="10"/>
      <c r="FR42" s="10">
        <f>[28]SP!Q24</f>
        <v>0</v>
      </c>
      <c r="FS42" s="10"/>
      <c r="FT42" s="10">
        <f>[28]SP!T24</f>
        <v>242151.43</v>
      </c>
      <c r="FU42" s="10">
        <f t="shared" si="130"/>
        <v>8205265.0999999996</v>
      </c>
      <c r="FV42" s="10">
        <f>[28]SP!V24</f>
        <v>6579553.0499999998</v>
      </c>
      <c r="FW42" s="10">
        <f>[28]SP!W24</f>
        <v>1380872.17</v>
      </c>
      <c r="FX42" s="10"/>
      <c r="FY42" s="10">
        <f>[28]SP!U24</f>
        <v>0</v>
      </c>
      <c r="FZ42" s="10"/>
      <c r="GA42" s="10">
        <f>[28]SP!X24</f>
        <v>225566.39</v>
      </c>
      <c r="GB42" s="10">
        <f t="shared" si="131"/>
        <v>8185991.6099999994</v>
      </c>
      <c r="GC42" s="148">
        <f t="shared" si="132"/>
        <v>122438754.90000001</v>
      </c>
      <c r="GD42" s="148">
        <f t="shared" si="133"/>
        <v>123410722.03999999</v>
      </c>
      <c r="GE42" s="218"/>
      <c r="GG42" s="196"/>
      <c r="GH42" s="36"/>
      <c r="GI42" s="36"/>
      <c r="GJ42" s="36"/>
    </row>
    <row r="43" spans="1:192" s="5" customFormat="1" ht="12.75" x14ac:dyDescent="0.2">
      <c r="A43" s="266"/>
      <c r="B43" s="15" t="s">
        <v>29</v>
      </c>
      <c r="C43" s="1" t="s">
        <v>13</v>
      </c>
      <c r="D43" s="2">
        <v>41426</v>
      </c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50"/>
      <c r="AM43" s="79">
        <f>[27]SP1!$D$363</f>
        <v>3679510.94</v>
      </c>
      <c r="AN43" s="79">
        <f>[27]SP1!$D$367</f>
        <v>2633404.7200000002</v>
      </c>
      <c r="AO43" s="79">
        <f>[27]SP1!$E$363</f>
        <v>4582406.0999999996</v>
      </c>
      <c r="AP43" s="79">
        <f>[27]SP1!$E$367</f>
        <v>3178352.75</v>
      </c>
      <c r="AQ43" s="79">
        <f>[27]SP1!$F$363</f>
        <v>6613088.0499999998</v>
      </c>
      <c r="AR43" s="79">
        <f>[27]SP1!$F$367</f>
        <v>3801775.01</v>
      </c>
      <c r="AS43" s="79"/>
      <c r="AT43" s="79"/>
      <c r="AU43" s="50"/>
      <c r="AV43" s="10"/>
      <c r="AW43" s="50"/>
      <c r="AX43" s="79"/>
      <c r="AY43" s="10">
        <f>[27]SP1!$G$363</f>
        <v>7120638.9800000004</v>
      </c>
      <c r="AZ43" s="79"/>
      <c r="BA43" s="79"/>
      <c r="BB43" s="50"/>
      <c r="BC43" s="10"/>
      <c r="BD43" s="50"/>
      <c r="BE43" s="79"/>
      <c r="BF43" s="10">
        <f>[27]SP1!$G$367</f>
        <v>5350442.37</v>
      </c>
      <c r="BG43" s="10"/>
      <c r="BH43" s="10"/>
      <c r="BI43" s="10"/>
      <c r="BJ43" s="10"/>
      <c r="BK43" s="10"/>
      <c r="BL43" s="10"/>
      <c r="BM43" s="10">
        <f>[27]SP1!$H$363</f>
        <v>6635851.6600000001</v>
      </c>
      <c r="BN43" s="14" t="s">
        <v>11</v>
      </c>
      <c r="BO43" s="14" t="s">
        <v>11</v>
      </c>
      <c r="BP43" s="14">
        <v>0</v>
      </c>
      <c r="BQ43" s="14">
        <v>0</v>
      </c>
      <c r="BR43" s="14">
        <v>0</v>
      </c>
      <c r="BS43" s="14" t="s">
        <v>11</v>
      </c>
      <c r="BT43" s="10">
        <f>[27]SP1!$H$367</f>
        <v>4966024.8600000003</v>
      </c>
      <c r="BU43" s="10"/>
      <c r="BV43" s="10"/>
      <c r="BW43" s="10"/>
      <c r="BX43" s="10"/>
      <c r="BY43" s="10"/>
      <c r="BZ43" s="10"/>
      <c r="CA43" s="10">
        <f>[27]SP1!$I$363</f>
        <v>7004343.9000000004</v>
      </c>
      <c r="CB43" s="14" t="s">
        <v>11</v>
      </c>
      <c r="CC43" s="14" t="s">
        <v>11</v>
      </c>
      <c r="CD43" s="14">
        <v>0</v>
      </c>
      <c r="CE43" s="14">
        <v>0</v>
      </c>
      <c r="CF43" s="14">
        <v>0</v>
      </c>
      <c r="CG43" s="14" t="s">
        <v>11</v>
      </c>
      <c r="CH43" s="10">
        <f>[27]SP1!$I$367</f>
        <v>5046853.9000000004</v>
      </c>
      <c r="CI43" s="10"/>
      <c r="CJ43" s="10"/>
      <c r="CK43" s="10"/>
      <c r="CL43" s="10"/>
      <c r="CM43" s="10"/>
      <c r="CN43" s="10"/>
      <c r="CO43" s="10">
        <f>[27]SP1!$J$363</f>
        <v>7408450.29</v>
      </c>
      <c r="CP43" s="14" t="s">
        <v>11</v>
      </c>
      <c r="CQ43" s="14" t="s">
        <v>11</v>
      </c>
      <c r="CR43" s="14" t="s">
        <v>11</v>
      </c>
      <c r="CS43" s="14">
        <v>0</v>
      </c>
      <c r="CT43" s="14">
        <v>0</v>
      </c>
      <c r="CU43" s="14" t="s">
        <v>11</v>
      </c>
      <c r="CV43" s="10">
        <f>[27]SP1!$J$367</f>
        <v>3346627.72</v>
      </c>
      <c r="CW43" s="10">
        <f>[27]SP1!$K$359</f>
        <v>2878372.45</v>
      </c>
      <c r="CX43" s="10">
        <f>[27]SP1!$K$361</f>
        <v>1622443.41</v>
      </c>
      <c r="CY43" s="10"/>
      <c r="CZ43" s="10"/>
      <c r="DA43" s="10"/>
      <c r="DB43" s="10">
        <f>[27]SP1!$K$362</f>
        <v>992891.02</v>
      </c>
      <c r="DC43" s="10">
        <f t="shared" si="126"/>
        <v>5493706.8800000008</v>
      </c>
      <c r="DD43" s="10">
        <f>[27]SP1!$K$364</f>
        <v>2248853.5099999998</v>
      </c>
      <c r="DE43" s="10">
        <f>[27]SP1!$K$365</f>
        <v>568768.99</v>
      </c>
      <c r="DF43" s="10"/>
      <c r="DG43" s="10"/>
      <c r="DH43" s="10"/>
      <c r="DI43" s="10">
        <f>[27]SP1!$K$366</f>
        <v>810410.66</v>
      </c>
      <c r="DJ43" s="10">
        <f t="shared" si="127"/>
        <v>3628033.16</v>
      </c>
      <c r="DK43" s="10">
        <f>[27]SP1!$L$359</f>
        <v>2936068.08</v>
      </c>
      <c r="DL43" s="10">
        <f>[27]SP1!$L$361</f>
        <v>1317274.99</v>
      </c>
      <c r="DM43" s="10"/>
      <c r="DN43" s="10"/>
      <c r="DO43" s="10"/>
      <c r="DP43" s="10">
        <f>[27]SP1!$L$362</f>
        <v>1078829.56</v>
      </c>
      <c r="DQ43" s="148">
        <f>SUM(DK43:DP43)</f>
        <v>5332172.6300000008</v>
      </c>
      <c r="DR43" s="10">
        <f>[27]SP1!$L$364</f>
        <v>2421117.41</v>
      </c>
      <c r="DS43" s="10">
        <f>[27]SP1!$L$365</f>
        <v>558650.52</v>
      </c>
      <c r="DT43" s="10"/>
      <c r="DU43" s="10"/>
      <c r="DV43" s="10"/>
      <c r="DW43" s="10">
        <f>[27]SP1!$L$366</f>
        <v>727338.29</v>
      </c>
      <c r="DX43" s="10">
        <f>SUM(DR43:DW43)</f>
        <v>3707106.22</v>
      </c>
      <c r="DY43" s="10">
        <f>[27]SP1!$M$359</f>
        <v>2984175.56</v>
      </c>
      <c r="DZ43" s="10">
        <f>[27]SP1!$M$361</f>
        <v>1176453.83</v>
      </c>
      <c r="EA43" s="10"/>
      <c r="EB43" s="10"/>
      <c r="EC43" s="10"/>
      <c r="ED43" s="10">
        <f>[27]SP1!$M$362</f>
        <v>1479067.05</v>
      </c>
      <c r="EE43" s="169">
        <f>SUM(DY43:ED43)</f>
        <v>5639696.4400000004</v>
      </c>
      <c r="EF43" s="10">
        <f>[27]SP1!$M$364</f>
        <v>2712657.13</v>
      </c>
      <c r="EG43" s="10">
        <f>[27]SP1!$M$365</f>
        <v>711801.12</v>
      </c>
      <c r="EH43" s="10"/>
      <c r="EI43" s="10"/>
      <c r="EJ43" s="10"/>
      <c r="EK43" s="10">
        <f>[27]SP1!$M$366</f>
        <v>1423522.37</v>
      </c>
      <c r="EL43" s="148">
        <f>SUM(EF43:EK43)</f>
        <v>4847980.62</v>
      </c>
      <c r="EM43" s="10">
        <f>[27]SP1!$N$359</f>
        <v>2050700.09</v>
      </c>
      <c r="EN43" s="10">
        <f>[27]SP1!$N$361</f>
        <v>1261442.71</v>
      </c>
      <c r="EO43" s="10"/>
      <c r="EP43" s="10"/>
      <c r="EQ43" s="10"/>
      <c r="ER43" s="10">
        <f>[27]SP1!$N$362</f>
        <v>957059.89</v>
      </c>
      <c r="ES43" s="148">
        <f t="shared" si="101"/>
        <v>4269202.6899999995</v>
      </c>
      <c r="ET43" s="10">
        <f>[27]SP1!$N$364</f>
        <v>1900615.34</v>
      </c>
      <c r="EU43" s="10">
        <f>[27]SP1!$N$365</f>
        <v>670307.93999999994</v>
      </c>
      <c r="EV43" s="10"/>
      <c r="EW43" s="10"/>
      <c r="EX43" s="10"/>
      <c r="EY43" s="10">
        <f>[27]SP1!$N$366</f>
        <v>752579.2</v>
      </c>
      <c r="EZ43" s="10">
        <f t="shared" si="102"/>
        <v>3323502.4800000004</v>
      </c>
      <c r="FA43" s="10">
        <f>[27]SP1!$O$359</f>
        <v>5323023.58</v>
      </c>
      <c r="FB43" s="10">
        <f>[27]SP1!$O$361</f>
        <v>1610454.61</v>
      </c>
      <c r="FC43" s="10"/>
      <c r="FD43" s="10"/>
      <c r="FE43" s="10"/>
      <c r="FF43" s="10">
        <f>[27]SP1!$O$362</f>
        <v>1899591.8</v>
      </c>
      <c r="FG43" s="10">
        <f t="shared" si="128"/>
        <v>8833069.9900000002</v>
      </c>
      <c r="FH43" s="10">
        <f>[27]SP1!$O$364</f>
        <v>3714618.12</v>
      </c>
      <c r="FI43" s="10">
        <f>[27]SP1!$O$365</f>
        <v>845314.1</v>
      </c>
      <c r="FJ43" s="10"/>
      <c r="FK43" s="10"/>
      <c r="FL43" s="10"/>
      <c r="FM43" s="10">
        <f>[27]SP1!$O$366</f>
        <v>1072495.22</v>
      </c>
      <c r="FN43" s="10">
        <f t="shared" si="116"/>
        <v>5632427.4399999995</v>
      </c>
      <c r="FO43" s="10">
        <f>[28]SP!R29</f>
        <v>1861734.92</v>
      </c>
      <c r="FP43" s="10">
        <f>[28]SP!S29</f>
        <v>1302787.92</v>
      </c>
      <c r="FQ43" s="10"/>
      <c r="FR43" s="10">
        <f>[28]SP!Q29</f>
        <v>0</v>
      </c>
      <c r="FS43" s="10"/>
      <c r="FT43" s="10">
        <f>[28]SP!T29</f>
        <v>845571.04</v>
      </c>
      <c r="FU43" s="10">
        <f t="shared" si="130"/>
        <v>4010093.88</v>
      </c>
      <c r="FV43" s="10">
        <f>[28]SP!V29</f>
        <v>1692147.97</v>
      </c>
      <c r="FW43" s="10">
        <f>[28]SP!W29</f>
        <v>723433.52</v>
      </c>
      <c r="FX43" s="10"/>
      <c r="FY43" s="10">
        <f>[28]SP!U29</f>
        <v>0</v>
      </c>
      <c r="FZ43" s="10"/>
      <c r="GA43" s="10">
        <f>[28]SP!X29</f>
        <v>614928.94999999995</v>
      </c>
      <c r="GB43" s="10">
        <f t="shared" si="131"/>
        <v>3030510.4400000004</v>
      </c>
      <c r="GC43" s="148">
        <f t="shared" si="132"/>
        <v>76622232.429999992</v>
      </c>
      <c r="GD43" s="148">
        <f t="shared" si="133"/>
        <v>52493041.689999998</v>
      </c>
      <c r="GE43" s="218"/>
      <c r="GG43" s="196"/>
      <c r="GH43" s="36"/>
      <c r="GI43" s="164"/>
      <c r="GJ43" s="36"/>
    </row>
    <row r="44" spans="1:192" s="5" customFormat="1" ht="12.75" x14ac:dyDescent="0.2">
      <c r="A44" s="266"/>
      <c r="B44" s="15" t="s">
        <v>89</v>
      </c>
      <c r="C44" s="1" t="s">
        <v>13</v>
      </c>
      <c r="D44" s="2">
        <v>41640</v>
      </c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50"/>
      <c r="AM44" s="50"/>
      <c r="AN44" s="50"/>
      <c r="AO44" s="79">
        <f>[26]SP!$L$42+[26]SP!$L$43+[26]SP!$L$44</f>
        <v>16140023.579999998</v>
      </c>
      <c r="AP44" s="79">
        <f>[26]SP!$L$49+[26]SP!$L$50+[26]SP!$L$51</f>
        <v>14063476.229999999</v>
      </c>
      <c r="AQ44" s="79">
        <f>[26]SP!$M$42+[26]SP!$M$43+[26]SP!$M$44</f>
        <v>21952099.919999998</v>
      </c>
      <c r="AR44" s="79">
        <f>[26]SP!$M$49+[26]SP!$M$50+[26]SP!$M$51</f>
        <v>21714795.309999999</v>
      </c>
      <c r="AS44" s="79">
        <f>[26]SP!$N$42</f>
        <v>29546938.920000002</v>
      </c>
      <c r="AT44" s="79">
        <f>[26]SP!$N$43</f>
        <v>3257489.33</v>
      </c>
      <c r="AU44" s="50"/>
      <c r="AV44" s="10">
        <v>0</v>
      </c>
      <c r="AW44" s="50"/>
      <c r="AX44" s="79">
        <f>[26]SP!$N$44</f>
        <v>2680600.12</v>
      </c>
      <c r="AY44" s="10">
        <f>SUM(AS44:AX44)</f>
        <v>35485028.369999997</v>
      </c>
      <c r="AZ44" s="79">
        <f>[26]SP!$N$49</f>
        <v>27240681.390000001</v>
      </c>
      <c r="BA44" s="79">
        <f>[26]SP!$N$50</f>
        <v>2873676.76</v>
      </c>
      <c r="BB44" s="50"/>
      <c r="BC44" s="10">
        <v>0</v>
      </c>
      <c r="BD44" s="50"/>
      <c r="BE44" s="79">
        <f>[26]SP!$N$51</f>
        <v>2652624.7000000002</v>
      </c>
      <c r="BF44" s="10">
        <f>SUM(AZ44:BE44)</f>
        <v>32766982.849999998</v>
      </c>
      <c r="BG44" s="10">
        <f>[26]SP!$O$42</f>
        <v>34449410.969999999</v>
      </c>
      <c r="BH44" s="10">
        <f>[26]SP!$O$43</f>
        <v>3089389.34</v>
      </c>
      <c r="BI44" s="10">
        <v>0</v>
      </c>
      <c r="BJ44" s="10">
        <v>0</v>
      </c>
      <c r="BK44" s="10">
        <v>0</v>
      </c>
      <c r="BL44" s="10">
        <f>[26]SP!$O$44</f>
        <v>2623464.14</v>
      </c>
      <c r="BM44" s="10">
        <f t="shared" si="125"/>
        <v>40162264.450000003</v>
      </c>
      <c r="BN44" s="14">
        <f>[26]SP!$O$49</f>
        <v>30325318</v>
      </c>
      <c r="BO44" s="14">
        <f>[26]SP!$O$50</f>
        <v>2035667</v>
      </c>
      <c r="BP44" s="14">
        <v>0</v>
      </c>
      <c r="BQ44" s="14">
        <v>0</v>
      </c>
      <c r="BR44" s="14">
        <v>0</v>
      </c>
      <c r="BS44" s="14">
        <f>[26]SP!$O$51+[26]SP!$O$55</f>
        <v>3165791.95</v>
      </c>
      <c r="BT44" s="10">
        <f>SUM(BN44:BS44)</f>
        <v>35526776.950000003</v>
      </c>
      <c r="BU44" s="10">
        <f>[26]SP!$P$42</f>
        <v>36342492.759999998</v>
      </c>
      <c r="BV44" s="10">
        <f>[26]SP!$P$43</f>
        <v>3231623.45</v>
      </c>
      <c r="BW44" s="10">
        <v>0</v>
      </c>
      <c r="BX44" s="10">
        <v>0</v>
      </c>
      <c r="BY44" s="10">
        <v>0</v>
      </c>
      <c r="BZ44" s="10">
        <f>[26]SP!$P$44</f>
        <v>2154415.63</v>
      </c>
      <c r="CA44" s="10">
        <f t="shared" si="65"/>
        <v>41728531.840000004</v>
      </c>
      <c r="CB44" s="14">
        <f>[26]SP!$P$49</f>
        <v>40321976.380000003</v>
      </c>
      <c r="CC44" s="14">
        <f>[26]SP!$P$50</f>
        <v>2344300.9500000002</v>
      </c>
      <c r="CD44" s="14">
        <v>0</v>
      </c>
      <c r="CE44" s="14">
        <v>0</v>
      </c>
      <c r="CF44" s="14">
        <v>0</v>
      </c>
      <c r="CG44" s="14">
        <f>[26]SP!$P$51+[26]SP!$P$55</f>
        <v>4219741.71</v>
      </c>
      <c r="CH44" s="10">
        <f>SUM(CB44:CG44)</f>
        <v>46886019.040000007</v>
      </c>
      <c r="CI44" s="10">
        <f>[26]SP!$Q$42</f>
        <v>39296066.68</v>
      </c>
      <c r="CJ44" s="10">
        <f>[26]SP!$Q$43</f>
        <v>2717350.95</v>
      </c>
      <c r="CK44" s="10">
        <v>0</v>
      </c>
      <c r="CL44" s="10">
        <v>0</v>
      </c>
      <c r="CM44" s="10">
        <v>0</v>
      </c>
      <c r="CN44" s="10">
        <f>[26]SP!$Q$44</f>
        <v>2755921.14</v>
      </c>
      <c r="CO44" s="10">
        <f t="shared" si="129"/>
        <v>44769338.770000003</v>
      </c>
      <c r="CP44" s="10">
        <f>[26]SP!$Q$49</f>
        <v>39296067</v>
      </c>
      <c r="CQ44" s="10">
        <f>[26]SP!$Q$50</f>
        <v>2121208</v>
      </c>
      <c r="CR44" s="10">
        <v>0</v>
      </c>
      <c r="CS44" s="10">
        <v>0</v>
      </c>
      <c r="CT44" s="10">
        <v>0</v>
      </c>
      <c r="CU44" s="10">
        <f>[26]SP!$Q$51+[26]SP!$Q$55</f>
        <v>10849166.02</v>
      </c>
      <c r="CV44" s="10">
        <f>SUM(CP44:CU44)</f>
        <v>52266441.019999996</v>
      </c>
      <c r="CW44" s="10">
        <f>[26]SP!$R$42</f>
        <v>27253049.440000001</v>
      </c>
      <c r="CX44" s="10">
        <f>[26]SP!$R$43</f>
        <v>3232623.87</v>
      </c>
      <c r="CY44" s="10"/>
      <c r="CZ44" s="10"/>
      <c r="DA44" s="10"/>
      <c r="DB44" s="10">
        <f>[26]SP!$R$44</f>
        <v>2954950.47</v>
      </c>
      <c r="DC44" s="10">
        <f t="shared" si="126"/>
        <v>33440623.780000001</v>
      </c>
      <c r="DD44" s="10">
        <f>[26]SP!$R$49</f>
        <v>27253049</v>
      </c>
      <c r="DE44" s="10">
        <f>[26]SP!$R$50</f>
        <v>2441073</v>
      </c>
      <c r="DF44" s="10"/>
      <c r="DG44" s="10"/>
      <c r="DH44" s="10"/>
      <c r="DI44" s="10">
        <f>[26]SP!$R$51+[26]SP!$R$55</f>
        <v>7315444.9500000002</v>
      </c>
      <c r="DJ44" s="10">
        <f t="shared" si="127"/>
        <v>37009566.950000003</v>
      </c>
      <c r="DK44" s="10">
        <f>[26]SP!$S$42</f>
        <v>34818655.32</v>
      </c>
      <c r="DL44" s="10">
        <f>[26]SP!$S$43</f>
        <v>2926387.68</v>
      </c>
      <c r="DM44" s="10"/>
      <c r="DN44" s="10"/>
      <c r="DO44" s="10"/>
      <c r="DP44" s="10">
        <f>[26]SP!$S$44+[26]SP!$S$48</f>
        <v>18254986.66</v>
      </c>
      <c r="DQ44" s="148">
        <f t="shared" ref="DQ44:DQ52" si="135">SUM(DK44:DP44)</f>
        <v>56000029.659999996</v>
      </c>
      <c r="DR44" s="10">
        <f>[26]SP!$S$49</f>
        <v>34975977.859999999</v>
      </c>
      <c r="DS44" s="10">
        <f>[26]SP!$S$50</f>
        <v>1953375.3670000001</v>
      </c>
      <c r="DT44" s="10"/>
      <c r="DU44" s="10"/>
      <c r="DV44" s="10"/>
      <c r="DW44" s="10">
        <f>[26]SP!$S$51+[26]SP!$S$55</f>
        <v>18064322.658</v>
      </c>
      <c r="DX44" s="10">
        <f t="shared" ref="DX44:DX58" si="136">SUM(DR44:DW44)</f>
        <v>54993675.884999998</v>
      </c>
      <c r="DY44" s="10">
        <f>[26]SP!$T$42</f>
        <v>38475279.259999998</v>
      </c>
      <c r="DZ44" s="10">
        <f>[26]SP!$T$43</f>
        <v>2859736.94</v>
      </c>
      <c r="EA44" s="10"/>
      <c r="EB44" s="10"/>
      <c r="EC44" s="10"/>
      <c r="ED44" s="10">
        <f>[26]SP!$T$44+[26]SP!$T$48</f>
        <v>8829554.4000000004</v>
      </c>
      <c r="EE44" s="169">
        <f t="shared" ref="EE44:EE52" si="137">SUM(DY44:ED44)</f>
        <v>50164570.599999994</v>
      </c>
      <c r="EF44" s="10">
        <f>[26]SP!$T$49</f>
        <v>37703312.479999997</v>
      </c>
      <c r="EG44" s="10">
        <f>[26]SP!$T$50</f>
        <v>2906674.0359999998</v>
      </c>
      <c r="EH44" s="10"/>
      <c r="EI44" s="10"/>
      <c r="EJ44" s="10"/>
      <c r="EK44" s="10">
        <f>[26]SP!$T$51+[26]SP!$T$55</f>
        <v>9661096.7929999996</v>
      </c>
      <c r="EL44" s="148">
        <f t="shared" ref="EL44:EL58" si="138">SUM(EF44:EK44)</f>
        <v>50271083.308999993</v>
      </c>
      <c r="EM44" s="10">
        <f>[26]SP!$U$42</f>
        <v>37702782.299999997</v>
      </c>
      <c r="EN44" s="10">
        <f>[26]SP!$U$43</f>
        <v>2924914.5</v>
      </c>
      <c r="EO44" s="10"/>
      <c r="EP44" s="10"/>
      <c r="EQ44" s="10"/>
      <c r="ER44" s="10">
        <f>[26]SP!$U$44+[26]SP!$U$48</f>
        <v>7311070.3099999996</v>
      </c>
      <c r="ES44" s="148">
        <f t="shared" si="101"/>
        <v>47938767.109999999</v>
      </c>
      <c r="ET44" s="10">
        <f>[26]SP!$U$49</f>
        <v>37743500.850000001</v>
      </c>
      <c r="EU44" s="10">
        <f>[26]SP!$U$50</f>
        <v>3344360.83</v>
      </c>
      <c r="EV44" s="10"/>
      <c r="EW44" s="10"/>
      <c r="EX44" s="10"/>
      <c r="EY44" s="10">
        <f>[26]SP!$U$51+[26]SP!$U$55</f>
        <v>6688721.6699999999</v>
      </c>
      <c r="EZ44" s="10">
        <f t="shared" si="102"/>
        <v>47776583.350000001</v>
      </c>
      <c r="FA44" s="10">
        <f>[27]SP1!$N$127</f>
        <v>38515376.770000003</v>
      </c>
      <c r="FB44" s="10">
        <f>[27]SP1!$N$128</f>
        <v>3446790.39</v>
      </c>
      <c r="FC44" s="10"/>
      <c r="FD44" s="10"/>
      <c r="FE44" s="10"/>
      <c r="FF44" s="10">
        <f>[27]SP1!$N$129+[27]SP1!$N$133+3000</f>
        <v>3138259.8099999996</v>
      </c>
      <c r="FG44" s="10">
        <f>SUM(FA44:FF44)</f>
        <v>45100426.970000006</v>
      </c>
      <c r="FH44" s="10">
        <f>[27]SP1!$N$136</f>
        <v>37581097.520000003</v>
      </c>
      <c r="FI44" s="10">
        <f>[27]SP1!$N$137</f>
        <v>3019049.28</v>
      </c>
      <c r="FJ44" s="10"/>
      <c r="FK44" s="10"/>
      <c r="FL44" s="10"/>
      <c r="FM44" s="10">
        <f>[27]SP1!$N$138+[27]SP1!$N$142</f>
        <v>3204556.16</v>
      </c>
      <c r="FN44" s="10">
        <f t="shared" si="116"/>
        <v>43804702.960000008</v>
      </c>
      <c r="FO44" s="10">
        <f>[28]SP!R23</f>
        <v>39524636.619999997</v>
      </c>
      <c r="FP44" s="10">
        <f>[28]SP!S23</f>
        <v>2929626.86</v>
      </c>
      <c r="FQ44" s="10"/>
      <c r="FR44" s="10">
        <f>[28]SP!Q23</f>
        <v>0</v>
      </c>
      <c r="FS44" s="10"/>
      <c r="FT44" s="10">
        <f>[28]SP!T23</f>
        <v>3159024.46</v>
      </c>
      <c r="FU44" s="10">
        <f t="shared" si="130"/>
        <v>45613287.939999998</v>
      </c>
      <c r="FV44" s="10">
        <f>[28]SP!V23</f>
        <v>39524636.619999997</v>
      </c>
      <c r="FW44" s="10">
        <f>[28]SP!W23</f>
        <v>2436683.56</v>
      </c>
      <c r="FX44" s="10"/>
      <c r="FY44" s="10">
        <f>[28]SP!U23</f>
        <v>0</v>
      </c>
      <c r="FZ44" s="10"/>
      <c r="GA44" s="10">
        <f>[28]SP!X23</f>
        <v>4027337.39</v>
      </c>
      <c r="GB44" s="10">
        <f t="shared" si="131"/>
        <v>45988657.57</v>
      </c>
      <c r="GC44" s="148">
        <f t="shared" si="132"/>
        <v>478494992.99000007</v>
      </c>
      <c r="GD44" s="148">
        <f t="shared" si="133"/>
        <v>483068761.42399997</v>
      </c>
      <c r="GE44" s="218"/>
      <c r="GG44" s="196"/>
      <c r="GH44" s="36"/>
      <c r="GI44" s="36"/>
      <c r="GJ44" s="36"/>
    </row>
    <row r="45" spans="1:192" s="5" customFormat="1" ht="12.75" x14ac:dyDescent="0.2">
      <c r="A45" s="266"/>
      <c r="B45" s="15" t="s">
        <v>111</v>
      </c>
      <c r="C45" s="1" t="s">
        <v>13</v>
      </c>
      <c r="D45" s="2">
        <v>42583</v>
      </c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50"/>
      <c r="AM45" s="50"/>
      <c r="AN45" s="50"/>
      <c r="AO45" s="50"/>
      <c r="AP45" s="50"/>
      <c r="AQ45" s="50"/>
      <c r="AR45" s="50"/>
      <c r="AS45" s="79">
        <f>[26]SP!$N$129</f>
        <v>2372402.02</v>
      </c>
      <c r="AT45" s="79">
        <f>[26]SP!$N$130</f>
        <v>1075437.1000000001</v>
      </c>
      <c r="AU45" s="50"/>
      <c r="AV45" s="10">
        <v>0</v>
      </c>
      <c r="AW45" s="50"/>
      <c r="AX45" s="79">
        <f>[26]SP!$N$131</f>
        <v>2104236.7599999998</v>
      </c>
      <c r="AY45" s="10">
        <f t="shared" si="134"/>
        <v>5552075.8799999999</v>
      </c>
      <c r="AZ45" s="79">
        <f>[26]SP!$N$133</f>
        <v>2351332.66</v>
      </c>
      <c r="BA45" s="79">
        <f>[26]SP!$N$134</f>
        <v>1065886.1100000001</v>
      </c>
      <c r="BB45" s="50"/>
      <c r="BC45" s="10">
        <v>0</v>
      </c>
      <c r="BD45" s="50"/>
      <c r="BE45" s="79">
        <f>[26]SP!$N$135</f>
        <v>2085548.97</v>
      </c>
      <c r="BF45" s="10">
        <f>SUM(AZ45:BE45)</f>
        <v>5502767.7400000002</v>
      </c>
      <c r="BG45" s="10">
        <f>[26]SP!$O$129</f>
        <v>2850903.46</v>
      </c>
      <c r="BH45" s="10">
        <f>[26]SP!$O$130</f>
        <v>1292347.3</v>
      </c>
      <c r="BI45" s="10">
        <v>0</v>
      </c>
      <c r="BJ45" s="10">
        <v>0</v>
      </c>
      <c r="BK45" s="10">
        <v>0</v>
      </c>
      <c r="BL45" s="10">
        <f>[26]SP!$O$131</f>
        <v>2528650.62</v>
      </c>
      <c r="BM45" s="10">
        <f t="shared" si="125"/>
        <v>6671901.3799999999</v>
      </c>
      <c r="BN45" s="14">
        <f>[26]SP!$O$133</f>
        <v>2825693.3</v>
      </c>
      <c r="BO45" s="14">
        <f>[26]SP!$O$134</f>
        <v>1280919.24</v>
      </c>
      <c r="BP45" s="14">
        <v>0</v>
      </c>
      <c r="BQ45" s="14">
        <v>0</v>
      </c>
      <c r="BR45" s="14">
        <v>0</v>
      </c>
      <c r="BS45" s="14">
        <f>[26]SP!$O$135</f>
        <v>2506290.1</v>
      </c>
      <c r="BT45" s="10">
        <f>SUM(BN45:BS45)</f>
        <v>6612902.6400000006</v>
      </c>
      <c r="BU45" s="10">
        <f>[26]SP!$P$129</f>
        <v>2245962.14</v>
      </c>
      <c r="BV45" s="10">
        <f>[26]SP!$P$130</f>
        <v>1018120.45</v>
      </c>
      <c r="BW45" s="10">
        <v>0</v>
      </c>
      <c r="BX45" s="10">
        <v>0</v>
      </c>
      <c r="BY45" s="10">
        <v>0</v>
      </c>
      <c r="BZ45" s="10">
        <f>[26]SP!$P$131</f>
        <v>1992089.05</v>
      </c>
      <c r="CA45" s="10">
        <f t="shared" si="65"/>
        <v>5256171.6399999997</v>
      </c>
      <c r="CB45" s="14">
        <f>[26]SP!$P$133</f>
        <v>2222839.9</v>
      </c>
      <c r="CC45" s="14">
        <f>[26]SP!$P$134</f>
        <v>1007638.87</v>
      </c>
      <c r="CD45" s="14">
        <v>0</v>
      </c>
      <c r="CE45" s="14">
        <v>0</v>
      </c>
      <c r="CF45" s="14">
        <v>0</v>
      </c>
      <c r="CG45" s="14">
        <f>[26]SP!$P$135</f>
        <v>1971580.44</v>
      </c>
      <c r="CH45" s="10">
        <f>SUM(CB45:CG45)</f>
        <v>5202059.21</v>
      </c>
      <c r="CI45" s="10">
        <f>[26]SP!$Q$129</f>
        <v>2908120.15</v>
      </c>
      <c r="CJ45" s="10">
        <f>[26]SP!$Q$130</f>
        <v>1318284.28</v>
      </c>
      <c r="CK45" s="10">
        <v>0</v>
      </c>
      <c r="CL45" s="10">
        <v>0</v>
      </c>
      <c r="CM45" s="10">
        <v>0</v>
      </c>
      <c r="CN45" s="10">
        <f>[26]SP!$Q$131</f>
        <v>2579399.81</v>
      </c>
      <c r="CO45" s="10">
        <f t="shared" si="129"/>
        <v>6805804.2400000002</v>
      </c>
      <c r="CP45" s="14">
        <f>[26]SP!$Q$133</f>
        <v>2820597.9</v>
      </c>
      <c r="CQ45" s="14">
        <f>[26]SP!$Q$134</f>
        <v>1278609.44</v>
      </c>
      <c r="CR45" s="14" t="s">
        <v>11</v>
      </c>
      <c r="CS45" s="14">
        <v>0</v>
      </c>
      <c r="CT45" s="14">
        <v>0</v>
      </c>
      <c r="CU45" s="14">
        <f>[26]SP!$Q$135</f>
        <v>2501770.66</v>
      </c>
      <c r="CV45" s="10">
        <f>SUM(CP45:CU45)</f>
        <v>6600978</v>
      </c>
      <c r="CW45" s="10">
        <f>[26]SP!$R$129</f>
        <v>3042928.12</v>
      </c>
      <c r="CX45" s="10">
        <f>[26]SP!$R$130</f>
        <v>1379394.28</v>
      </c>
      <c r="CY45" s="10"/>
      <c r="CZ45" s="10"/>
      <c r="DA45" s="10"/>
      <c r="DB45" s="10">
        <f>[26]SP!$R$131</f>
        <v>2698969.71</v>
      </c>
      <c r="DC45" s="10">
        <f t="shared" si="126"/>
        <v>7121292.1100000003</v>
      </c>
      <c r="DD45" s="10">
        <f>[26]SP!$R$133</f>
        <v>2945388.75</v>
      </c>
      <c r="DE45" s="10">
        <f>[26]SP!$R$134</f>
        <v>1335178.56</v>
      </c>
      <c r="DF45" s="10"/>
      <c r="DG45" s="10"/>
      <c r="DH45" s="10"/>
      <c r="DI45" s="10">
        <f>[26]SP!$R$135</f>
        <v>2612455.7400000002</v>
      </c>
      <c r="DJ45" s="10">
        <f t="shared" si="127"/>
        <v>6893023.0500000007</v>
      </c>
      <c r="DK45" s="10">
        <f>[26]SP!$S$129</f>
        <v>4312447.21</v>
      </c>
      <c r="DL45" s="10">
        <f>[26]SP!$S$130</f>
        <v>1954881.87</v>
      </c>
      <c r="DM45" s="10"/>
      <c r="DN45" s="10"/>
      <c r="DO45" s="10"/>
      <c r="DP45" s="10">
        <f>[26]SP!$S$131</f>
        <v>3824988.28</v>
      </c>
      <c r="DQ45" s="148">
        <f t="shared" si="135"/>
        <v>10092317.359999999</v>
      </c>
      <c r="DR45" s="10">
        <f>[26]SP!$S$133</f>
        <v>4226187.0599999996</v>
      </c>
      <c r="DS45" s="10">
        <f>[26]SP!$S$134</f>
        <v>1915779.16</v>
      </c>
      <c r="DT45" s="10"/>
      <c r="DU45" s="10"/>
      <c r="DV45" s="10"/>
      <c r="DW45" s="10">
        <f>[26]SP!$S$135</f>
        <v>3748478.58</v>
      </c>
      <c r="DX45" s="10">
        <f t="shared" si="136"/>
        <v>9890444.8000000007</v>
      </c>
      <c r="DY45" s="10">
        <f>[26]SP!$T$129</f>
        <v>4617040.46</v>
      </c>
      <c r="DZ45" s="10">
        <f>[26]SP!$T$130</f>
        <v>2092957.49</v>
      </c>
      <c r="EA45" s="10"/>
      <c r="EB45" s="10"/>
      <c r="EC45" s="10"/>
      <c r="ED45" s="10">
        <f>[26]SP!$T$131</f>
        <v>4095151.73</v>
      </c>
      <c r="EE45" s="169">
        <f t="shared" si="137"/>
        <v>10805149.68</v>
      </c>
      <c r="EF45" s="10">
        <f>[26]SP!$T$133</f>
        <v>4583140.13</v>
      </c>
      <c r="EG45" s="10">
        <f>[26]SP!$T$134</f>
        <v>2077590.09</v>
      </c>
      <c r="EH45" s="10"/>
      <c r="EI45" s="10"/>
      <c r="EJ45" s="10"/>
      <c r="EK45" s="10">
        <f>[26]SP!$T$135</f>
        <v>4065083.34</v>
      </c>
      <c r="EL45" s="148">
        <f t="shared" si="138"/>
        <v>10725813.559999999</v>
      </c>
      <c r="EM45" s="10">
        <f>[26]SP!$U$129</f>
        <v>4638702.5599999996</v>
      </c>
      <c r="EN45" s="10">
        <f>[26]SP!$U$130</f>
        <v>2102777.17</v>
      </c>
      <c r="EO45" s="10"/>
      <c r="EP45" s="10"/>
      <c r="EQ45" s="10"/>
      <c r="ER45" s="10">
        <f>[26]SP!$U$131</f>
        <v>4114365.24</v>
      </c>
      <c r="ES45" s="148">
        <f t="shared" si="101"/>
        <v>10855844.969999999</v>
      </c>
      <c r="ET45" s="10">
        <f>[26]SP!$U$133</f>
        <v>4415255.0999999996</v>
      </c>
      <c r="EU45" s="10">
        <f>[26]SP!$U$134</f>
        <v>2001485.87</v>
      </c>
      <c r="EV45" s="10"/>
      <c r="EW45" s="10"/>
      <c r="EX45" s="10"/>
      <c r="EY45" s="10">
        <f>[26]SP!$U$135</f>
        <v>3916175.25</v>
      </c>
      <c r="EZ45" s="10">
        <f t="shared" si="102"/>
        <v>10332916.219999999</v>
      </c>
      <c r="FA45" s="10"/>
      <c r="FB45" s="10"/>
      <c r="FC45" s="10"/>
      <c r="FD45" s="10"/>
      <c r="FE45" s="10"/>
      <c r="FF45" s="10"/>
      <c r="FG45" s="10">
        <f t="shared" si="128"/>
        <v>0</v>
      </c>
      <c r="FH45" s="10"/>
      <c r="FI45" s="10"/>
      <c r="FJ45" s="10"/>
      <c r="FK45" s="10"/>
      <c r="FL45" s="10"/>
      <c r="FM45" s="10"/>
      <c r="FN45" s="10">
        <f t="shared" si="116"/>
        <v>0</v>
      </c>
      <c r="FO45" s="10">
        <f>[28]SP!R30</f>
        <v>5173894.25</v>
      </c>
      <c r="FP45" s="10">
        <f>[28]SP!S30</f>
        <v>1801680.42</v>
      </c>
      <c r="FQ45" s="10"/>
      <c r="FR45" s="10">
        <f>[28]SP!Q30</f>
        <v>0</v>
      </c>
      <c r="FS45" s="10"/>
      <c r="FT45" s="10">
        <f>[28]SP!T30</f>
        <v>3351456.45</v>
      </c>
      <c r="FU45" s="10">
        <f t="shared" si="130"/>
        <v>10327031.120000001</v>
      </c>
      <c r="FV45" s="10">
        <f>[28]SP!V30</f>
        <v>4639069.75</v>
      </c>
      <c r="FW45" s="10">
        <f>[28]SP!W30</f>
        <v>1107015.6200000001</v>
      </c>
      <c r="FX45" s="10"/>
      <c r="FY45" s="10">
        <f>[28]SP!U30</f>
        <v>0</v>
      </c>
      <c r="FZ45" s="10"/>
      <c r="GA45" s="10">
        <f>[28]SP!X30</f>
        <v>1308738.3500000001</v>
      </c>
      <c r="GB45" s="10">
        <f t="shared" si="131"/>
        <v>7054823.7200000007</v>
      </c>
      <c r="GC45" s="148">
        <f t="shared" si="132"/>
        <v>73487588.379999995</v>
      </c>
      <c r="GD45" s="148">
        <f t="shared" si="133"/>
        <v>68815728.939999998</v>
      </c>
      <c r="GE45" s="218"/>
      <c r="GG45" s="196"/>
      <c r="GH45" s="36"/>
      <c r="GI45" s="36"/>
      <c r="GJ45" s="36"/>
    </row>
    <row r="46" spans="1:192" s="5" customFormat="1" ht="12.75" x14ac:dyDescent="0.2">
      <c r="A46" s="266"/>
      <c r="B46" s="15" t="s">
        <v>112</v>
      </c>
      <c r="C46" s="1" t="s">
        <v>13</v>
      </c>
      <c r="D46" s="2">
        <v>42491</v>
      </c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50"/>
      <c r="AM46" s="50"/>
      <c r="AN46" s="50"/>
      <c r="AO46" s="50"/>
      <c r="AP46" s="50"/>
      <c r="AQ46" s="50"/>
      <c r="AR46" s="50"/>
      <c r="AS46" s="79">
        <f>[26]SP!$N$161</f>
        <v>1384540.23</v>
      </c>
      <c r="AT46" s="79">
        <f>[26]SP!$N$162</f>
        <v>376835.73</v>
      </c>
      <c r="AU46" s="50"/>
      <c r="AV46" s="10">
        <v>0</v>
      </c>
      <c r="AW46" s="50"/>
      <c r="AX46" s="79">
        <f>[26]SP!$N$163</f>
        <v>245204.08</v>
      </c>
      <c r="AY46" s="10">
        <f t="shared" si="134"/>
        <v>2006580.04</v>
      </c>
      <c r="AZ46" s="79">
        <f>[26]SP!$N$165</f>
        <v>1280440.23</v>
      </c>
      <c r="BA46" s="79">
        <f>[26]SP!$N$166</f>
        <v>348502.43</v>
      </c>
      <c r="BB46" s="50"/>
      <c r="BC46" s="10">
        <v>0</v>
      </c>
      <c r="BD46" s="50"/>
      <c r="BE46" s="79">
        <f>[26]SP!$N$167</f>
        <v>226767.82</v>
      </c>
      <c r="BF46" s="10">
        <f>SUM(AZ46:BE46)</f>
        <v>1855710.48</v>
      </c>
      <c r="BG46" s="10">
        <f>[26]SP!$O$161</f>
        <v>1834815.92</v>
      </c>
      <c r="BH46" s="10">
        <f>[26]SP!$O$162</f>
        <v>499389.03</v>
      </c>
      <c r="BI46" s="10">
        <v>0</v>
      </c>
      <c r="BJ46" s="10">
        <v>0</v>
      </c>
      <c r="BK46" s="10">
        <v>0</v>
      </c>
      <c r="BL46" s="10">
        <f>[26]SP!$O$163</f>
        <v>324948.56</v>
      </c>
      <c r="BM46" s="10">
        <f t="shared" si="125"/>
        <v>2659153.5100000002</v>
      </c>
      <c r="BN46" s="14">
        <f>[26]SP!$O$165</f>
        <v>1798212.94</v>
      </c>
      <c r="BO46" s="14">
        <f>[26]SP!$O$166</f>
        <v>489426.65</v>
      </c>
      <c r="BP46" s="14">
        <v>0</v>
      </c>
      <c r="BQ46" s="14">
        <v>0</v>
      </c>
      <c r="BR46" s="14">
        <v>0</v>
      </c>
      <c r="BS46" s="14">
        <f>[26]SP!$O$167</f>
        <v>318466.12</v>
      </c>
      <c r="BT46" s="10">
        <f>SUM(BN46:BS46)</f>
        <v>2606105.71</v>
      </c>
      <c r="BU46" s="10">
        <f>[26]SP!$P$161</f>
        <v>1833297.7</v>
      </c>
      <c r="BV46" s="10">
        <f>[26]SP!$P$162</f>
        <v>498975.81</v>
      </c>
      <c r="BW46" s="10">
        <v>0</v>
      </c>
      <c r="BX46" s="10">
        <v>0</v>
      </c>
      <c r="BY46" s="10">
        <v>0</v>
      </c>
      <c r="BZ46" s="10">
        <f>[26]SP!$P$163</f>
        <v>324679.67999999999</v>
      </c>
      <c r="CA46" s="10">
        <f t="shared" si="65"/>
        <v>2656953.19</v>
      </c>
      <c r="CB46" s="14">
        <f>[26]SP!$P$165</f>
        <v>1690009.58</v>
      </c>
      <c r="CC46" s="14">
        <f>[26]SP!$P$166</f>
        <v>459976.52</v>
      </c>
      <c r="CD46" s="14">
        <v>0</v>
      </c>
      <c r="CE46" s="14">
        <v>0</v>
      </c>
      <c r="CF46" s="14">
        <v>0</v>
      </c>
      <c r="CG46" s="14">
        <f>[26]SP!$P$167</f>
        <v>299303.15000000002</v>
      </c>
      <c r="CH46" s="10">
        <f>SUM(CB46:CG46)</f>
        <v>2449289.25</v>
      </c>
      <c r="CI46" s="10">
        <f>[26]SP!$Q$161</f>
        <v>3592718.45</v>
      </c>
      <c r="CJ46" s="10">
        <f>[26]SP!$Q$162</f>
        <v>977844.24</v>
      </c>
      <c r="CK46" s="10">
        <v>0</v>
      </c>
      <c r="CL46" s="10">
        <v>0</v>
      </c>
      <c r="CM46" s="10">
        <v>0</v>
      </c>
      <c r="CN46" s="10">
        <f>[26]SP!$Q$163</f>
        <v>636275.64</v>
      </c>
      <c r="CO46" s="10">
        <f t="shared" si="129"/>
        <v>5206838.33</v>
      </c>
      <c r="CP46" s="14">
        <f>[26]SP!$Q$165</f>
        <v>1738547.62</v>
      </c>
      <c r="CQ46" s="14">
        <f>[26]SP!$Q$166</f>
        <v>473187.31</v>
      </c>
      <c r="CR46" s="14">
        <v>0</v>
      </c>
      <c r="CS46" s="14">
        <v>0</v>
      </c>
      <c r="CT46" s="14">
        <v>0</v>
      </c>
      <c r="CU46" s="14">
        <f>[26]SP!$Q$167</f>
        <v>307899.3</v>
      </c>
      <c r="CV46" s="10">
        <f>SUM(CP46:CU46)</f>
        <v>2519634.23</v>
      </c>
      <c r="CW46" s="10">
        <f>[26]SP!$R$161</f>
        <v>2548406.41</v>
      </c>
      <c r="CX46" s="10">
        <f>[26]SP!$R$162</f>
        <v>693609.75</v>
      </c>
      <c r="CY46" s="10"/>
      <c r="CZ46" s="10"/>
      <c r="DA46" s="10"/>
      <c r="DB46" s="10">
        <f>[26]SP!$R$163</f>
        <v>451326.47</v>
      </c>
      <c r="DC46" s="10">
        <f t="shared" si="126"/>
        <v>3693342.63</v>
      </c>
      <c r="DD46" s="10">
        <f>[26]SP!$R$165</f>
        <v>2011779.57</v>
      </c>
      <c r="DE46" s="10">
        <f>[26]SP!$R$166</f>
        <v>547553.92000000004</v>
      </c>
      <c r="DF46" s="10"/>
      <c r="DG46" s="10"/>
      <c r="DH46" s="10"/>
      <c r="DI46" s="10">
        <f>[26]SP!$R$167</f>
        <v>356289.08</v>
      </c>
      <c r="DJ46" s="10">
        <f t="shared" si="127"/>
        <v>2915622.5700000003</v>
      </c>
      <c r="DK46" s="10">
        <f>[26]SP!$S$161</f>
        <v>2875999.63</v>
      </c>
      <c r="DL46" s="10">
        <f>[26]SP!$S$162</f>
        <v>782772.07</v>
      </c>
      <c r="DM46" s="10"/>
      <c r="DN46" s="10"/>
      <c r="DO46" s="10"/>
      <c r="DP46" s="10">
        <f>[26]SP!$S$163</f>
        <v>509343.7</v>
      </c>
      <c r="DQ46" s="148">
        <f t="shared" si="135"/>
        <v>4168115.4</v>
      </c>
      <c r="DR46" s="10">
        <f>[26]SP!$S$165</f>
        <v>2382414.61</v>
      </c>
      <c r="DS46" s="10">
        <f>[26]SP!$S$166</f>
        <v>648431.11</v>
      </c>
      <c r="DT46" s="10"/>
      <c r="DU46" s="10"/>
      <c r="DV46" s="10"/>
      <c r="DW46" s="10">
        <f>[26]SP!$S$167</f>
        <v>421929.08</v>
      </c>
      <c r="DX46" s="10">
        <f t="shared" si="136"/>
        <v>3452774.8</v>
      </c>
      <c r="DY46" s="10">
        <f>[26]SP!$T$161</f>
        <v>4338433.05</v>
      </c>
      <c r="DZ46" s="10">
        <f>[26]SP!$T$162</f>
        <v>1180808.3</v>
      </c>
      <c r="EA46" s="10"/>
      <c r="EB46" s="10"/>
      <c r="EC46" s="10"/>
      <c r="ED46" s="10">
        <f>[26]SP!$T$163</f>
        <v>768342.78</v>
      </c>
      <c r="EE46" s="169">
        <f t="shared" si="137"/>
        <v>6287584.1299999999</v>
      </c>
      <c r="EF46" s="10">
        <f>[26]SP!$T$165</f>
        <v>3823978.11</v>
      </c>
      <c r="EG46" s="10">
        <f>[26]SP!$T$166</f>
        <v>1040787.09</v>
      </c>
      <c r="EH46" s="10"/>
      <c r="EI46" s="10"/>
      <c r="EJ46" s="10"/>
      <c r="EK46" s="10">
        <f>[26]SP!$T$167</f>
        <v>677232.07</v>
      </c>
      <c r="EL46" s="148">
        <f t="shared" si="138"/>
        <v>5541997.2700000005</v>
      </c>
      <c r="EM46" s="10">
        <f>[26]SP!$U$161</f>
        <v>2488951.0099999998</v>
      </c>
      <c r="EN46" s="10">
        <f>[26]SP!$U$162</f>
        <v>677427.54</v>
      </c>
      <c r="EO46" s="10"/>
      <c r="EP46" s="10"/>
      <c r="EQ46" s="10"/>
      <c r="ER46" s="10">
        <f>[26]SP!$U$163</f>
        <v>440796.83</v>
      </c>
      <c r="ES46" s="148">
        <f t="shared" si="101"/>
        <v>3607175.38</v>
      </c>
      <c r="ET46" s="10">
        <f>[26]SP!$U$165</f>
        <v>2404961.0499999998</v>
      </c>
      <c r="EU46" s="10">
        <f>[26]SP!$U$166</f>
        <v>654567.66</v>
      </c>
      <c r="EV46" s="10"/>
      <c r="EW46" s="10"/>
      <c r="EX46" s="10"/>
      <c r="EY46" s="10">
        <f>[26]SP!$U$167</f>
        <v>425922.09</v>
      </c>
      <c r="EZ46" s="10">
        <f t="shared" si="102"/>
        <v>3485450.8</v>
      </c>
      <c r="FA46" s="10">
        <f>[27]SP1!$L$310</f>
        <v>3601728.83</v>
      </c>
      <c r="FB46" s="10">
        <f>[27]SP1!$L$311</f>
        <v>999246.66</v>
      </c>
      <c r="FC46" s="10"/>
      <c r="FD46" s="10"/>
      <c r="FE46" s="10"/>
      <c r="FF46" s="10">
        <f>[27]SP1!$L$312</f>
        <v>726070.58</v>
      </c>
      <c r="FG46" s="10">
        <f t="shared" si="128"/>
        <v>5327046.07</v>
      </c>
      <c r="FH46" s="10">
        <f>[27]SP1!$L$314</f>
        <v>3169473.99</v>
      </c>
      <c r="FI46" s="10">
        <f>[27]SP1!$L$315</f>
        <v>961663.46</v>
      </c>
      <c r="FJ46" s="10"/>
      <c r="FK46" s="10"/>
      <c r="FL46" s="10"/>
      <c r="FM46" s="10">
        <f>[27]SP1!$L$316</f>
        <v>458444.12</v>
      </c>
      <c r="FN46" s="10">
        <f t="shared" si="116"/>
        <v>4589581.57</v>
      </c>
      <c r="FO46" s="10">
        <f>[28]SP!R15</f>
        <v>2407718.94</v>
      </c>
      <c r="FP46" s="10">
        <f>[28]SP!S15</f>
        <v>997875.37</v>
      </c>
      <c r="FQ46" s="10"/>
      <c r="FR46" s="10">
        <f>[28]SP!Q15</f>
        <v>0</v>
      </c>
      <c r="FS46" s="10"/>
      <c r="FT46" s="10">
        <f>[28]SP!T15</f>
        <v>664578.06999999995</v>
      </c>
      <c r="FU46" s="10">
        <f t="shared" si="130"/>
        <v>4070172.38</v>
      </c>
      <c r="FV46" s="10">
        <f>[28]SP!V15</f>
        <v>2360538.11</v>
      </c>
      <c r="FW46" s="10">
        <f>[28]SP!W15</f>
        <v>665919.57999999996</v>
      </c>
      <c r="FX46" s="10"/>
      <c r="FY46" s="10">
        <f>[28]SP!U15</f>
        <v>0</v>
      </c>
      <c r="FZ46" s="10"/>
      <c r="GA46" s="10">
        <f>[28]SP!X15</f>
        <v>326331.76</v>
      </c>
      <c r="GB46" s="10">
        <f t="shared" si="131"/>
        <v>3352789.45</v>
      </c>
      <c r="GC46" s="148">
        <f t="shared" si="132"/>
        <v>39682961.059999995</v>
      </c>
      <c r="GD46" s="148">
        <f t="shared" si="133"/>
        <v>32768956.129999999</v>
      </c>
      <c r="GE46" s="218"/>
      <c r="GG46" s="196"/>
      <c r="GH46" s="36"/>
      <c r="GI46" s="36"/>
      <c r="GJ46" s="36"/>
    </row>
    <row r="47" spans="1:192" s="5" customFormat="1" ht="12.75" x14ac:dyDescent="0.2">
      <c r="A47" s="266"/>
      <c r="B47" s="15" t="s">
        <v>113</v>
      </c>
      <c r="C47" s="1" t="s">
        <v>13</v>
      </c>
      <c r="D47" s="2">
        <v>42583</v>
      </c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50"/>
      <c r="AM47" s="50"/>
      <c r="AN47" s="50"/>
      <c r="AO47" s="50"/>
      <c r="AP47" s="50"/>
      <c r="AQ47" s="50"/>
      <c r="AR47" s="50"/>
      <c r="AS47" s="79">
        <v>106089.25</v>
      </c>
      <c r="AT47" s="79">
        <v>109030.27</v>
      </c>
      <c r="AU47" s="50"/>
      <c r="AV47" s="10">
        <v>0</v>
      </c>
      <c r="AW47" s="50"/>
      <c r="AX47" s="79">
        <v>21279.22</v>
      </c>
      <c r="AY47" s="10">
        <f t="shared" si="134"/>
        <v>236398.74000000002</v>
      </c>
      <c r="AZ47" s="75" t="s">
        <v>11</v>
      </c>
      <c r="BA47" s="75" t="s">
        <v>11</v>
      </c>
      <c r="BB47" s="50"/>
      <c r="BC47" s="10">
        <v>0</v>
      </c>
      <c r="BD47" s="50"/>
      <c r="BE47" s="75" t="s">
        <v>11</v>
      </c>
      <c r="BF47" s="10">
        <f>[31]cobranças!BF13</f>
        <v>187866.43</v>
      </c>
      <c r="BG47" s="10">
        <v>280375.18</v>
      </c>
      <c r="BH47" s="10">
        <v>385198.36</v>
      </c>
      <c r="BI47" s="10">
        <v>0</v>
      </c>
      <c r="BJ47" s="10">
        <v>0</v>
      </c>
      <c r="BK47" s="10">
        <v>0</v>
      </c>
      <c r="BL47" s="10">
        <v>34794.050000000003</v>
      </c>
      <c r="BM47" s="10">
        <f t="shared" si="125"/>
        <v>700367.59000000008</v>
      </c>
      <c r="BN47" s="14" t="s">
        <v>11</v>
      </c>
      <c r="BO47" s="14" t="s">
        <v>11</v>
      </c>
      <c r="BP47" s="14">
        <v>0</v>
      </c>
      <c r="BQ47" s="14">
        <v>0</v>
      </c>
      <c r="BR47" s="14">
        <v>0</v>
      </c>
      <c r="BS47" s="14" t="s">
        <v>11</v>
      </c>
      <c r="BT47" s="10">
        <f>[31]cobranças!BT13</f>
        <v>680363.18</v>
      </c>
      <c r="BU47" s="10">
        <v>4620906</v>
      </c>
      <c r="BV47" s="10">
        <v>276672.96000000002</v>
      </c>
      <c r="BW47" s="10">
        <v>0</v>
      </c>
      <c r="BX47" s="10">
        <v>0</v>
      </c>
      <c r="BY47" s="10">
        <v>0</v>
      </c>
      <c r="BZ47" s="10">
        <v>55262.210000000014</v>
      </c>
      <c r="CA47" s="10">
        <f t="shared" si="65"/>
        <v>4952841.17</v>
      </c>
      <c r="CB47" s="14" t="s">
        <v>11</v>
      </c>
      <c r="CC47" s="14" t="s">
        <v>11</v>
      </c>
      <c r="CD47" s="14">
        <v>0</v>
      </c>
      <c r="CE47" s="14">
        <v>0</v>
      </c>
      <c r="CF47" s="14">
        <v>0</v>
      </c>
      <c r="CG47" s="14" t="s">
        <v>11</v>
      </c>
      <c r="CH47" s="10">
        <f>[31]cobranças!CH13</f>
        <v>2835016.84</v>
      </c>
      <c r="CI47" s="10">
        <v>5278972.84</v>
      </c>
      <c r="CJ47" s="10">
        <v>527088.57999999996</v>
      </c>
      <c r="CK47" s="10">
        <v>0</v>
      </c>
      <c r="CL47" s="10">
        <v>0</v>
      </c>
      <c r="CM47" s="10">
        <v>0</v>
      </c>
      <c r="CN47" s="10">
        <v>56025.23</v>
      </c>
      <c r="CO47" s="10">
        <f t="shared" si="129"/>
        <v>5862086.6500000004</v>
      </c>
      <c r="CP47" s="14" t="s">
        <v>11</v>
      </c>
      <c r="CQ47" s="14" t="s">
        <v>11</v>
      </c>
      <c r="CR47" s="14" t="s">
        <v>11</v>
      </c>
      <c r="CS47" s="14">
        <v>0</v>
      </c>
      <c r="CT47" s="14">
        <v>0</v>
      </c>
      <c r="CU47" s="14" t="s">
        <v>11</v>
      </c>
      <c r="CV47" s="10">
        <f>[31]cobranças!CI13</f>
        <v>8028338.9299999997</v>
      </c>
      <c r="CW47" s="10"/>
      <c r="CX47" s="10"/>
      <c r="CY47" s="10"/>
      <c r="CZ47" s="10"/>
      <c r="DA47" s="10"/>
      <c r="DB47" s="10"/>
      <c r="DC47" s="10">
        <f>[32]Indicadores!$G$17</f>
        <v>6227038.5</v>
      </c>
      <c r="DD47" s="10"/>
      <c r="DE47" s="10"/>
      <c r="DF47" s="10"/>
      <c r="DG47" s="10"/>
      <c r="DH47" s="10"/>
      <c r="DI47" s="10"/>
      <c r="DJ47" s="10">
        <f>[33]Planilha1!$N$15</f>
        <v>6237785.5099999998</v>
      </c>
      <c r="DK47" s="10">
        <f>[26]SP!$S$107</f>
        <v>6388896.9500000002</v>
      </c>
      <c r="DL47" s="10">
        <f>[26]SP!$S$108</f>
        <v>391298.38</v>
      </c>
      <c r="DM47" s="10"/>
      <c r="DN47" s="10"/>
      <c r="DO47" s="10"/>
      <c r="DP47" s="10">
        <f>[26]SP!$S$112</f>
        <v>59488.19</v>
      </c>
      <c r="DQ47" s="148">
        <f t="shared" si="135"/>
        <v>6839683.5200000005</v>
      </c>
      <c r="DR47" s="10">
        <f>[26]SP!$S$114</f>
        <v>6388896.9500000002</v>
      </c>
      <c r="DS47" s="10">
        <f>[26]SP!$S$115</f>
        <v>376520.37</v>
      </c>
      <c r="DT47" s="10"/>
      <c r="DU47" s="10"/>
      <c r="DV47" s="10"/>
      <c r="DW47" s="10">
        <f>[27]SP1!$D$240</f>
        <v>56234.69</v>
      </c>
      <c r="DX47" s="10">
        <f t="shared" si="136"/>
        <v>6821652.0100000007</v>
      </c>
      <c r="DY47" s="10">
        <f>[26]SP!$T$107</f>
        <v>6651878.2999999998</v>
      </c>
      <c r="DZ47" s="10">
        <f>[26]SP!$T$108</f>
        <v>402119.61</v>
      </c>
      <c r="EA47" s="10"/>
      <c r="EB47" s="10"/>
      <c r="EC47" s="10"/>
      <c r="ED47" s="10">
        <f>[26]SP!$T$112</f>
        <v>58442.02</v>
      </c>
      <c r="EE47" s="169">
        <f t="shared" si="137"/>
        <v>7112439.9299999997</v>
      </c>
      <c r="EF47" s="10">
        <f>[26]SP!$T$114</f>
        <v>6651878.2999999998</v>
      </c>
      <c r="EG47" s="10">
        <f>[26]SP!$T$115</f>
        <v>390217.28</v>
      </c>
      <c r="EH47" s="10"/>
      <c r="EI47" s="10"/>
      <c r="EJ47" s="10"/>
      <c r="EK47" s="10">
        <f>[27]SP1!$E$240</f>
        <v>46474.71</v>
      </c>
      <c r="EL47" s="148">
        <f t="shared" si="138"/>
        <v>7088570.29</v>
      </c>
      <c r="EM47" s="10">
        <f>[26]SP!$U$107</f>
        <v>5047050.8899999997</v>
      </c>
      <c r="EN47" s="10">
        <f>[26]SP!$U$108</f>
        <v>421334</v>
      </c>
      <c r="EO47" s="10"/>
      <c r="EP47" s="10"/>
      <c r="EQ47" s="10"/>
      <c r="ER47" s="10">
        <f>[26]SP!$U$112</f>
        <v>58153.82</v>
      </c>
      <c r="ES47" s="148">
        <f t="shared" si="101"/>
        <v>5526538.71</v>
      </c>
      <c r="ET47" s="10">
        <f>[26]SP!$U$114</f>
        <v>5047050.8899999997</v>
      </c>
      <c r="EU47" s="10">
        <f>[26]SP!$U$115</f>
        <v>416018.5</v>
      </c>
      <c r="EV47" s="10"/>
      <c r="EW47" s="10"/>
      <c r="EX47" s="10"/>
      <c r="EY47" s="10">
        <f>[26]SP!$U$119</f>
        <v>57063.66</v>
      </c>
      <c r="EZ47" s="10">
        <f t="shared" si="102"/>
        <v>5520133.0499999998</v>
      </c>
      <c r="FA47" s="10">
        <f>[27]SP1!$G$228</f>
        <v>6072240.0599999996</v>
      </c>
      <c r="FB47" s="10">
        <f>[27]SP1!$G$229</f>
        <v>501056.03</v>
      </c>
      <c r="FC47" s="10"/>
      <c r="FD47" s="10"/>
      <c r="FE47" s="10"/>
      <c r="FF47" s="10">
        <f>[27]SP1!$G$233</f>
        <v>54074.36</v>
      </c>
      <c r="FG47" s="10">
        <f t="shared" si="128"/>
        <v>6627370.4500000002</v>
      </c>
      <c r="FH47" s="10">
        <f>[27]SP1!$G$235</f>
        <v>6072240.0599999996</v>
      </c>
      <c r="FI47" s="10">
        <f>[27]SP1!$G$236</f>
        <v>498882.28</v>
      </c>
      <c r="FJ47" s="10"/>
      <c r="FK47" s="10"/>
      <c r="FL47" s="10"/>
      <c r="FM47" s="10">
        <f>[27]SP1!$G$240</f>
        <v>52864.31</v>
      </c>
      <c r="FN47" s="10">
        <f t="shared" si="116"/>
        <v>6623986.6499999994</v>
      </c>
      <c r="FO47" s="10">
        <f>[28]SP!R20</f>
        <v>6719289.46</v>
      </c>
      <c r="FP47" s="10">
        <f>[28]SP!S20</f>
        <v>465578.58</v>
      </c>
      <c r="FQ47" s="10"/>
      <c r="FR47" s="10">
        <f>[28]SP!Q20</f>
        <v>0</v>
      </c>
      <c r="FS47" s="10"/>
      <c r="FT47" s="10">
        <f>[28]SP!T20</f>
        <v>51274.45</v>
      </c>
      <c r="FU47" s="10">
        <f t="shared" si="130"/>
        <v>7236142.4900000002</v>
      </c>
      <c r="FV47" s="10">
        <f>[28]SP!V20</f>
        <v>6719289.46</v>
      </c>
      <c r="FW47" s="10">
        <f>[28]SP!W20</f>
        <v>459403.9</v>
      </c>
      <c r="FX47" s="10"/>
      <c r="FY47" s="10">
        <f>[28]SP!U20</f>
        <v>0</v>
      </c>
      <c r="FZ47" s="10"/>
      <c r="GA47" s="10">
        <f>[28]SP!X20</f>
        <v>49997.39</v>
      </c>
      <c r="GB47" s="10">
        <f t="shared" si="131"/>
        <v>7228690.75</v>
      </c>
      <c r="GC47" s="148">
        <f t="shared" si="132"/>
        <v>51320907.75</v>
      </c>
      <c r="GD47" s="148">
        <f t="shared" si="133"/>
        <v>51252403.640000001</v>
      </c>
      <c r="GE47" s="218"/>
      <c r="GG47" s="196"/>
      <c r="GH47" s="36"/>
      <c r="GI47" s="36"/>
      <c r="GJ47" s="36"/>
    </row>
    <row r="48" spans="1:192" s="5" customFormat="1" ht="12.75" x14ac:dyDescent="0.2">
      <c r="A48" s="266"/>
      <c r="B48" s="15" t="s">
        <v>134</v>
      </c>
      <c r="C48" s="1" t="s">
        <v>13</v>
      </c>
      <c r="D48" s="2">
        <v>42948</v>
      </c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50"/>
      <c r="AM48" s="50"/>
      <c r="AN48" s="50"/>
      <c r="AO48" s="50"/>
      <c r="AP48" s="50"/>
      <c r="AQ48" s="50"/>
      <c r="AR48" s="50"/>
      <c r="AS48" s="50"/>
      <c r="AT48" s="50"/>
      <c r="AU48" s="50"/>
      <c r="AV48" s="50"/>
      <c r="AW48" s="50"/>
      <c r="AX48" s="50"/>
      <c r="AY48" s="50"/>
      <c r="AZ48" s="50"/>
      <c r="BA48" s="50"/>
      <c r="BB48" s="50"/>
      <c r="BC48" s="50"/>
      <c r="BD48" s="50"/>
      <c r="BE48" s="50"/>
      <c r="BF48" s="50"/>
      <c r="BG48" s="10">
        <f>[26]SP!$O$14</f>
        <v>777510.28</v>
      </c>
      <c r="BH48" s="10">
        <f>[26]SP!$O$15</f>
        <v>290665.92</v>
      </c>
      <c r="BI48" s="10">
        <v>0</v>
      </c>
      <c r="BJ48" s="10">
        <v>0</v>
      </c>
      <c r="BK48" s="10">
        <v>0</v>
      </c>
      <c r="BL48" s="10">
        <f>[26]SP!$O$16</f>
        <v>71556.460000000006</v>
      </c>
      <c r="BM48" s="10">
        <f t="shared" si="125"/>
        <v>1139732.6599999999</v>
      </c>
      <c r="BN48" s="10">
        <f>[26]SP!$O$18</f>
        <v>743618.75</v>
      </c>
      <c r="BO48" s="10">
        <f>[26]SP!$O$19</f>
        <v>297954.99</v>
      </c>
      <c r="BP48" s="10">
        <v>0</v>
      </c>
      <c r="BQ48" s="10">
        <v>0</v>
      </c>
      <c r="BR48" s="10">
        <v>0</v>
      </c>
      <c r="BS48" s="10">
        <f>[26]SP!$O$20</f>
        <v>12803.42</v>
      </c>
      <c r="BT48" s="10">
        <f>SUM(BN48:BS48)</f>
        <v>1054377.1599999999</v>
      </c>
      <c r="BU48" s="10">
        <f>[26]SP!$P$14</f>
        <v>3310035.06</v>
      </c>
      <c r="BV48" s="10">
        <f>[26]SP!$P$15</f>
        <v>354646.61</v>
      </c>
      <c r="BW48" s="10">
        <v>0</v>
      </c>
      <c r="BX48" s="10">
        <v>0</v>
      </c>
      <c r="BY48" s="10">
        <v>0</v>
      </c>
      <c r="BZ48" s="10">
        <f>[26]SP!$P$16</f>
        <v>275836.26</v>
      </c>
      <c r="CA48" s="10">
        <f t="shared" si="65"/>
        <v>3940517.9299999997</v>
      </c>
      <c r="CB48" s="14">
        <f>[26]SP!$P$18</f>
        <v>2638770.62</v>
      </c>
      <c r="CC48" s="14">
        <f>[26]SP!$P$19</f>
        <v>282725.42</v>
      </c>
      <c r="CD48" s="14">
        <v>0</v>
      </c>
      <c r="CE48" s="14">
        <v>0</v>
      </c>
      <c r="CF48" s="14">
        <v>0</v>
      </c>
      <c r="CG48" s="14">
        <f>[26]SP!$P$20</f>
        <v>219897.56</v>
      </c>
      <c r="CH48" s="10">
        <f>SUM(CB48:CG48)</f>
        <v>3141393.6</v>
      </c>
      <c r="CI48" s="10">
        <f>[26]SP!$Q$14</f>
        <v>5822765.8899999997</v>
      </c>
      <c r="CJ48" s="10">
        <f>[26]SP!$Q$15</f>
        <v>623867.77</v>
      </c>
      <c r="CK48" s="10">
        <v>0</v>
      </c>
      <c r="CL48" s="10">
        <v>0</v>
      </c>
      <c r="CM48" s="10">
        <v>0</v>
      </c>
      <c r="CN48" s="10">
        <f>[26]SP!$Q$16</f>
        <v>485230.49</v>
      </c>
      <c r="CO48" s="10">
        <f t="shared" si="129"/>
        <v>6931864.1500000004</v>
      </c>
      <c r="CP48" s="14">
        <f>[26]SP!$Q$18</f>
        <v>4885084.26</v>
      </c>
      <c r="CQ48" s="14">
        <f>[26]SP!$Q$19</f>
        <v>523401.89</v>
      </c>
      <c r="CR48" s="14">
        <v>0</v>
      </c>
      <c r="CS48" s="14">
        <v>0</v>
      </c>
      <c r="CT48" s="14">
        <v>0</v>
      </c>
      <c r="CU48" s="14">
        <f>[26]SP!$Q$20</f>
        <v>407090.35</v>
      </c>
      <c r="CV48" s="10">
        <f>SUM(CP48:CU48)</f>
        <v>5815576.4999999991</v>
      </c>
      <c r="CW48" s="10">
        <f>[26]SP!$R$14</f>
        <v>6365264.6100000003</v>
      </c>
      <c r="CX48" s="10">
        <f>[26]SP!$R$15</f>
        <v>681992.64</v>
      </c>
      <c r="CY48" s="10"/>
      <c r="CZ48" s="10"/>
      <c r="DA48" s="10"/>
      <c r="DB48" s="10">
        <f>[26]SP!$R$16</f>
        <v>530438.71</v>
      </c>
      <c r="DC48" s="10">
        <f t="shared" ref="DC48:DC57" si="139">SUM(CW48:DB48)</f>
        <v>7577695.96</v>
      </c>
      <c r="DD48" s="10">
        <f>[26]SP!$R$18</f>
        <v>5613903.0499999998</v>
      </c>
      <c r="DE48" s="10">
        <f>[26]SP!$R$19</f>
        <v>601489.61</v>
      </c>
      <c r="DF48" s="10"/>
      <c r="DG48" s="10"/>
      <c r="DH48" s="10"/>
      <c r="DI48" s="10">
        <f>[26]SP!$R$20</f>
        <v>467825.26</v>
      </c>
      <c r="DJ48" s="10">
        <f>SUM(DD48:DI48)</f>
        <v>6683217.9199999999</v>
      </c>
      <c r="DK48" s="10">
        <f>[26]SP!$S$14</f>
        <v>6314370.8399999999</v>
      </c>
      <c r="DL48" s="10">
        <f>[26]SP!$S$15</f>
        <v>676539.73</v>
      </c>
      <c r="DM48" s="10"/>
      <c r="DN48" s="10"/>
      <c r="DO48" s="10"/>
      <c r="DP48" s="10">
        <f>[26]SP!$S$16</f>
        <v>526197.56999999995</v>
      </c>
      <c r="DQ48" s="148">
        <f t="shared" si="135"/>
        <v>7517108.1400000006</v>
      </c>
      <c r="DR48" s="10">
        <f>[26]SP!$S$18</f>
        <v>5592270.8300000001</v>
      </c>
      <c r="DS48" s="10">
        <f>[26]SP!$S$19</f>
        <v>599171.87</v>
      </c>
      <c r="DT48" s="10"/>
      <c r="DU48" s="10"/>
      <c r="DV48" s="10"/>
      <c r="DW48" s="10">
        <f>[26]SP!$S$20</f>
        <v>466022.57</v>
      </c>
      <c r="DX48" s="10">
        <f t="shared" si="136"/>
        <v>6657465.2700000005</v>
      </c>
      <c r="DY48" s="10">
        <f>[26]SP!$T$14</f>
        <v>5627377.5099999998</v>
      </c>
      <c r="DZ48" s="10">
        <f>[26]SP!$T$15</f>
        <v>603698.21</v>
      </c>
      <c r="EA48" s="10"/>
      <c r="EB48" s="10"/>
      <c r="EC48" s="10"/>
      <c r="ED48" s="10">
        <f>[26]SP!$T$16</f>
        <v>461809.05</v>
      </c>
      <c r="EE48" s="169">
        <f t="shared" si="137"/>
        <v>6692884.7699999996</v>
      </c>
      <c r="EF48" s="10">
        <f>[26]SP!$T$18</f>
        <v>4878791.74</v>
      </c>
      <c r="EG48" s="10">
        <f>[26]SP!$T$19</f>
        <v>522727.69</v>
      </c>
      <c r="EH48" s="10"/>
      <c r="EI48" s="10"/>
      <c r="EJ48" s="10"/>
      <c r="EK48" s="10">
        <f>[26]SP!$T$20</f>
        <v>406565.97</v>
      </c>
      <c r="EL48" s="148">
        <f t="shared" si="138"/>
        <v>5808085.4000000004</v>
      </c>
      <c r="EM48" s="10">
        <f>[26]SP!$U$14</f>
        <v>5495952.21</v>
      </c>
      <c r="EN48" s="10">
        <f>[26]SP!$U$15</f>
        <v>622104.92000000004</v>
      </c>
      <c r="EO48" s="10"/>
      <c r="EP48" s="10"/>
      <c r="EQ48" s="10"/>
      <c r="ER48" s="10">
        <f>[26]SP!$U$16</f>
        <v>368683</v>
      </c>
      <c r="ES48" s="148">
        <f t="shared" si="101"/>
        <v>6486740.1299999999</v>
      </c>
      <c r="ET48" s="10">
        <f>[26]SP!$U$18</f>
        <v>5157254.09</v>
      </c>
      <c r="EU48" s="10">
        <f>[26]SP!$U$19</f>
        <v>603657.12</v>
      </c>
      <c r="EV48" s="10"/>
      <c r="EW48" s="10"/>
      <c r="EX48" s="10"/>
      <c r="EY48" s="10">
        <f>[26]SP!$U$20</f>
        <v>284793</v>
      </c>
      <c r="EZ48" s="10">
        <f t="shared" si="102"/>
        <v>6045704.21</v>
      </c>
      <c r="FA48" s="10">
        <f>[27]SP1!$C$63</f>
        <v>4438834.9800000004</v>
      </c>
      <c r="FB48" s="10">
        <f>[27]SP1!$D$63</f>
        <v>475589.47</v>
      </c>
      <c r="FC48" s="10"/>
      <c r="FD48" s="10"/>
      <c r="FE48" s="10"/>
      <c r="FF48" s="10">
        <f>[27]SP1!$E$63</f>
        <v>369902.91</v>
      </c>
      <c r="FG48" s="10">
        <f t="shared" si="128"/>
        <v>5284327.3600000003</v>
      </c>
      <c r="FH48" s="10">
        <f>[27]SP1!$C$72</f>
        <v>4227110.8099999996</v>
      </c>
      <c r="FI48" s="10">
        <f>[27]SP1!$D$72</f>
        <v>452904.73</v>
      </c>
      <c r="FJ48" s="10"/>
      <c r="FK48" s="10"/>
      <c r="FL48" s="10"/>
      <c r="FM48" s="10">
        <f>[27]SP1!$E$72</f>
        <v>352259.23</v>
      </c>
      <c r="FN48" s="10">
        <f t="shared" si="116"/>
        <v>5032274.7699999996</v>
      </c>
      <c r="FO48" s="10">
        <f>[34]reg_cobranca_bacia_estadual_a!$R$31</f>
        <v>6115593.2599999998</v>
      </c>
      <c r="FP48" s="10">
        <f>[34]reg_cobranca_bacia_estadual_a!$S$31</f>
        <v>987981.38</v>
      </c>
      <c r="FQ48" s="10"/>
      <c r="FR48" s="10">
        <f>[34]reg_cobranca_bacia_estadual_a!$Q$31</f>
        <v>0</v>
      </c>
      <c r="FS48" s="10"/>
      <c r="FT48" s="10">
        <f>[34]reg_cobranca_bacia_estadual_a!$T$31</f>
        <v>369050.65</v>
      </c>
      <c r="FU48" s="10">
        <f>SUM(FO48:FT48)</f>
        <v>7472625.29</v>
      </c>
      <c r="FV48" s="10">
        <f>[34]reg_cobranca_bacia_estadual_a!$V$31</f>
        <v>5142692.9800000004</v>
      </c>
      <c r="FW48" s="10">
        <f>[34]reg_cobranca_bacia_estadual_a!$W$31</f>
        <v>692547.43</v>
      </c>
      <c r="FX48" s="10"/>
      <c r="FY48" s="10">
        <f>[34]reg_cobranca_bacia_estadual_a!$U$31</f>
        <v>0</v>
      </c>
      <c r="FZ48" s="10"/>
      <c r="GA48" s="10">
        <f>[34]reg_cobranca_bacia_estadual_a!$X$31</f>
        <v>230944.18</v>
      </c>
      <c r="GB48" s="10">
        <f t="shared" si="131"/>
        <v>6066184.5899999999</v>
      </c>
      <c r="GC48" s="148">
        <f t="shared" si="132"/>
        <v>53043496.390000001</v>
      </c>
      <c r="GD48" s="148">
        <f t="shared" si="133"/>
        <v>46304279.420000002</v>
      </c>
      <c r="GE48" s="218"/>
      <c r="GG48" s="196"/>
      <c r="GH48" s="36"/>
      <c r="GI48" s="36"/>
      <c r="GJ48" s="36"/>
    </row>
    <row r="49" spans="1:192" s="5" customFormat="1" ht="12.75" x14ac:dyDescent="0.2">
      <c r="A49" s="266"/>
      <c r="B49" s="15" t="s">
        <v>139</v>
      </c>
      <c r="C49" s="1" t="s">
        <v>13</v>
      </c>
      <c r="D49" s="2">
        <v>43009</v>
      </c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50"/>
      <c r="AM49" s="50"/>
      <c r="AN49" s="50"/>
      <c r="AO49" s="50"/>
      <c r="AP49" s="50"/>
      <c r="AQ49" s="50"/>
      <c r="AR49" s="50"/>
      <c r="AS49" s="50"/>
      <c r="AT49" s="50"/>
      <c r="AU49" s="50"/>
      <c r="AV49" s="50"/>
      <c r="AW49" s="50"/>
      <c r="AX49" s="50"/>
      <c r="AY49" s="50"/>
      <c r="AZ49" s="50"/>
      <c r="BA49" s="50"/>
      <c r="BB49" s="50"/>
      <c r="BC49" s="50"/>
      <c r="BD49" s="50"/>
      <c r="BE49" s="50"/>
      <c r="BF49" s="50"/>
      <c r="BG49" s="10">
        <f>[26]SP!$O$121</f>
        <v>336444.67</v>
      </c>
      <c r="BH49" s="10">
        <f>[26]SP!$O$122</f>
        <v>88784.01</v>
      </c>
      <c r="BI49" s="10">
        <v>0</v>
      </c>
      <c r="BJ49" s="10">
        <v>0</v>
      </c>
      <c r="BK49" s="10">
        <v>0</v>
      </c>
      <c r="BL49" s="10">
        <f>[26]SP!$O$123</f>
        <v>42055.58</v>
      </c>
      <c r="BM49" s="10">
        <f t="shared" si="125"/>
        <v>467284.26</v>
      </c>
      <c r="BN49" s="10">
        <f>[26]SP!$O$125</f>
        <v>271355.08</v>
      </c>
      <c r="BO49" s="10">
        <f>[26]SP!$O$126</f>
        <v>71607.59</v>
      </c>
      <c r="BP49" s="10">
        <v>0</v>
      </c>
      <c r="BQ49" s="10">
        <v>0</v>
      </c>
      <c r="BR49" s="10">
        <v>0</v>
      </c>
      <c r="BS49" s="10">
        <f>[26]SP!$O$127</f>
        <v>33919.39</v>
      </c>
      <c r="BT49" s="10">
        <f>SUM(BN49:BS49)</f>
        <v>376882.06000000006</v>
      </c>
      <c r="BU49" s="10">
        <f>[26]SP!$P$121</f>
        <v>1850831.99</v>
      </c>
      <c r="BV49" s="10">
        <f>[26]SP!$P$122</f>
        <v>488414</v>
      </c>
      <c r="BW49" s="10">
        <v>0</v>
      </c>
      <c r="BX49" s="10">
        <v>0</v>
      </c>
      <c r="BY49" s="10">
        <v>0</v>
      </c>
      <c r="BZ49" s="10">
        <f>[26]SP!$P$123</f>
        <v>231354</v>
      </c>
      <c r="CA49" s="10">
        <f t="shared" si="65"/>
        <v>2570599.9900000002</v>
      </c>
      <c r="CB49" s="14">
        <f>[26]SP!$P$125</f>
        <v>1153426.18</v>
      </c>
      <c r="CC49" s="14">
        <f>[26]SP!$P$126</f>
        <v>304376.34999999998</v>
      </c>
      <c r="CD49" s="14">
        <v>0</v>
      </c>
      <c r="CE49" s="14">
        <v>0</v>
      </c>
      <c r="CF49" s="14">
        <v>0</v>
      </c>
      <c r="CG49" s="14">
        <f>[26]SP!$P$127</f>
        <v>144178.26999999999</v>
      </c>
      <c r="CH49" s="10">
        <f>SUM(CB49:CG49)</f>
        <v>1601980.7999999998</v>
      </c>
      <c r="CI49" s="10">
        <f>[26]SP!$Q$121</f>
        <v>2445604.08</v>
      </c>
      <c r="CJ49" s="10">
        <f>[26]SP!$Q$122</f>
        <v>645367.74</v>
      </c>
      <c r="CK49" s="10">
        <v>0</v>
      </c>
      <c r="CL49" s="10">
        <v>0</v>
      </c>
      <c r="CM49" s="10">
        <v>0</v>
      </c>
      <c r="CN49" s="10">
        <f>[26]SP!$Q$123</f>
        <v>305700.52</v>
      </c>
      <c r="CO49" s="10">
        <f t="shared" si="129"/>
        <v>3396672.3400000003</v>
      </c>
      <c r="CP49" s="14">
        <f>[26]SP!$Q$125</f>
        <v>1324426.8</v>
      </c>
      <c r="CQ49" s="14">
        <f>[26]SP!$Q$126</f>
        <v>349501.52</v>
      </c>
      <c r="CR49" s="14">
        <v>0</v>
      </c>
      <c r="CS49" s="14">
        <v>0</v>
      </c>
      <c r="CT49" s="14">
        <v>0</v>
      </c>
      <c r="CU49" s="14">
        <f>[26]SP!$Q$127</f>
        <v>165553.34</v>
      </c>
      <c r="CV49" s="10">
        <f>SUM(CP49:CU49)</f>
        <v>1839481.6600000001</v>
      </c>
      <c r="CW49" s="10">
        <f>[26]SP!$R$121</f>
        <v>2943054.12</v>
      </c>
      <c r="CX49" s="10">
        <f>[26]SP!$R$122</f>
        <v>776639.28</v>
      </c>
      <c r="CY49" s="10"/>
      <c r="CZ49" s="10"/>
      <c r="DA49" s="10"/>
      <c r="DB49" s="10">
        <f>[26]SP!$R$123</f>
        <v>367881.76</v>
      </c>
      <c r="DC49" s="10">
        <f t="shared" si="139"/>
        <v>4087575.16</v>
      </c>
      <c r="DD49" s="10">
        <f>[26]SP!$R$125</f>
        <v>2258929.46</v>
      </c>
      <c r="DE49" s="10">
        <f>[26]SP!$R$126</f>
        <v>596106.39</v>
      </c>
      <c r="DF49" s="10"/>
      <c r="DG49" s="10"/>
      <c r="DH49" s="10"/>
      <c r="DI49" s="10">
        <f>[26]SP!$R$127</f>
        <v>282366.18</v>
      </c>
      <c r="DJ49" s="10">
        <f>SUM(DD49:DI49)</f>
        <v>3137402.0300000003</v>
      </c>
      <c r="DK49" s="10">
        <f>[26]SP!$S$121</f>
        <v>2772646.98</v>
      </c>
      <c r="DL49" s="10">
        <f>[26]SP!$S$122</f>
        <v>731670.73</v>
      </c>
      <c r="DM49" s="10"/>
      <c r="DN49" s="10"/>
      <c r="DO49" s="10"/>
      <c r="DP49" s="10">
        <f>[26]SP!$S$123</f>
        <v>346580.88</v>
      </c>
      <c r="DQ49" s="148">
        <f t="shared" si="135"/>
        <v>3850898.59</v>
      </c>
      <c r="DR49" s="10">
        <f>[26]SP!$S$125</f>
        <v>2344271.5499999998</v>
      </c>
      <c r="DS49" s="10">
        <f>[26]SP!$S$126</f>
        <v>618627.21</v>
      </c>
      <c r="DT49" s="10"/>
      <c r="DU49" s="10"/>
      <c r="DV49" s="10"/>
      <c r="DW49" s="10">
        <f>[26]SP!$S$127</f>
        <v>293033.95</v>
      </c>
      <c r="DX49" s="10">
        <f t="shared" si="136"/>
        <v>3255932.71</v>
      </c>
      <c r="DY49" s="10">
        <f>[26]SP!$T$121</f>
        <v>1769258.55</v>
      </c>
      <c r="DZ49" s="10">
        <f>[26]SP!$T$122</f>
        <v>486967.59</v>
      </c>
      <c r="EA49" s="10"/>
      <c r="EB49" s="10"/>
      <c r="EC49" s="10"/>
      <c r="ED49" s="10">
        <f>[26]SP!$T$123</f>
        <v>187163.66</v>
      </c>
      <c r="EE49" s="169">
        <f t="shared" si="137"/>
        <v>2443389.8000000003</v>
      </c>
      <c r="EF49" s="10">
        <f>[26]SP!$T$125</f>
        <v>1143506.43</v>
      </c>
      <c r="EG49" s="10">
        <f>[26]SP!$T$126</f>
        <v>317640.67</v>
      </c>
      <c r="EH49" s="10"/>
      <c r="EI49" s="10"/>
      <c r="EJ49" s="10"/>
      <c r="EK49" s="10">
        <f>[26]SP!$T$127</f>
        <v>127056.27</v>
      </c>
      <c r="EL49" s="148">
        <f t="shared" si="138"/>
        <v>1588203.3699999999</v>
      </c>
      <c r="EM49" s="10">
        <f>[26]SP!$U$121</f>
        <v>1610668.59</v>
      </c>
      <c r="EN49" s="10">
        <f>[26]SP!$U$122</f>
        <v>873252.61</v>
      </c>
      <c r="EO49" s="10"/>
      <c r="EP49" s="10"/>
      <c r="EQ49" s="10"/>
      <c r="ER49" s="10">
        <f>[26]SP!$U$123</f>
        <v>97171.520000000004</v>
      </c>
      <c r="ES49" s="10">
        <f t="shared" si="101"/>
        <v>2581092.7200000002</v>
      </c>
      <c r="ET49" s="10">
        <f>[26]SP!$U$125</f>
        <v>1265692.17</v>
      </c>
      <c r="EU49" s="10">
        <f>[26]SP!$U$126</f>
        <v>517333.92</v>
      </c>
      <c r="EV49" s="10"/>
      <c r="EW49" s="10"/>
      <c r="EX49" s="10"/>
      <c r="EY49" s="10">
        <f>[26]SP!$U$127</f>
        <v>48873.74</v>
      </c>
      <c r="EZ49" s="10">
        <f t="shared" si="102"/>
        <v>1831899.8299999998</v>
      </c>
      <c r="FA49" s="10">
        <f>[27]SP1!$K$248</f>
        <v>1694943.1</v>
      </c>
      <c r="FB49" s="10">
        <f>[27]SP1!$K$249</f>
        <v>447276.65</v>
      </c>
      <c r="FC49" s="10"/>
      <c r="FD49" s="10"/>
      <c r="FE49" s="10"/>
      <c r="FF49" s="10">
        <f>[27]SP1!$K$250</f>
        <v>211867.89</v>
      </c>
      <c r="FG49" s="10">
        <f t="shared" si="128"/>
        <v>2354087.64</v>
      </c>
      <c r="FH49" s="10">
        <f>[27]SP1!$K$252</f>
        <v>1566569.36</v>
      </c>
      <c r="FI49" s="10">
        <f>[27]SP1!$K$253</f>
        <v>413400.25</v>
      </c>
      <c r="FJ49" s="10"/>
      <c r="FK49" s="10"/>
      <c r="FL49" s="10"/>
      <c r="FM49" s="10">
        <f>[27]SP1!$K$254</f>
        <v>195821.17</v>
      </c>
      <c r="FN49" s="10">
        <f t="shared" si="116"/>
        <v>2175790.7800000003</v>
      </c>
      <c r="FO49" s="10">
        <f>[34]reg_cobranca_bacia_estadual_a!$R$33</f>
        <v>1876541.71</v>
      </c>
      <c r="FP49" s="10">
        <f>[34]reg_cobranca_bacia_estadual_a!$S$33</f>
        <v>1085818.2</v>
      </c>
      <c r="FQ49" s="10"/>
      <c r="FR49" s="10">
        <f>[34]reg_cobranca_bacia_estadual_a!$Q$33</f>
        <v>0</v>
      </c>
      <c r="FS49" s="10"/>
      <c r="FT49" s="10">
        <f>[34]reg_cobranca_bacia_estadual_a!$T$33</f>
        <v>125247.56</v>
      </c>
      <c r="FU49" s="10">
        <f t="shared" si="130"/>
        <v>3087607.47</v>
      </c>
      <c r="FV49" s="10">
        <f>[34]reg_cobranca_bacia_estadual_a!$V$33</f>
        <v>1826470.45</v>
      </c>
      <c r="FW49" s="10">
        <f>[34]reg_cobranca_bacia_estadual_a!$W$33</f>
        <v>1070995.06</v>
      </c>
      <c r="FX49" s="10"/>
      <c r="FY49" s="10">
        <f>[34]reg_cobranca_bacia_estadual_a!$U$33</f>
        <v>0</v>
      </c>
      <c r="FZ49" s="10"/>
      <c r="GA49" s="10">
        <f>[34]reg_cobranca_bacia_estadual_a!$X$33</f>
        <v>71793</v>
      </c>
      <c r="GB49" s="10">
        <f t="shared" si="131"/>
        <v>2969258.51</v>
      </c>
      <c r="GC49" s="148">
        <f t="shared" si="132"/>
        <v>24839207.969999999</v>
      </c>
      <c r="GD49" s="148">
        <f t="shared" si="133"/>
        <v>18776831.75</v>
      </c>
      <c r="GE49" s="218"/>
      <c r="GG49" s="196"/>
      <c r="GH49" s="36"/>
      <c r="GI49" s="36"/>
      <c r="GJ49" s="36"/>
    </row>
    <row r="50" spans="1:192" s="5" customFormat="1" ht="12.75" x14ac:dyDescent="0.2">
      <c r="A50" s="266"/>
      <c r="B50" s="15" t="s">
        <v>135</v>
      </c>
      <c r="C50" s="1" t="s">
        <v>13</v>
      </c>
      <c r="D50" s="2">
        <v>43009</v>
      </c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50"/>
      <c r="BF50" s="50"/>
      <c r="BG50" s="10">
        <f>[26]SP!$O$71</f>
        <v>242744.84</v>
      </c>
      <c r="BH50" s="10">
        <f>[26]SP!$O$72</f>
        <v>67429.119999999995</v>
      </c>
      <c r="BI50" s="10">
        <v>0</v>
      </c>
      <c r="BJ50" s="10">
        <v>0</v>
      </c>
      <c r="BK50" s="10">
        <v>0</v>
      </c>
      <c r="BL50" s="10">
        <f>[26]SP!$O$73</f>
        <v>26971.65</v>
      </c>
      <c r="BM50" s="10">
        <f t="shared" si="125"/>
        <v>337145.61</v>
      </c>
      <c r="BN50" s="10">
        <f>[26]SP!$O$75</f>
        <v>189209.41</v>
      </c>
      <c r="BO50" s="10">
        <f>[26]SP!$O$76</f>
        <v>52558.17</v>
      </c>
      <c r="BP50" s="10">
        <v>0</v>
      </c>
      <c r="BQ50" s="10">
        <v>0</v>
      </c>
      <c r="BR50" s="10">
        <v>0</v>
      </c>
      <c r="BS50" s="10">
        <f>[26]SP!$O$77</f>
        <v>21023.27</v>
      </c>
      <c r="BT50" s="10">
        <f>SUM(BN50:BS50)</f>
        <v>262790.85000000003</v>
      </c>
      <c r="BU50" s="10">
        <f>[26]SP!$P$71</f>
        <v>1293388.23</v>
      </c>
      <c r="BV50" s="10">
        <f>[26]SP!$P$72</f>
        <v>359274.51</v>
      </c>
      <c r="BW50" s="10">
        <v>0</v>
      </c>
      <c r="BX50" s="10">
        <v>0</v>
      </c>
      <c r="BY50" s="10">
        <v>0</v>
      </c>
      <c r="BZ50" s="10">
        <f>[26]SP!$P$73</f>
        <v>143709.79999999999</v>
      </c>
      <c r="CA50" s="10">
        <f t="shared" si="65"/>
        <v>1796372.54</v>
      </c>
      <c r="CB50" s="14">
        <f>[26]SP!$P$75</f>
        <v>914935.84</v>
      </c>
      <c r="CC50" s="14">
        <f>[26]SP!$P$76</f>
        <v>254148.84</v>
      </c>
      <c r="CD50" s="14">
        <v>0</v>
      </c>
      <c r="CE50" s="14">
        <v>0</v>
      </c>
      <c r="CF50" s="14">
        <v>0</v>
      </c>
      <c r="CG50" s="14">
        <f>[26]SP!$P$77</f>
        <v>101659.54</v>
      </c>
      <c r="CH50" s="10">
        <f>SUM(CB50:CG50)</f>
        <v>1270744.22</v>
      </c>
      <c r="CI50" s="10">
        <f>[26]SP!$Q$71</f>
        <v>1543464.83</v>
      </c>
      <c r="CJ50" s="10">
        <f>[26]SP!$Q$72</f>
        <v>428740.23</v>
      </c>
      <c r="CK50" s="10">
        <v>0</v>
      </c>
      <c r="CL50" s="10">
        <v>0</v>
      </c>
      <c r="CM50" s="10">
        <v>0</v>
      </c>
      <c r="CN50" s="10">
        <f>[26]SP!$Q$73</f>
        <v>171496.09</v>
      </c>
      <c r="CO50" s="10">
        <f t="shared" si="129"/>
        <v>2143701.15</v>
      </c>
      <c r="CP50" s="14">
        <f>[26]SP!$Q$75</f>
        <v>1059412.46</v>
      </c>
      <c r="CQ50" s="14">
        <f>[26]SP!$Q$76</f>
        <v>294281.24</v>
      </c>
      <c r="CR50" s="14">
        <v>0</v>
      </c>
      <c r="CS50" s="14">
        <v>0</v>
      </c>
      <c r="CT50" s="14">
        <v>0</v>
      </c>
      <c r="CU50" s="14">
        <f>[26]SP!$Q$77</f>
        <v>117712.49</v>
      </c>
      <c r="CV50" s="10">
        <f>SUM(CP50:CU50)</f>
        <v>1471406.19</v>
      </c>
      <c r="CW50" s="10">
        <f>[26]SP!$R$71</f>
        <v>1804403.22</v>
      </c>
      <c r="CX50" s="10">
        <f>[26]SP!$R$72</f>
        <v>501223.12</v>
      </c>
      <c r="CY50" s="10"/>
      <c r="CZ50" s="10"/>
      <c r="DA50" s="10"/>
      <c r="DB50" s="10">
        <f>[26]SP!$R$73</f>
        <v>200489.24</v>
      </c>
      <c r="DC50" s="10">
        <f t="shared" si="139"/>
        <v>2506115.58</v>
      </c>
      <c r="DD50" s="10">
        <f>[26]SP!$R$75</f>
        <v>1651625.65</v>
      </c>
      <c r="DE50" s="10">
        <f>[26]SP!$R$76</f>
        <v>458784.9</v>
      </c>
      <c r="DF50" s="10"/>
      <c r="DG50" s="10"/>
      <c r="DH50" s="10"/>
      <c r="DI50" s="10">
        <f>[26]SP!$R$77</f>
        <v>183513.97</v>
      </c>
      <c r="DJ50" s="10">
        <f>SUM(DD50:DI50)</f>
        <v>2293924.52</v>
      </c>
      <c r="DK50" s="10">
        <f>[26]SP!$S$71</f>
        <v>2260275</v>
      </c>
      <c r="DL50" s="10">
        <f>[26]SP!$S$72</f>
        <v>627854.17000000004</v>
      </c>
      <c r="DM50" s="10"/>
      <c r="DN50" s="10"/>
      <c r="DO50" s="10"/>
      <c r="DP50" s="10">
        <f>[26]SP!$S$73</f>
        <v>251141.67</v>
      </c>
      <c r="DQ50" s="148">
        <f t="shared" si="135"/>
        <v>3139270.84</v>
      </c>
      <c r="DR50" s="10">
        <f>[26]SP!$S$75</f>
        <v>1617395.33</v>
      </c>
      <c r="DS50" s="10">
        <f>[26]SP!$S$76</f>
        <v>449276.48</v>
      </c>
      <c r="DT50" s="10"/>
      <c r="DU50" s="10"/>
      <c r="DV50" s="10"/>
      <c r="DW50" s="10">
        <f>[26]SP!$S$77</f>
        <v>179710.59</v>
      </c>
      <c r="DX50" s="10">
        <f t="shared" si="136"/>
        <v>2246382.4</v>
      </c>
      <c r="DY50" s="10">
        <f>[26]SP!$T$71</f>
        <v>1606762.93</v>
      </c>
      <c r="DZ50" s="10">
        <f>[26]SP!$T$72</f>
        <v>441612.03</v>
      </c>
      <c r="EA50" s="10"/>
      <c r="EB50" s="10"/>
      <c r="EC50" s="10"/>
      <c r="ED50" s="10">
        <f>[26]SP!$T$73</f>
        <v>154178.76</v>
      </c>
      <c r="EE50" s="169">
        <f t="shared" si="137"/>
        <v>2202553.7199999997</v>
      </c>
      <c r="EF50" s="10">
        <f>[26]SP!$T$75</f>
        <v>1430677.58</v>
      </c>
      <c r="EG50" s="10">
        <f>[26]SP!$T$76</f>
        <v>391966.46</v>
      </c>
      <c r="EH50" s="10"/>
      <c r="EI50" s="10"/>
      <c r="EJ50" s="10"/>
      <c r="EK50" s="10">
        <f>[26]SP!$T$77</f>
        <v>137188.26</v>
      </c>
      <c r="EL50" s="148">
        <f t="shared" si="138"/>
        <v>1959832.3</v>
      </c>
      <c r="EM50" s="10">
        <f>[26]SP!$U$71</f>
        <v>1474548.54</v>
      </c>
      <c r="EN50" s="10">
        <f>[26]SP!$U$72</f>
        <v>367256.77</v>
      </c>
      <c r="EO50" s="10"/>
      <c r="EP50" s="10"/>
      <c r="EQ50" s="10"/>
      <c r="ER50" s="10">
        <f>[26]SP!$U$73</f>
        <v>152751.35999999999</v>
      </c>
      <c r="ES50" s="10">
        <f t="shared" si="101"/>
        <v>1994556.67</v>
      </c>
      <c r="ET50" s="10">
        <f>[26]SP!$U$75</f>
        <v>1369641.4</v>
      </c>
      <c r="EU50" s="10">
        <f>[26]SP!$U$76</f>
        <v>287735.05</v>
      </c>
      <c r="EV50" s="10"/>
      <c r="EW50" s="10"/>
      <c r="EX50" s="10"/>
      <c r="EY50" s="10">
        <f>[26]SP!$U$77</f>
        <v>81047.39</v>
      </c>
      <c r="EZ50" s="10">
        <f t="shared" si="102"/>
        <v>1738423.8399999999</v>
      </c>
      <c r="FA50" s="10">
        <f>[27]SP1!$C$173</f>
        <v>1797632.5</v>
      </c>
      <c r="FB50" s="10">
        <f>[27]SP1!$D$173</f>
        <v>499342.36</v>
      </c>
      <c r="FC50" s="10"/>
      <c r="FD50" s="10"/>
      <c r="FE50" s="10"/>
      <c r="FF50" s="10">
        <f>[27]SP1!$E$173</f>
        <v>199736.94399999999</v>
      </c>
      <c r="FG50" s="10">
        <f t="shared" si="128"/>
        <v>2496711.804</v>
      </c>
      <c r="FH50" s="10">
        <f>[27]SP1!$C$182</f>
        <v>1570218.95</v>
      </c>
      <c r="FI50" s="10">
        <f>[27]SP1!$D$182</f>
        <v>436171.93</v>
      </c>
      <c r="FJ50" s="10"/>
      <c r="FK50" s="10"/>
      <c r="FL50" s="10"/>
      <c r="FM50" s="10">
        <f>[27]SP1!$E$182</f>
        <v>174468.772</v>
      </c>
      <c r="FN50" s="10">
        <f t="shared" si="116"/>
        <v>2180859.6519999998</v>
      </c>
      <c r="FO50" s="10">
        <f>[34]reg_cobranca_bacia_estadual_a!$R$18</f>
        <v>1948537.52</v>
      </c>
      <c r="FP50" s="10">
        <f>[34]reg_cobranca_bacia_estadual_a!$S$18</f>
        <v>313645.02</v>
      </c>
      <c r="FQ50" s="10"/>
      <c r="FR50" s="10">
        <f>[34]reg_cobranca_bacia_estadual_a!$Q$18</f>
        <v>0</v>
      </c>
      <c r="FS50" s="10"/>
      <c r="FT50" s="10">
        <f>[34]reg_cobranca_bacia_estadual_a!$T$18</f>
        <v>134299.04999999999</v>
      </c>
      <c r="FU50" s="10">
        <f t="shared" si="130"/>
        <v>2396481.59</v>
      </c>
      <c r="FV50" s="10">
        <f>[34]reg_cobranca_bacia_estadual_a!$V$18</f>
        <v>1227752.93</v>
      </c>
      <c r="FW50" s="10">
        <f>[34]reg_cobranca_bacia_estadual_a!$W$18</f>
        <v>285017.96000000002</v>
      </c>
      <c r="FX50" s="10"/>
      <c r="FY50" s="10">
        <f>[34]reg_cobranca_bacia_estadual_a!$U$18</f>
        <v>0</v>
      </c>
      <c r="FZ50" s="10"/>
      <c r="GA50" s="10">
        <f>[34]reg_cobranca_bacia_estadual_a!$X$18</f>
        <v>88736.27</v>
      </c>
      <c r="GB50" s="10">
        <f t="shared" si="131"/>
        <v>1601507.16</v>
      </c>
      <c r="GC50" s="148">
        <f t="shared" si="132"/>
        <v>19012909.503999997</v>
      </c>
      <c r="GD50" s="148">
        <f t="shared" si="133"/>
        <v>15025871.131999999</v>
      </c>
      <c r="GE50" s="218"/>
      <c r="GG50" s="196"/>
      <c r="GH50" s="36"/>
      <c r="GI50" s="36"/>
      <c r="GJ50" s="36"/>
    </row>
    <row r="51" spans="1:192" s="5" customFormat="1" ht="12.75" x14ac:dyDescent="0.2">
      <c r="A51" s="266"/>
      <c r="B51" s="15" t="s">
        <v>136</v>
      </c>
      <c r="C51" s="1" t="s">
        <v>13</v>
      </c>
      <c r="D51" s="2">
        <v>43040</v>
      </c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  <c r="AJ51" s="50"/>
      <c r="AK51" s="50"/>
      <c r="AL51" s="50"/>
      <c r="AM51" s="50"/>
      <c r="AN51" s="50"/>
      <c r="AO51" s="50"/>
      <c r="AP51" s="50"/>
      <c r="AQ51" s="50"/>
      <c r="AR51" s="50"/>
      <c r="AS51" s="50"/>
      <c r="AT51" s="50"/>
      <c r="AU51" s="50"/>
      <c r="AV51" s="50"/>
      <c r="AW51" s="50"/>
      <c r="AX51" s="50"/>
      <c r="AY51" s="50"/>
      <c r="AZ51" s="50"/>
      <c r="BA51" s="50"/>
      <c r="BB51" s="50"/>
      <c r="BC51" s="50"/>
      <c r="BD51" s="50"/>
      <c r="BE51" s="50"/>
      <c r="BF51" s="50"/>
      <c r="BG51" s="10">
        <f>[26]SP!$O$79</f>
        <v>449349.16</v>
      </c>
      <c r="BH51" s="10">
        <f>[26]SP!$O$80</f>
        <v>192578.21</v>
      </c>
      <c r="BI51" s="10">
        <v>0</v>
      </c>
      <c r="BJ51" s="10">
        <v>0</v>
      </c>
      <c r="BK51" s="10">
        <v>0</v>
      </c>
      <c r="BL51" s="10">
        <f>[26]SP!$O$81</f>
        <v>71325.27</v>
      </c>
      <c r="BM51" s="10">
        <f t="shared" si="125"/>
        <v>713252.64</v>
      </c>
      <c r="BN51" s="10">
        <f>[26]SP!$O$83</f>
        <v>342036.37</v>
      </c>
      <c r="BO51" s="10">
        <f>[26]SP!$O$84</f>
        <v>146587.01999999999</v>
      </c>
      <c r="BP51" s="10">
        <v>0</v>
      </c>
      <c r="BQ51" s="10">
        <v>0</v>
      </c>
      <c r="BR51" s="10">
        <v>0</v>
      </c>
      <c r="BS51" s="10">
        <f>[26]SP!$O$85</f>
        <v>54291.49</v>
      </c>
      <c r="BT51" s="10">
        <f>SUM(BN51:BS51)</f>
        <v>542914.88</v>
      </c>
      <c r="BU51" s="10">
        <f>[26]SP!$P$79</f>
        <v>3405649.55</v>
      </c>
      <c r="BV51" s="10">
        <f>[26]SP!$P$80</f>
        <v>1459564.09</v>
      </c>
      <c r="BW51" s="10">
        <v>0</v>
      </c>
      <c r="BX51" s="10">
        <v>0</v>
      </c>
      <c r="BY51" s="10">
        <v>0</v>
      </c>
      <c r="BZ51" s="10">
        <f>[26]SP!$P$81</f>
        <v>540579.29</v>
      </c>
      <c r="CA51" s="10">
        <f t="shared" si="65"/>
        <v>5405792.9299999997</v>
      </c>
      <c r="CB51" s="14">
        <f>[26]SP!$P$83</f>
        <v>2514486.37</v>
      </c>
      <c r="CC51" s="14">
        <f>[26]SP!$P$84</f>
        <v>1077637.02</v>
      </c>
      <c r="CD51" s="14">
        <v>0</v>
      </c>
      <c r="CE51" s="14">
        <v>0</v>
      </c>
      <c r="CF51" s="14">
        <v>0</v>
      </c>
      <c r="CG51" s="14">
        <f>[26]SP!$P$85</f>
        <v>399124.82</v>
      </c>
      <c r="CH51" s="10">
        <f>SUM(CB51:CG51)</f>
        <v>3991248.21</v>
      </c>
      <c r="CI51" s="10">
        <f>[26]SP!$Q$79</f>
        <v>4378064.4000000004</v>
      </c>
      <c r="CJ51" s="10">
        <f>[26]SP!$Q$80</f>
        <v>1876313.31</v>
      </c>
      <c r="CK51" s="10">
        <v>0</v>
      </c>
      <c r="CL51" s="10">
        <v>0</v>
      </c>
      <c r="CM51" s="10">
        <v>0</v>
      </c>
      <c r="CN51" s="10">
        <f>[26]SP!$Q$81</f>
        <v>694930.86</v>
      </c>
      <c r="CO51" s="10">
        <f t="shared" si="129"/>
        <v>6949308.5700000012</v>
      </c>
      <c r="CP51" s="14">
        <f>[26]SP!$Q$83</f>
        <v>3150365.19</v>
      </c>
      <c r="CQ51" s="14">
        <f>[26]SP!$Q$84</f>
        <v>1350156.51</v>
      </c>
      <c r="CR51" s="14" t="s">
        <v>11</v>
      </c>
      <c r="CS51" s="14">
        <v>0</v>
      </c>
      <c r="CT51" s="14">
        <v>0</v>
      </c>
      <c r="CU51" s="14">
        <f>[26]SP!$Q$85</f>
        <v>500057.96</v>
      </c>
      <c r="CV51" s="10">
        <f>SUM(CP51:CU51)</f>
        <v>5000579.66</v>
      </c>
      <c r="CW51" s="10">
        <f>[26]SP!$R$79</f>
        <v>4634735.5999999996</v>
      </c>
      <c r="CX51" s="10">
        <f>[26]SP!$R$80</f>
        <v>1986315.26</v>
      </c>
      <c r="CY51" s="10"/>
      <c r="CZ51" s="10"/>
      <c r="DA51" s="10"/>
      <c r="DB51" s="10">
        <f>[26]SP!$R$81</f>
        <v>735672.31</v>
      </c>
      <c r="DC51" s="10">
        <f t="shared" si="139"/>
        <v>7356723.1699999999</v>
      </c>
      <c r="DD51" s="10">
        <f>[26]SP!$R$83</f>
        <v>3251120.85</v>
      </c>
      <c r="DE51" s="10">
        <f>[26]SP!$R$84</f>
        <v>1393337.51</v>
      </c>
      <c r="DF51" s="10"/>
      <c r="DG51" s="10"/>
      <c r="DH51" s="10"/>
      <c r="DI51" s="10">
        <f>[26]SP!$R$85</f>
        <v>516050.93</v>
      </c>
      <c r="DJ51" s="10">
        <f>SUM(DD51:DI51)</f>
        <v>5160509.29</v>
      </c>
      <c r="DK51" s="10">
        <f>[26]SP!$S$79</f>
        <v>5117422.3499999996</v>
      </c>
      <c r="DL51" s="10">
        <f>[26]SP!$S$80</f>
        <v>2193181.0099999998</v>
      </c>
      <c r="DM51" s="10"/>
      <c r="DN51" s="10"/>
      <c r="DO51" s="10"/>
      <c r="DP51" s="10">
        <f>[26]SP!$S$81</f>
        <v>812289.26</v>
      </c>
      <c r="DQ51" s="148">
        <f t="shared" si="135"/>
        <v>8122892.6199999992</v>
      </c>
      <c r="DR51" s="10">
        <f>[26]SP!$S$83</f>
        <v>4368580.68</v>
      </c>
      <c r="DS51" s="10">
        <f>[26]SP!$S$84</f>
        <v>1872248.86</v>
      </c>
      <c r="DT51" s="10"/>
      <c r="DU51" s="10"/>
      <c r="DV51" s="10"/>
      <c r="DW51" s="10">
        <f>[26]SP!$S$85</f>
        <v>693425.5</v>
      </c>
      <c r="DX51" s="10">
        <f t="shared" si="136"/>
        <v>6934255.04</v>
      </c>
      <c r="DY51" s="10">
        <f>[26]SP!$T$79</f>
        <v>3451675.88</v>
      </c>
      <c r="DZ51" s="10">
        <f>[26]SP!$T$80</f>
        <v>1499125.1</v>
      </c>
      <c r="EA51" s="10"/>
      <c r="EB51" s="10"/>
      <c r="EC51" s="10"/>
      <c r="ED51" s="10">
        <f>[26]SP!$T$81</f>
        <v>472951.2</v>
      </c>
      <c r="EE51" s="169">
        <f t="shared" si="137"/>
        <v>5423752.1800000006</v>
      </c>
      <c r="EF51" s="10">
        <f>[26]SP!$T$83</f>
        <v>3024457.77</v>
      </c>
      <c r="EG51" s="10">
        <f>[26]SP!$T$84</f>
        <v>1323200.28</v>
      </c>
      <c r="EH51" s="10"/>
      <c r="EI51" s="10"/>
      <c r="EJ51" s="10"/>
      <c r="EK51" s="10">
        <f>[26]SP!$T$85</f>
        <v>378057.22</v>
      </c>
      <c r="EL51" s="148">
        <f t="shared" si="138"/>
        <v>4725715.2699999996</v>
      </c>
      <c r="EM51" s="10">
        <f>[26]SP!$U$79</f>
        <v>3253579.84</v>
      </c>
      <c r="EN51" s="10">
        <f>[26]SP!$U$80</f>
        <v>1932569.1</v>
      </c>
      <c r="EO51" s="10"/>
      <c r="EP51" s="10"/>
      <c r="EQ51" s="10"/>
      <c r="ER51" s="10">
        <f>[26]SP!$U$81</f>
        <v>865127.6</v>
      </c>
      <c r="ES51" s="10">
        <f t="shared" si="101"/>
        <v>6051276.5399999991</v>
      </c>
      <c r="ET51" s="10">
        <f>[26]SP!$U$83</f>
        <v>2904167.67</v>
      </c>
      <c r="EU51" s="10">
        <f>[26]SP!$U$84</f>
        <v>1289889.1299999999</v>
      </c>
      <c r="EV51" s="10"/>
      <c r="EW51" s="10"/>
      <c r="EX51" s="10"/>
      <c r="EY51" s="10">
        <f>[26]SP!$U$85</f>
        <v>212767.24</v>
      </c>
      <c r="EZ51" s="10">
        <f t="shared" si="102"/>
        <v>4406824.04</v>
      </c>
      <c r="FA51" s="10">
        <f>[27]SP1!$C$194</f>
        <v>3957186.18</v>
      </c>
      <c r="FB51" s="10">
        <f>[27]SP1!$D$194</f>
        <v>2344999.23</v>
      </c>
      <c r="FC51" s="10"/>
      <c r="FD51" s="10"/>
      <c r="FE51" s="10"/>
      <c r="FF51" s="10">
        <f>[27]SP1!$E$194</f>
        <v>1025937.16</v>
      </c>
      <c r="FG51" s="10">
        <f t="shared" si="128"/>
        <v>7328122.5700000003</v>
      </c>
      <c r="FH51" s="10">
        <f>[27]SP1!$C$203</f>
        <v>3469956.82</v>
      </c>
      <c r="FI51" s="10">
        <f>[27]SP1!$D$203</f>
        <v>2056270.71</v>
      </c>
      <c r="FJ51" s="10"/>
      <c r="FK51" s="10"/>
      <c r="FL51" s="10"/>
      <c r="FM51" s="10">
        <f>[27]SP1!$E$203</f>
        <v>899618.43</v>
      </c>
      <c r="FN51" s="10">
        <f t="shared" si="116"/>
        <v>6425845.959999999</v>
      </c>
      <c r="FO51" s="10">
        <f>[34]reg_cobranca_bacia_estadual_a!$R$32</f>
        <v>4486831.45</v>
      </c>
      <c r="FP51" s="10">
        <f>[34]reg_cobranca_bacia_estadual_a!$S$32</f>
        <v>1870055.35</v>
      </c>
      <c r="FQ51" s="10"/>
      <c r="FR51" s="10">
        <f>[34]reg_cobranca_bacia_estadual_a!$Q$32</f>
        <v>0</v>
      </c>
      <c r="FS51" s="10"/>
      <c r="FT51" s="10">
        <f>[34]reg_cobranca_bacia_estadual_a!$T$32</f>
        <v>882720.58</v>
      </c>
      <c r="FU51" s="10">
        <f t="shared" si="130"/>
        <v>7239607.3800000008</v>
      </c>
      <c r="FV51" s="10">
        <f>[34]reg_cobranca_bacia_estadual_a!$V$32</f>
        <v>3436215.93</v>
      </c>
      <c r="FW51" s="10">
        <f>[34]reg_cobranca_bacia_estadual_a!$W$32</f>
        <v>1613125.35</v>
      </c>
      <c r="FX51" s="10"/>
      <c r="FY51" s="10">
        <f>[34]reg_cobranca_bacia_estadual_a!$U$32</f>
        <v>0</v>
      </c>
      <c r="FZ51" s="10"/>
      <c r="GA51" s="10">
        <f>[34]reg_cobranca_bacia_estadual_a!$X$32</f>
        <v>707571.55</v>
      </c>
      <c r="GB51" s="10">
        <f t="shared" si="131"/>
        <v>5756912.8300000001</v>
      </c>
      <c r="GC51" s="148">
        <f t="shared" si="132"/>
        <v>54590728.600000001</v>
      </c>
      <c r="GD51" s="148">
        <f t="shared" si="133"/>
        <v>42944805.179999992</v>
      </c>
      <c r="GE51" s="218"/>
      <c r="GG51" s="196"/>
      <c r="GH51" s="36"/>
      <c r="GI51" s="36"/>
      <c r="GJ51" s="36"/>
    </row>
    <row r="52" spans="1:192" s="5" customFormat="1" ht="12.75" x14ac:dyDescent="0.2">
      <c r="A52" s="266"/>
      <c r="B52" s="15" t="s">
        <v>137</v>
      </c>
      <c r="C52" s="1" t="s">
        <v>13</v>
      </c>
      <c r="D52" s="2">
        <v>43101</v>
      </c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  <c r="AJ52" s="50"/>
      <c r="AK52" s="50"/>
      <c r="AL52" s="50"/>
      <c r="AM52" s="50"/>
      <c r="AN52" s="50"/>
      <c r="AO52" s="50"/>
      <c r="AP52" s="50"/>
      <c r="AQ52" s="50"/>
      <c r="AR52" s="50"/>
      <c r="AS52" s="50"/>
      <c r="AT52" s="50"/>
      <c r="AU52" s="50"/>
      <c r="AV52" s="50"/>
      <c r="AW52" s="50"/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50"/>
      <c r="BM52" s="50"/>
      <c r="BN52" s="50"/>
      <c r="BO52" s="50"/>
      <c r="BP52" s="50"/>
      <c r="BQ52" s="50"/>
      <c r="BR52" s="50"/>
      <c r="BS52" s="50"/>
      <c r="BT52" s="50"/>
      <c r="BU52" s="10">
        <f>[26]SP!$P$10</f>
        <v>117842.88</v>
      </c>
      <c r="BV52" s="10">
        <f>[26]SP!$P$11</f>
        <v>1679.15</v>
      </c>
      <c r="BW52" s="10">
        <v>0</v>
      </c>
      <c r="BX52" s="10">
        <v>0</v>
      </c>
      <c r="BY52" s="10">
        <v>0</v>
      </c>
      <c r="BZ52" s="10">
        <f>[26]SP!$P$12</f>
        <v>13804.12</v>
      </c>
      <c r="CA52" s="10">
        <f t="shared" si="65"/>
        <v>133326.15</v>
      </c>
      <c r="CB52" s="14" t="s">
        <v>11</v>
      </c>
      <c r="CC52" s="14" t="s">
        <v>11</v>
      </c>
      <c r="CD52" s="14">
        <v>0</v>
      </c>
      <c r="CE52" s="14">
        <v>0</v>
      </c>
      <c r="CF52" s="14">
        <v>0</v>
      </c>
      <c r="CG52" s="14" t="s">
        <v>11</v>
      </c>
      <c r="CH52" s="10">
        <f>[31]cobranças!CH18</f>
        <v>122252.39</v>
      </c>
      <c r="CI52" s="10">
        <f>[26]SP!$Q$10</f>
        <v>125877.62</v>
      </c>
      <c r="CJ52" s="10">
        <f>[26]SP!$Q$11</f>
        <v>12706.57</v>
      </c>
      <c r="CK52" s="10">
        <v>0</v>
      </c>
      <c r="CL52" s="10">
        <v>0</v>
      </c>
      <c r="CM52" s="10">
        <v>0</v>
      </c>
      <c r="CN52" s="10">
        <f>[26]SP!$Q$12</f>
        <v>29285.01</v>
      </c>
      <c r="CO52" s="10">
        <f t="shared" si="129"/>
        <v>167869.2</v>
      </c>
      <c r="CP52" s="14" t="s">
        <v>11</v>
      </c>
      <c r="CQ52" s="14" t="s">
        <v>11</v>
      </c>
      <c r="CR52" s="14" t="s">
        <v>11</v>
      </c>
      <c r="CS52" s="14">
        <v>0</v>
      </c>
      <c r="CT52" s="14">
        <v>0</v>
      </c>
      <c r="CU52" s="14" t="s">
        <v>11</v>
      </c>
      <c r="CV52" s="10">
        <f>[31]cobranças!CI18</f>
        <v>175814.38</v>
      </c>
      <c r="CW52" s="10">
        <f>[26]SP!$R$10</f>
        <v>134279.25</v>
      </c>
      <c r="CX52" s="10">
        <f>[26]SP!$R$11</f>
        <v>8776.7000000000007</v>
      </c>
      <c r="CY52" s="10"/>
      <c r="CZ52" s="10"/>
      <c r="DA52" s="10"/>
      <c r="DB52" s="10">
        <f>[26]SP!$R$12</f>
        <v>28508.080000000002</v>
      </c>
      <c r="DC52" s="10">
        <f t="shared" si="139"/>
        <v>171564.03000000003</v>
      </c>
      <c r="DD52" s="10"/>
      <c r="DE52" s="10"/>
      <c r="DF52" s="10"/>
      <c r="DG52" s="10"/>
      <c r="DH52" s="10"/>
      <c r="DI52" s="10"/>
      <c r="DJ52" s="10">
        <f>[33]Planilha1!$N$17</f>
        <v>154571.47</v>
      </c>
      <c r="DK52" s="10">
        <f>[26]SP!$S$10</f>
        <v>133912.44</v>
      </c>
      <c r="DL52" s="10">
        <f>[26]SP!$S$11</f>
        <v>11212.17</v>
      </c>
      <c r="DM52" s="10"/>
      <c r="DN52" s="10"/>
      <c r="DO52" s="10"/>
      <c r="DP52" s="10">
        <f>[26]SP!$S$12</f>
        <v>31717.68</v>
      </c>
      <c r="DQ52" s="148">
        <f t="shared" si="135"/>
        <v>176842.29</v>
      </c>
      <c r="DR52" s="10"/>
      <c r="DS52" s="10"/>
      <c r="DT52" s="10"/>
      <c r="DU52" s="10"/>
      <c r="DV52" s="10"/>
      <c r="DW52" s="10"/>
      <c r="DX52" s="10">
        <f>[35]SP!DR18</f>
        <v>170912.75999999998</v>
      </c>
      <c r="DY52" s="10">
        <f>[26]SP!$T$10</f>
        <v>133912.35999999999</v>
      </c>
      <c r="DZ52" s="10">
        <f>[26]SP!$T$11</f>
        <v>4930.38</v>
      </c>
      <c r="EA52" s="10"/>
      <c r="EB52" s="10"/>
      <c r="EC52" s="10"/>
      <c r="ED52" s="10">
        <f>[26]SP!$T$12</f>
        <v>29230.12</v>
      </c>
      <c r="EE52" s="169">
        <f t="shared" si="137"/>
        <v>168072.86</v>
      </c>
      <c r="EF52" s="10"/>
      <c r="EG52" s="10"/>
      <c r="EH52" s="10"/>
      <c r="EI52" s="10"/>
      <c r="EJ52" s="10"/>
      <c r="EK52" s="10"/>
      <c r="EL52" s="148">
        <f>0.18*1000000</f>
        <v>180000</v>
      </c>
      <c r="EM52" s="10">
        <f>[26]SP!$U$10</f>
        <v>192688.45</v>
      </c>
      <c r="EN52" s="10">
        <f>[26]SP!$U$11</f>
        <v>7426.14</v>
      </c>
      <c r="EO52" s="10"/>
      <c r="EP52" s="10"/>
      <c r="EQ52" s="10"/>
      <c r="ER52" s="10">
        <f>[26]SP!$U$12</f>
        <v>34045.339999999997</v>
      </c>
      <c r="ES52" s="10">
        <f t="shared" si="101"/>
        <v>234159.93000000002</v>
      </c>
      <c r="ET52" s="10">
        <f>[26]SP!$U$10</f>
        <v>192688.45</v>
      </c>
      <c r="EU52" s="10">
        <f>[26]SP!$U$11</f>
        <v>7426.14</v>
      </c>
      <c r="EV52" s="10"/>
      <c r="EW52" s="10"/>
      <c r="EX52" s="10"/>
      <c r="EY52" s="10">
        <f>[26]SP!$U$12</f>
        <v>34045.339999999997</v>
      </c>
      <c r="EZ52" s="10">
        <f t="shared" si="102"/>
        <v>234159.93000000002</v>
      </c>
      <c r="FA52" s="10">
        <f>[27]SP1!$J$6</f>
        <v>264374.46000000002</v>
      </c>
      <c r="FB52" s="10">
        <f>[27]SP1!$J$7</f>
        <v>6369.74</v>
      </c>
      <c r="FC52" s="10"/>
      <c r="FD52" s="10"/>
      <c r="FE52" s="10"/>
      <c r="FF52" s="10">
        <f>[27]SP1!$J$8</f>
        <v>45443.3</v>
      </c>
      <c r="FG52" s="10">
        <f>[27]SP1!$J$3</f>
        <v>316187.5</v>
      </c>
      <c r="FH52" s="10">
        <f>[27]SP1!$J$6</f>
        <v>264374.46000000002</v>
      </c>
      <c r="FI52" s="10">
        <f>[27]SP1!$J$7</f>
        <v>6369.74</v>
      </c>
      <c r="FJ52" s="10"/>
      <c r="FK52" s="10"/>
      <c r="FL52" s="10"/>
      <c r="FM52" s="10">
        <f>[27]SP1!$J$8</f>
        <v>45443.3</v>
      </c>
      <c r="FN52" s="10">
        <f t="shared" si="116"/>
        <v>316187.5</v>
      </c>
      <c r="FO52" s="10">
        <f>[28]SP!R25</f>
        <v>186003.86</v>
      </c>
      <c r="FP52" s="10">
        <f>[28]SP!S25</f>
        <v>8483.02</v>
      </c>
      <c r="FQ52" s="10"/>
      <c r="FR52" s="10">
        <f>[28]SP!Q25</f>
        <v>0</v>
      </c>
      <c r="FS52" s="10"/>
      <c r="FT52" s="10">
        <f>[28]SP!T25</f>
        <v>54498.92</v>
      </c>
      <c r="FU52" s="10">
        <f t="shared" si="130"/>
        <v>248985.8</v>
      </c>
      <c r="FV52" s="10">
        <f>[28]SP!V25</f>
        <v>186062.26</v>
      </c>
      <c r="FW52" s="10">
        <f>[28]SP!W25</f>
        <v>2151.6</v>
      </c>
      <c r="FX52" s="10"/>
      <c r="FY52" s="10">
        <f>[28]SP!U25</f>
        <v>0</v>
      </c>
      <c r="FZ52" s="10"/>
      <c r="GA52" s="10">
        <f>[28]SP!X25</f>
        <v>33371.660000000003</v>
      </c>
      <c r="GB52" s="10">
        <f t="shared" si="131"/>
        <v>221585.52000000002</v>
      </c>
      <c r="GC52" s="148">
        <f t="shared" si="132"/>
        <v>1617007.76</v>
      </c>
      <c r="GD52" s="148">
        <f t="shared" si="133"/>
        <v>1575483.9500000002</v>
      </c>
      <c r="GE52" s="218"/>
      <c r="GG52" s="196"/>
      <c r="GH52" s="36"/>
      <c r="GI52" s="36"/>
      <c r="GJ52" s="36"/>
    </row>
    <row r="53" spans="1:192" s="5" customFormat="1" ht="12.75" x14ac:dyDescent="0.2">
      <c r="A53" s="266"/>
      <c r="B53" s="15" t="s">
        <v>140</v>
      </c>
      <c r="C53" s="1" t="s">
        <v>13</v>
      </c>
      <c r="D53" s="2">
        <v>43191</v>
      </c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50"/>
      <c r="BA53" s="50"/>
      <c r="BB53" s="50"/>
      <c r="BC53" s="50"/>
      <c r="BD53" s="50"/>
      <c r="BE53" s="50"/>
      <c r="BF53" s="50"/>
      <c r="BG53" s="50"/>
      <c r="BH53" s="50"/>
      <c r="BI53" s="50"/>
      <c r="BJ53" s="50"/>
      <c r="BK53" s="50"/>
      <c r="BL53" s="50"/>
      <c r="BM53" s="50"/>
      <c r="BN53" s="50"/>
      <c r="BO53" s="50"/>
      <c r="BP53" s="50"/>
      <c r="BQ53" s="50"/>
      <c r="BR53" s="50"/>
      <c r="BS53" s="50"/>
      <c r="BT53" s="50"/>
      <c r="BU53" s="10">
        <f>[26]SP!$P$153</f>
        <v>1914473.48</v>
      </c>
      <c r="BV53" s="10">
        <f>[26]SP!$P$154</f>
        <v>1094354.78</v>
      </c>
      <c r="BW53" s="10">
        <v>0</v>
      </c>
      <c r="BX53" s="10">
        <v>0</v>
      </c>
      <c r="BY53" s="10">
        <v>0</v>
      </c>
      <c r="BZ53" s="10">
        <f>[26]SP!$P$155</f>
        <v>272074.27</v>
      </c>
      <c r="CA53" s="10">
        <f t="shared" si="65"/>
        <v>3280902.53</v>
      </c>
      <c r="CB53" s="14">
        <f>[26]SP!$P$157</f>
        <v>1619154.38</v>
      </c>
      <c r="CC53" s="14">
        <f>[26]SP!$P$158</f>
        <v>974906.46</v>
      </c>
      <c r="CD53" s="14">
        <v>0</v>
      </c>
      <c r="CE53" s="14">
        <v>0</v>
      </c>
      <c r="CF53" s="14">
        <v>0</v>
      </c>
      <c r="CG53" s="14">
        <f>[26]SP!$P$159</f>
        <v>201022</v>
      </c>
      <c r="CH53" s="10">
        <f>SUM(CB53:CG53)</f>
        <v>2795082.84</v>
      </c>
      <c r="CI53" s="10">
        <f>[26]SP!$Q$153</f>
        <v>1865351.76</v>
      </c>
      <c r="CJ53" s="10">
        <f>[26]SP!$Q$154</f>
        <v>1346377.67</v>
      </c>
      <c r="CK53" s="10">
        <v>0</v>
      </c>
      <c r="CL53" s="10">
        <v>0</v>
      </c>
      <c r="CM53" s="10">
        <v>0</v>
      </c>
      <c r="CN53" s="10">
        <f>[26]SP!$Q$155</f>
        <v>304792.05</v>
      </c>
      <c r="CO53" s="10">
        <f t="shared" si="129"/>
        <v>3516521.4799999995</v>
      </c>
      <c r="CP53" s="14">
        <f>[26]SP!$Q$157</f>
        <v>1615788.96</v>
      </c>
      <c r="CQ53" s="14">
        <f>[26]SP!$Q$158</f>
        <v>1123814.97</v>
      </c>
      <c r="CR53" s="14">
        <v>0</v>
      </c>
      <c r="CS53" s="14">
        <v>0</v>
      </c>
      <c r="CT53" s="14">
        <v>0</v>
      </c>
      <c r="CU53" s="14">
        <f>[26]SP!$Q$159</f>
        <v>242807.52</v>
      </c>
      <c r="CV53" s="10">
        <f>SUM(CP53:CU53)</f>
        <v>2982411.4499999997</v>
      </c>
      <c r="CW53" s="10">
        <f>[26]SP!$R$153</f>
        <v>2522669.14</v>
      </c>
      <c r="CX53" s="10">
        <f>[26]SP!$R$154</f>
        <v>2390301.44</v>
      </c>
      <c r="CY53" s="10"/>
      <c r="CZ53" s="10"/>
      <c r="DA53" s="10"/>
      <c r="DB53" s="10">
        <f>[26]SP!$R$155</f>
        <v>489318.83</v>
      </c>
      <c r="DC53" s="10">
        <f t="shared" si="139"/>
        <v>5402289.4100000001</v>
      </c>
      <c r="DD53" s="10">
        <f>[26]SP!$R$157</f>
        <v>2153437.1</v>
      </c>
      <c r="DE53" s="10">
        <f>[26]SP!$R$158</f>
        <v>1734738.29</v>
      </c>
      <c r="DF53" s="10"/>
      <c r="DG53" s="10"/>
      <c r="DH53" s="10"/>
      <c r="DI53" s="10">
        <f>[26]SP!$R$159</f>
        <v>378802.57</v>
      </c>
      <c r="DJ53" s="10">
        <f>SUM(DD53:DI53)</f>
        <v>4266977.96</v>
      </c>
      <c r="DK53" s="10">
        <f>[26]SP!$S$153</f>
        <v>3187584.86</v>
      </c>
      <c r="DL53" s="10">
        <f>[26]SP!$S$154</f>
        <v>1775590.43</v>
      </c>
      <c r="DM53" s="10"/>
      <c r="DN53" s="10"/>
      <c r="DO53" s="10"/>
      <c r="DP53" s="10">
        <f>[26]SP!$S$155</f>
        <v>566673.49</v>
      </c>
      <c r="DQ53" s="148">
        <f t="shared" ref="DQ53:DQ58" si="140">SUM(DK53:DP53)</f>
        <v>5529848.7800000003</v>
      </c>
      <c r="DR53" s="10">
        <f>[26]SP!$S$157</f>
        <v>3021548.76</v>
      </c>
      <c r="DS53" s="10">
        <f>[26]SP!$S$158</f>
        <v>1514479.51</v>
      </c>
      <c r="DT53" s="10"/>
      <c r="DU53" s="10"/>
      <c r="DV53" s="10"/>
      <c r="DW53" s="10">
        <f>[26]SP!$S$159</f>
        <v>433128.08</v>
      </c>
      <c r="DX53" s="10">
        <f t="shared" si="136"/>
        <v>4969156.3499999996</v>
      </c>
      <c r="DY53" s="10">
        <f>[26]SP!$T$153</f>
        <v>3287447.77</v>
      </c>
      <c r="DZ53" s="10">
        <f>[26]SP!$T$154</f>
        <v>1746026.06</v>
      </c>
      <c r="EA53" s="10"/>
      <c r="EB53" s="10"/>
      <c r="EC53" s="10"/>
      <c r="ED53" s="10">
        <f>[26]SP!$T$155</f>
        <v>553751.98</v>
      </c>
      <c r="EE53" s="79">
        <f t="shared" ref="EE53:EE58" si="141">SUM(DY53:ED53)</f>
        <v>5587225.8100000005</v>
      </c>
      <c r="EF53" s="10">
        <f>[26]SP!$T$157</f>
        <v>3254929.83</v>
      </c>
      <c r="EG53" s="10">
        <f>[26]SP!$T$158</f>
        <v>1699154.53</v>
      </c>
      <c r="EH53" s="10"/>
      <c r="EI53" s="10"/>
      <c r="EJ53" s="10"/>
      <c r="EK53" s="10">
        <f>[26]SP!$T$159</f>
        <v>440895.26</v>
      </c>
      <c r="EL53" s="148">
        <f t="shared" si="138"/>
        <v>5394979.6200000001</v>
      </c>
      <c r="EM53" s="10">
        <f>[26]SP!$U$153</f>
        <v>2496779.5699999998</v>
      </c>
      <c r="EN53" s="10">
        <f>[26]SP!$U$154</f>
        <v>2131707.2599999998</v>
      </c>
      <c r="EO53" s="10"/>
      <c r="EP53" s="10"/>
      <c r="EQ53" s="10"/>
      <c r="ER53" s="10">
        <f>[26]SP!$U$155</f>
        <v>689784.36</v>
      </c>
      <c r="ES53" s="10">
        <f t="shared" si="101"/>
        <v>5318271.1900000004</v>
      </c>
      <c r="ET53" s="10">
        <f>[26]SP!$U$157</f>
        <v>2379980.62</v>
      </c>
      <c r="EU53" s="10">
        <f>[26]SP!$U$158</f>
        <v>2035474.13</v>
      </c>
      <c r="EV53" s="10"/>
      <c r="EW53" s="10"/>
      <c r="EX53" s="10"/>
      <c r="EY53" s="10">
        <f>[26]SP!$U$159</f>
        <v>569810.31000000006</v>
      </c>
      <c r="EZ53" s="10">
        <f t="shared" si="102"/>
        <v>4985265.0600000005</v>
      </c>
      <c r="FA53" s="10">
        <f>[27]SP1!$I$297</f>
        <v>4060918.41</v>
      </c>
      <c r="FB53" s="10">
        <f>[27]SP1!$I$298</f>
        <v>2231985.64</v>
      </c>
      <c r="FC53" s="10"/>
      <c r="FD53" s="10"/>
      <c r="FE53" s="10"/>
      <c r="FF53" s="10">
        <f>[27]SP1!$I$299</f>
        <v>626957.46</v>
      </c>
      <c r="FG53" s="10">
        <f t="shared" si="128"/>
        <v>6919861.5100000007</v>
      </c>
      <c r="FH53" s="10">
        <f>[27]SP1!$I$301</f>
        <v>3971709.01</v>
      </c>
      <c r="FI53" s="10">
        <f>[27]SP1!$I$302</f>
        <v>2167605.46</v>
      </c>
      <c r="FJ53" s="10"/>
      <c r="FK53" s="10"/>
      <c r="FL53" s="10"/>
      <c r="FM53" s="10">
        <f>[27]SP1!$I$303</f>
        <v>534803.93999999994</v>
      </c>
      <c r="FN53" s="10">
        <f t="shared" si="116"/>
        <v>6674118.4100000001</v>
      </c>
      <c r="FO53" s="10">
        <f>[28]SP!R17</f>
        <v>3895875.53</v>
      </c>
      <c r="FP53" s="10">
        <f>[28]SP!S17</f>
        <v>1924592.06</v>
      </c>
      <c r="FQ53" s="10"/>
      <c r="FR53" s="10">
        <f>[28]SP!Q17</f>
        <v>0</v>
      </c>
      <c r="FS53" s="10"/>
      <c r="FT53" s="10">
        <f>[28]SP!T17</f>
        <v>700512.84</v>
      </c>
      <c r="FU53" s="10">
        <f t="shared" si="130"/>
        <v>6520980.4299999997</v>
      </c>
      <c r="FV53" s="10">
        <f>[28]SP!V17</f>
        <v>3652671.86</v>
      </c>
      <c r="FW53" s="10">
        <f>[28]SP!W17</f>
        <v>1806939.26</v>
      </c>
      <c r="FX53" s="10"/>
      <c r="FY53" s="10">
        <f>[28]SP!U17</f>
        <v>0</v>
      </c>
      <c r="FZ53" s="10"/>
      <c r="GA53" s="10">
        <f>[28]SP!X17</f>
        <v>390609.21</v>
      </c>
      <c r="GB53" s="10">
        <f t="shared" si="131"/>
        <v>5850220.3300000001</v>
      </c>
      <c r="GC53" s="148">
        <f t="shared" si="132"/>
        <v>42075901.140000001</v>
      </c>
      <c r="GD53" s="148">
        <f t="shared" si="133"/>
        <v>37918212.020000003</v>
      </c>
      <c r="GE53" s="218"/>
      <c r="GG53" s="196"/>
      <c r="GH53" s="36"/>
      <c r="GI53" s="36"/>
      <c r="GJ53" s="36"/>
    </row>
    <row r="54" spans="1:192" s="5" customFormat="1" ht="12.75" x14ac:dyDescent="0.2">
      <c r="A54" s="266"/>
      <c r="B54" s="15" t="s">
        <v>141</v>
      </c>
      <c r="C54" s="1" t="s">
        <v>13</v>
      </c>
      <c r="D54" s="2">
        <v>43252</v>
      </c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  <c r="AJ54" s="50"/>
      <c r="AK54" s="50"/>
      <c r="AL54" s="50"/>
      <c r="AM54" s="50"/>
      <c r="AN54" s="50"/>
      <c r="AO54" s="50"/>
      <c r="AP54" s="50"/>
      <c r="AQ54" s="50"/>
      <c r="AR54" s="50"/>
      <c r="AS54" s="50"/>
      <c r="AT54" s="50"/>
      <c r="AU54" s="50"/>
      <c r="AV54" s="50"/>
      <c r="AW54" s="50"/>
      <c r="AX54" s="50"/>
      <c r="AY54" s="50"/>
      <c r="AZ54" s="50"/>
      <c r="BA54" s="50"/>
      <c r="BB54" s="50"/>
      <c r="BC54" s="50"/>
      <c r="BD54" s="50"/>
      <c r="BE54" s="50"/>
      <c r="BF54" s="50"/>
      <c r="BG54" s="50"/>
      <c r="BH54" s="50"/>
      <c r="BI54" s="50"/>
      <c r="BJ54" s="50"/>
      <c r="BK54" s="50"/>
      <c r="BL54" s="50"/>
      <c r="BM54" s="50"/>
      <c r="BN54" s="50"/>
      <c r="BO54" s="50"/>
      <c r="BP54" s="50"/>
      <c r="BQ54" s="50"/>
      <c r="BR54" s="50"/>
      <c r="BS54" s="50"/>
      <c r="BT54" s="50"/>
      <c r="BU54" s="10">
        <v>230777.13</v>
      </c>
      <c r="BV54" s="10">
        <v>560054.17000000004</v>
      </c>
      <c r="BW54" s="10">
        <v>5383.35</v>
      </c>
      <c r="BX54" s="10">
        <v>0</v>
      </c>
      <c r="BY54" s="10">
        <v>0</v>
      </c>
      <c r="BZ54" s="10">
        <v>85649.63</v>
      </c>
      <c r="CA54" s="10">
        <f t="shared" si="65"/>
        <v>881864.28</v>
      </c>
      <c r="CB54" s="14" t="s">
        <v>11</v>
      </c>
      <c r="CC54" s="14" t="s">
        <v>11</v>
      </c>
      <c r="CD54" s="14">
        <v>0</v>
      </c>
      <c r="CE54" s="14">
        <v>0</v>
      </c>
      <c r="CF54" s="14">
        <v>0</v>
      </c>
      <c r="CG54" s="14" t="s">
        <v>11</v>
      </c>
      <c r="CH54" s="10">
        <f>[31]cobranças!CH20</f>
        <v>447657.21</v>
      </c>
      <c r="CI54" s="10">
        <f>[26]SP!$Q$212</f>
        <v>186800.13</v>
      </c>
      <c r="CJ54" s="10">
        <f>[26]SP!$Q$213</f>
        <v>815702.46</v>
      </c>
      <c r="CK54" s="10">
        <v>0</v>
      </c>
      <c r="CL54" s="10">
        <v>0</v>
      </c>
      <c r="CM54" s="10">
        <v>0</v>
      </c>
      <c r="CN54" s="10">
        <f>[26]SP!$Q$214</f>
        <v>82792.12</v>
      </c>
      <c r="CO54" s="10">
        <f t="shared" si="129"/>
        <v>1085294.71</v>
      </c>
      <c r="CP54" s="14">
        <f>[26]SP!$Q$216</f>
        <v>185315.13</v>
      </c>
      <c r="CQ54" s="14">
        <f>[26]SP!$Q$217</f>
        <v>561579.11</v>
      </c>
      <c r="CR54" s="14">
        <v>0</v>
      </c>
      <c r="CS54" s="14">
        <v>0</v>
      </c>
      <c r="CT54" s="14">
        <v>0</v>
      </c>
      <c r="CU54" s="14">
        <f>[26]SP!$Q$218</f>
        <v>69996.69</v>
      </c>
      <c r="CV54" s="10">
        <f>SUM(CP54:CU54)</f>
        <v>816890.92999999993</v>
      </c>
      <c r="CW54" s="10">
        <f>[26]SP!$R$212</f>
        <v>478945.48</v>
      </c>
      <c r="CX54" s="10">
        <f>[26]SP!$R$213</f>
        <v>713223.93</v>
      </c>
      <c r="CY54" s="10"/>
      <c r="CZ54" s="10"/>
      <c r="DA54" s="10"/>
      <c r="DB54" s="10">
        <f>[26]SP!$R$214</f>
        <v>115387.08</v>
      </c>
      <c r="DC54" s="10">
        <f t="shared" si="139"/>
        <v>1307556.4900000002</v>
      </c>
      <c r="DD54" s="10">
        <f>[26]SP!$R$216</f>
        <v>403628.55</v>
      </c>
      <c r="DE54" s="10">
        <f>[26]SP!$R$217</f>
        <v>478306.5</v>
      </c>
      <c r="DF54" s="10"/>
      <c r="DG54" s="10"/>
      <c r="DH54" s="10"/>
      <c r="DI54" s="10">
        <f>[26]SP!$R$218</f>
        <v>95467.5</v>
      </c>
      <c r="DJ54" s="10">
        <f>SUM(DD54:DI54)</f>
        <v>977402.55</v>
      </c>
      <c r="DK54" s="10">
        <f>[26]SP!$S$212</f>
        <v>839866.55</v>
      </c>
      <c r="DL54" s="10">
        <f>[26]SP!$S$213</f>
        <v>1524949.41</v>
      </c>
      <c r="DM54" s="10"/>
      <c r="DN54" s="10"/>
      <c r="DO54" s="10"/>
      <c r="DP54" s="10">
        <f>[27]SP1!$F$396</f>
        <v>96501.08</v>
      </c>
      <c r="DQ54" s="148">
        <f t="shared" si="140"/>
        <v>2461317.04</v>
      </c>
      <c r="DR54" s="10">
        <f>[26]SP!$S$216</f>
        <v>837738.13</v>
      </c>
      <c r="DS54" s="10">
        <f>[26]SP!$S$217</f>
        <v>1124869.3799999999</v>
      </c>
      <c r="DT54" s="10"/>
      <c r="DU54" s="10"/>
      <c r="DV54" s="10"/>
      <c r="DW54" s="10">
        <f>[26]SP!$S$218</f>
        <v>80804.62</v>
      </c>
      <c r="DX54" s="10">
        <f t="shared" si="136"/>
        <v>2043412.13</v>
      </c>
      <c r="DY54" s="10">
        <f>[26]SP!$T$212</f>
        <v>508754.49</v>
      </c>
      <c r="DZ54" s="10">
        <f>[26]SP!$T$213</f>
        <v>959933.57</v>
      </c>
      <c r="EA54" s="10"/>
      <c r="EB54" s="10"/>
      <c r="EC54" s="10"/>
      <c r="ED54" s="10">
        <f>[26]SP!$T$214</f>
        <v>121170.82</v>
      </c>
      <c r="EE54" s="79">
        <f t="shared" si="141"/>
        <v>1589858.8800000001</v>
      </c>
      <c r="EF54" s="10">
        <f>[26]SP!$T$216</f>
        <v>508467.64</v>
      </c>
      <c r="EG54" s="10">
        <f>[26]SP!$T$217</f>
        <v>637221.92000000004</v>
      </c>
      <c r="EH54" s="10"/>
      <c r="EI54" s="10"/>
      <c r="EJ54" s="10"/>
      <c r="EK54" s="10">
        <f>[26]SP!$T$218</f>
        <v>111571.15</v>
      </c>
      <c r="EL54" s="148">
        <f t="shared" si="138"/>
        <v>1257260.71</v>
      </c>
      <c r="EM54" s="10">
        <f>[26]SP!$U$212</f>
        <v>512174.93</v>
      </c>
      <c r="EN54" s="10">
        <f>[26]SP!$U$213</f>
        <v>1365949.69</v>
      </c>
      <c r="EO54" s="10"/>
      <c r="EP54" s="10"/>
      <c r="EQ54" s="10"/>
      <c r="ER54" s="10">
        <f>[26]SP!$U$214</f>
        <v>113858.73</v>
      </c>
      <c r="ES54" s="10">
        <f t="shared" si="101"/>
        <v>1991983.3499999999</v>
      </c>
      <c r="ET54" s="10">
        <f>[26]SP!$U$216</f>
        <v>507310.61</v>
      </c>
      <c r="EU54" s="10">
        <f>[26]SP!$U$217</f>
        <v>1001216.72</v>
      </c>
      <c r="EV54" s="10"/>
      <c r="EW54" s="10"/>
      <c r="EX54" s="10"/>
      <c r="EY54" s="10">
        <f>[26]SP!$U$218</f>
        <v>94215.24</v>
      </c>
      <c r="EZ54" s="10">
        <f t="shared" si="102"/>
        <v>1602742.57</v>
      </c>
      <c r="FA54" s="10">
        <f>[27]SP1!$I$394</f>
        <v>528913.32999999996</v>
      </c>
      <c r="FB54" s="10">
        <f>[27]SP1!$I$395</f>
        <v>926676.5</v>
      </c>
      <c r="FC54" s="10"/>
      <c r="FD54" s="10"/>
      <c r="FE54" s="10"/>
      <c r="FF54" s="10">
        <f>[27]SP1!$I$396</f>
        <v>114811.76</v>
      </c>
      <c r="FG54" s="10">
        <f t="shared" si="128"/>
        <v>1570401.59</v>
      </c>
      <c r="FH54" s="10">
        <f>[27]SP1!$I$398</f>
        <v>528882.49</v>
      </c>
      <c r="FI54" s="10">
        <f>[27]SP1!$I$399</f>
        <v>662560.53</v>
      </c>
      <c r="FJ54" s="10"/>
      <c r="FK54" s="10"/>
      <c r="FL54" s="10"/>
      <c r="FM54" s="10">
        <f>[27]SP1!$I$400</f>
        <v>89345.56</v>
      </c>
      <c r="FN54" s="10">
        <f t="shared" si="116"/>
        <v>1280788.58</v>
      </c>
      <c r="FO54" s="10">
        <f>[28]SP!R19</f>
        <v>663636.86</v>
      </c>
      <c r="FP54" s="10">
        <f>[28]SP!S19</f>
        <v>1057241.31</v>
      </c>
      <c r="FQ54" s="10"/>
      <c r="FR54" s="10">
        <f>[28]SP!Q19</f>
        <v>0</v>
      </c>
      <c r="FS54" s="10"/>
      <c r="FT54" s="10">
        <f>[28]SP!T19</f>
        <v>114478.43</v>
      </c>
      <c r="FU54" s="10">
        <f t="shared" si="130"/>
        <v>1835356.5999999999</v>
      </c>
      <c r="FV54" s="10">
        <f>[28]SP!V19</f>
        <v>658611.39</v>
      </c>
      <c r="FW54" s="10">
        <f>[28]SP!W19</f>
        <v>551126.81000000006</v>
      </c>
      <c r="FX54" s="10"/>
      <c r="FY54" s="10">
        <f>[28]SP!U19</f>
        <v>0</v>
      </c>
      <c r="FZ54" s="10"/>
      <c r="GA54" s="10">
        <f>[28]SP!X19</f>
        <v>75396.09</v>
      </c>
      <c r="GB54" s="10">
        <f t="shared" si="131"/>
        <v>1285134.2900000003</v>
      </c>
      <c r="GC54" s="148">
        <f t="shared" si="132"/>
        <v>12723632.939999999</v>
      </c>
      <c r="GD54" s="148">
        <f t="shared" si="133"/>
        <v>9711288.9700000007</v>
      </c>
      <c r="GE54" s="218"/>
      <c r="GG54" s="196"/>
      <c r="GH54" s="36"/>
      <c r="GI54" s="36"/>
      <c r="GJ54" s="36"/>
    </row>
    <row r="55" spans="1:192" s="5" customFormat="1" ht="12.75" x14ac:dyDescent="0.2">
      <c r="A55" s="266"/>
      <c r="B55" s="15" t="s">
        <v>142</v>
      </c>
      <c r="C55" s="1" t="s">
        <v>13</v>
      </c>
      <c r="D55" s="2">
        <v>43282</v>
      </c>
      <c r="E55" s="50"/>
      <c r="F55" s="50"/>
      <c r="G55" s="50"/>
      <c r="H55" s="50"/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  <c r="AJ55" s="50"/>
      <c r="AK55" s="50"/>
      <c r="AL55" s="50"/>
      <c r="AM55" s="50"/>
      <c r="AN55" s="50"/>
      <c r="AO55" s="50"/>
      <c r="AP55" s="50"/>
      <c r="AQ55" s="50"/>
      <c r="AR55" s="50"/>
      <c r="AS55" s="50"/>
      <c r="AT55" s="50"/>
      <c r="AU55" s="50"/>
      <c r="AV55" s="50"/>
      <c r="AW55" s="50"/>
      <c r="AX55" s="50"/>
      <c r="AY55" s="50"/>
      <c r="AZ55" s="50"/>
      <c r="BA55" s="50"/>
      <c r="BB55" s="50"/>
      <c r="BC55" s="50"/>
      <c r="BD55" s="50"/>
      <c r="BE55" s="50"/>
      <c r="BF55" s="50"/>
      <c r="BG55" s="50"/>
      <c r="BH55" s="50"/>
      <c r="BI55" s="50"/>
      <c r="BJ55" s="50"/>
      <c r="BK55" s="50"/>
      <c r="BL55" s="50"/>
      <c r="BM55" s="50"/>
      <c r="BN55" s="50"/>
      <c r="BO55" s="50"/>
      <c r="BP55" s="50"/>
      <c r="BQ55" s="50"/>
      <c r="BR55" s="50"/>
      <c r="BS55" s="50"/>
      <c r="BT55" s="50"/>
      <c r="BU55" s="10">
        <f>[26]SP!$P$176</f>
        <v>567474.61</v>
      </c>
      <c r="BV55" s="10">
        <f>[26]SP!$P$170</f>
        <v>372795.05</v>
      </c>
      <c r="BW55" s="10">
        <v>0</v>
      </c>
      <c r="BX55" s="10">
        <v>0</v>
      </c>
      <c r="BY55" s="10">
        <v>0</v>
      </c>
      <c r="BZ55" s="10">
        <f>[26]SP!$P$174</f>
        <v>19925.759999999998</v>
      </c>
      <c r="CA55" s="10">
        <f t="shared" si="65"/>
        <v>960195.41999999993</v>
      </c>
      <c r="CB55" s="14">
        <f>[26]SP!$P$176</f>
        <v>567474.61</v>
      </c>
      <c r="CC55" s="14">
        <f>[26]SP!$P$177</f>
        <v>317555.96000000002</v>
      </c>
      <c r="CD55" s="14">
        <v>0</v>
      </c>
      <c r="CE55" s="14">
        <v>0</v>
      </c>
      <c r="CF55" s="14">
        <v>0</v>
      </c>
      <c r="CG55" s="14">
        <f>[26]SP!$P$181</f>
        <v>19258.150000000001</v>
      </c>
      <c r="CH55" s="10">
        <f>SUM(CB55:CG55)</f>
        <v>904288.72000000009</v>
      </c>
      <c r="CI55" s="10">
        <f>[26]SP!$Q$169</f>
        <v>1367450.78</v>
      </c>
      <c r="CJ55" s="10">
        <f>[26]SP!$Q$170</f>
        <v>681347.35</v>
      </c>
      <c r="CK55" s="10">
        <v>0</v>
      </c>
      <c r="CL55" s="10">
        <v>0</v>
      </c>
      <c r="CM55" s="10">
        <v>0</v>
      </c>
      <c r="CN55" s="10">
        <f>[26]SP!$Q$174</f>
        <v>121474.28</v>
      </c>
      <c r="CO55" s="10">
        <f t="shared" si="129"/>
        <v>2170272.4099999997</v>
      </c>
      <c r="CP55" s="10">
        <f>[26]SP!$Q$176</f>
        <v>1364594.17</v>
      </c>
      <c r="CQ55" s="10">
        <f>[26]SP!$Q$177</f>
        <v>636402.9</v>
      </c>
      <c r="CR55" s="10">
        <v>0</v>
      </c>
      <c r="CS55" s="10">
        <v>0</v>
      </c>
      <c r="CT55" s="10">
        <v>0</v>
      </c>
      <c r="CU55" s="10">
        <f>[26]SP!$Q$181</f>
        <v>112798.95</v>
      </c>
      <c r="CV55" s="10">
        <f>SUM(CP55:CU55)</f>
        <v>2113796.02</v>
      </c>
      <c r="CW55" s="10">
        <f>[26]SP!$R$169</f>
        <v>1586638.84</v>
      </c>
      <c r="CX55" s="10">
        <f>[26]SP!$R$170</f>
        <v>853928.12</v>
      </c>
      <c r="CY55" s="10"/>
      <c r="CZ55" s="10"/>
      <c r="DA55" s="10"/>
      <c r="DB55" s="10">
        <f>[26]SP!$R$174</f>
        <v>149251.37</v>
      </c>
      <c r="DC55" s="10">
        <f t="shared" si="139"/>
        <v>2589818.33</v>
      </c>
      <c r="DD55" s="10">
        <f>[26]SP!$R$176</f>
        <v>1581768.13</v>
      </c>
      <c r="DE55" s="10">
        <f>[26]SP!$R$177</f>
        <v>847236.67</v>
      </c>
      <c r="DF55" s="10"/>
      <c r="DG55" s="10"/>
      <c r="DH55" s="10"/>
      <c r="DI55" s="10">
        <f>[26]SP!$R$181</f>
        <v>141665.45000000001</v>
      </c>
      <c r="DJ55" s="10">
        <f>SUM(DD55:DI55)</f>
        <v>2570670.25</v>
      </c>
      <c r="DK55" s="10">
        <f>[26]SP!$S$169</f>
        <v>2347534.9</v>
      </c>
      <c r="DL55" s="10">
        <f>[26]SP!$S$170</f>
        <v>1062221.82</v>
      </c>
      <c r="DM55" s="10"/>
      <c r="DN55" s="10"/>
      <c r="DO55" s="10"/>
      <c r="DP55" s="10">
        <f>[26]SP!$S$174</f>
        <v>192236.17</v>
      </c>
      <c r="DQ55" s="148">
        <f t="shared" si="140"/>
        <v>3601992.8899999997</v>
      </c>
      <c r="DR55" s="10">
        <f>[26]SP!$S$176</f>
        <v>2338018.25</v>
      </c>
      <c r="DS55" s="10">
        <f>[26]SP!$S$177</f>
        <v>1049118.21</v>
      </c>
      <c r="DT55" s="10"/>
      <c r="DU55" s="10"/>
      <c r="DV55" s="10"/>
      <c r="DW55" s="10">
        <f>[26]SP!$S$181</f>
        <v>183000.25</v>
      </c>
      <c r="DX55" s="10">
        <f t="shared" si="136"/>
        <v>3570136.71</v>
      </c>
      <c r="DY55" s="10">
        <f>[26]SP!$T$169</f>
        <v>1723770.15</v>
      </c>
      <c r="DZ55" s="10">
        <f>[26]SP!$T$170</f>
        <v>1099985.83</v>
      </c>
      <c r="EA55" s="10"/>
      <c r="EB55" s="10"/>
      <c r="EC55" s="10"/>
      <c r="ED55" s="10">
        <f>[26]SP!$T$174</f>
        <v>242260.5</v>
      </c>
      <c r="EE55" s="79">
        <f t="shared" si="141"/>
        <v>3066016.48</v>
      </c>
      <c r="EF55" s="10">
        <f>[26]SP!$T$176</f>
        <v>1687184.52</v>
      </c>
      <c r="EG55" s="10">
        <f>[26]SP!$T$177</f>
        <v>1093158.94</v>
      </c>
      <c r="EH55" s="10"/>
      <c r="EI55" s="10"/>
      <c r="EJ55" s="10"/>
      <c r="EK55" s="10">
        <f>[26]SP!$T$181</f>
        <v>231590.87</v>
      </c>
      <c r="EL55" s="148">
        <f t="shared" si="138"/>
        <v>3011934.33</v>
      </c>
      <c r="EM55" s="10">
        <f>[26]SP!$U$169</f>
        <v>2276453.2400000002</v>
      </c>
      <c r="EN55" s="10">
        <f>[26]SP!$U$170</f>
        <v>1156484.3500000001</v>
      </c>
      <c r="EO55" s="10"/>
      <c r="EP55" s="10"/>
      <c r="EQ55" s="10"/>
      <c r="ER55" s="10">
        <f>[26]SP!$U$174</f>
        <v>173533.17</v>
      </c>
      <c r="ES55" s="10">
        <f t="shared" si="101"/>
        <v>3606470.7600000002</v>
      </c>
      <c r="ET55" s="10">
        <f>[26]SP!$U$176</f>
        <v>1882818.25</v>
      </c>
      <c r="EU55" s="10">
        <f>[26]SP!$U$177</f>
        <v>1129648.97</v>
      </c>
      <c r="EV55" s="10"/>
      <c r="EW55" s="10"/>
      <c r="EX55" s="10"/>
      <c r="EY55" s="10">
        <f>[26]SP!$U$181</f>
        <v>157243.25</v>
      </c>
      <c r="EZ55" s="10">
        <f t="shared" si="102"/>
        <v>3169710.4699999997</v>
      </c>
      <c r="FA55" s="10">
        <f>[27]SP1!$J$322</f>
        <v>2231076.9700000002</v>
      </c>
      <c r="FB55" s="10">
        <f>[27]SP1!$J$323</f>
        <v>1356716.46</v>
      </c>
      <c r="FC55" s="10"/>
      <c r="FD55" s="10"/>
      <c r="FE55" s="10"/>
      <c r="FF55" s="10">
        <f>[27]SP1!$J$327</f>
        <v>171395.22</v>
      </c>
      <c r="FG55" s="10">
        <f t="shared" si="128"/>
        <v>3759188.6500000004</v>
      </c>
      <c r="FH55" s="10">
        <f>[27]SP1!$J$329</f>
        <v>2100413.41</v>
      </c>
      <c r="FI55" s="10">
        <f>[27]SP1!$J$330</f>
        <v>1288704</v>
      </c>
      <c r="FJ55" s="10"/>
      <c r="FK55" s="10"/>
      <c r="FL55" s="10"/>
      <c r="FM55" s="10">
        <f>[27]SP1!$J$334</f>
        <v>140988</v>
      </c>
      <c r="FN55" s="10">
        <f t="shared" si="116"/>
        <v>3530105.41</v>
      </c>
      <c r="FO55" s="10">
        <f>[52]reg_cobranca_bacia_estadual_a!$R$21</f>
        <v>3330476.7</v>
      </c>
      <c r="FP55" s="10">
        <f>[52]reg_cobranca_bacia_estadual_a!$S$21</f>
        <v>1134590.45</v>
      </c>
      <c r="FQ55" s="10"/>
      <c r="FR55" s="10">
        <f>[52]reg_cobranca_bacia_estadual_a!$Q$21</f>
        <v>0</v>
      </c>
      <c r="FS55" s="10"/>
      <c r="FT55" s="10">
        <f>[52]reg_cobranca_bacia_estadual_a!$T$21</f>
        <v>221485.15</v>
      </c>
      <c r="FU55" s="10">
        <f t="shared" si="130"/>
        <v>4686552.3000000007</v>
      </c>
      <c r="FV55" s="10">
        <f>[52]reg_cobranca_bacia_estadual_a!$V$21</f>
        <v>2247298.1800000002</v>
      </c>
      <c r="FW55" s="10">
        <f>[52]reg_cobranca_bacia_estadual_a!$W$21</f>
        <v>818773.85</v>
      </c>
      <c r="FX55" s="10"/>
      <c r="FY55" s="10">
        <f>[52]reg_cobranca_bacia_estadual_a!$U$21</f>
        <v>0</v>
      </c>
      <c r="FZ55" s="10"/>
      <c r="GA55" s="10">
        <f>[52]reg_cobranca_bacia_estadual_a!$X$21</f>
        <v>207127.38</v>
      </c>
      <c r="GB55" s="10">
        <f t="shared" si="131"/>
        <v>3273199.41</v>
      </c>
      <c r="GC55" s="148">
        <f t="shared" si="132"/>
        <v>24440507.240000002</v>
      </c>
      <c r="GD55" s="148">
        <f t="shared" si="133"/>
        <v>22143841.32</v>
      </c>
      <c r="GE55" s="218"/>
      <c r="GG55" s="196"/>
      <c r="GH55" s="36"/>
      <c r="GI55" s="36"/>
      <c r="GJ55" s="36"/>
    </row>
    <row r="56" spans="1:192" s="5" customFormat="1" ht="12.75" x14ac:dyDescent="0.2">
      <c r="A56" s="266"/>
      <c r="B56" s="15" t="s">
        <v>143</v>
      </c>
      <c r="C56" s="1" t="s">
        <v>13</v>
      </c>
      <c r="D56" s="2">
        <v>43405</v>
      </c>
      <c r="E56" s="50"/>
      <c r="F56" s="50"/>
      <c r="G56" s="50"/>
      <c r="H56" s="50"/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  <c r="AJ56" s="50"/>
      <c r="AK56" s="50"/>
      <c r="AL56" s="50"/>
      <c r="AM56" s="50"/>
      <c r="AN56" s="50"/>
      <c r="AO56" s="50"/>
      <c r="AP56" s="50"/>
      <c r="AQ56" s="50"/>
      <c r="AR56" s="50"/>
      <c r="AS56" s="50"/>
      <c r="AT56" s="50"/>
      <c r="AU56" s="50"/>
      <c r="AV56" s="50"/>
      <c r="AW56" s="50"/>
      <c r="AX56" s="50"/>
      <c r="AY56" s="50"/>
      <c r="AZ56" s="50"/>
      <c r="BA56" s="50"/>
      <c r="BB56" s="50"/>
      <c r="BC56" s="50"/>
      <c r="BD56" s="50"/>
      <c r="BE56" s="50"/>
      <c r="BF56" s="50"/>
      <c r="BG56" s="50"/>
      <c r="BH56" s="50"/>
      <c r="BI56" s="50"/>
      <c r="BJ56" s="50"/>
      <c r="BK56" s="50"/>
      <c r="BL56" s="50"/>
      <c r="BM56" s="50"/>
      <c r="BN56" s="50"/>
      <c r="BO56" s="50"/>
      <c r="BP56" s="50"/>
      <c r="BQ56" s="50"/>
      <c r="BR56" s="50"/>
      <c r="BS56" s="50"/>
      <c r="BT56" s="50"/>
      <c r="BU56" s="10">
        <f>[26]SP!$P$198</f>
        <v>270303.87</v>
      </c>
      <c r="BV56" s="10">
        <f>[26]SP!$P$199</f>
        <v>173430.1</v>
      </c>
      <c r="BW56" s="10">
        <v>0</v>
      </c>
      <c r="BX56" s="10">
        <v>0</v>
      </c>
      <c r="BY56" s="10">
        <v>0</v>
      </c>
      <c r="BZ56" s="10">
        <f>[26]SP!$P$203</f>
        <v>37480.959999999999</v>
      </c>
      <c r="CA56" s="10">
        <f t="shared" si="65"/>
        <v>481214.93</v>
      </c>
      <c r="CB56" s="14">
        <f>[26]SP!$P$205</f>
        <v>270358.46999999997</v>
      </c>
      <c r="CC56" s="14">
        <f>[26]SP!$P$206</f>
        <v>165300.04</v>
      </c>
      <c r="CD56" s="14">
        <v>0</v>
      </c>
      <c r="CE56" s="14">
        <v>0</v>
      </c>
      <c r="CF56" s="14">
        <v>0</v>
      </c>
      <c r="CG56" s="14">
        <f>[26]SP!$P$210</f>
        <v>36620.230000000003</v>
      </c>
      <c r="CH56" s="10">
        <f>SUM(CB56:CG56)</f>
        <v>472278.74</v>
      </c>
      <c r="CI56" s="10">
        <f>[26]SP!$Q$198</f>
        <v>851309.68</v>
      </c>
      <c r="CJ56" s="10">
        <f>[26]SP!$Q$199</f>
        <v>1100495.3</v>
      </c>
      <c r="CK56" s="10">
        <v>0</v>
      </c>
      <c r="CL56" s="10">
        <v>0</v>
      </c>
      <c r="CM56" s="10">
        <v>0</v>
      </c>
      <c r="CN56" s="10">
        <f>[26]SP!$Q$203</f>
        <v>332026.03999999998</v>
      </c>
      <c r="CO56" s="10">
        <f t="shared" si="129"/>
        <v>2283831.02</v>
      </c>
      <c r="CP56" s="10">
        <f>[26]SP!$Q$205</f>
        <v>850076.11</v>
      </c>
      <c r="CQ56" s="10">
        <f>[26]SP!$Q$206</f>
        <v>821917.98</v>
      </c>
      <c r="CR56" s="10">
        <v>0</v>
      </c>
      <c r="CS56" s="10">
        <v>0</v>
      </c>
      <c r="CT56" s="10">
        <v>0</v>
      </c>
      <c r="CU56" s="10">
        <f>[26]SP!$Q$210</f>
        <v>294759.95</v>
      </c>
      <c r="CV56" s="10">
        <f>SUM(CP56:CU56)</f>
        <v>1966754.0399999998</v>
      </c>
      <c r="CW56" s="10">
        <f>[26]SP!$R$198</f>
        <v>2488261.2799999998</v>
      </c>
      <c r="CX56" s="10">
        <f>[26]SP!$R$199</f>
        <v>1186812.07</v>
      </c>
      <c r="CY56" s="10"/>
      <c r="CZ56" s="10"/>
      <c r="DA56" s="10"/>
      <c r="DB56" s="10">
        <f>[26]SP!$R$203</f>
        <v>432297.46</v>
      </c>
      <c r="DC56" s="10">
        <f t="shared" si="139"/>
        <v>4107370.8099999996</v>
      </c>
      <c r="DD56" s="10">
        <f>[26]SP!$R$205</f>
        <v>2492467.7799999998</v>
      </c>
      <c r="DE56" s="10">
        <f>[26]SP!$R$206</f>
        <v>1082506.47</v>
      </c>
      <c r="DF56" s="10"/>
      <c r="DG56" s="10"/>
      <c r="DH56" s="10"/>
      <c r="DI56" s="10">
        <f>[26]SP!$R$210</f>
        <v>415191.17</v>
      </c>
      <c r="DJ56" s="10">
        <f>SUM(DD56:DI56)</f>
        <v>3990165.42</v>
      </c>
      <c r="DK56" s="10">
        <f>[26]SP!$S$198</f>
        <v>2506779.14</v>
      </c>
      <c r="DL56" s="10">
        <f>[26]SP!$S$199</f>
        <v>1507933.2</v>
      </c>
      <c r="DM56" s="10">
        <f>[26]SP!$S$200</f>
        <v>0</v>
      </c>
      <c r="DN56" s="10">
        <f>[26]SP!$S$201</f>
        <v>0</v>
      </c>
      <c r="DO56" s="10">
        <f>[26]SP!$S$202</f>
        <v>0</v>
      </c>
      <c r="DP56" s="10">
        <f>[26]SP!$S$203</f>
        <v>644625.61</v>
      </c>
      <c r="DQ56" s="148">
        <f t="shared" si="140"/>
        <v>4659337.95</v>
      </c>
      <c r="DR56" s="10">
        <f>[26]SP!$S$205</f>
        <v>2507469.85</v>
      </c>
      <c r="DS56" s="10">
        <f>[26]SP!$S$206</f>
        <v>1509512.71</v>
      </c>
      <c r="DT56" s="10">
        <f>[26]SP!$S$207</f>
        <v>0</v>
      </c>
      <c r="DU56" s="10">
        <f>[26]SP!$S$208</f>
        <v>0</v>
      </c>
      <c r="DV56" s="10">
        <f>[26]SP!$S$209</f>
        <v>0</v>
      </c>
      <c r="DW56" s="10">
        <f>[26]SP!$S$210</f>
        <v>611241.87</v>
      </c>
      <c r="DX56" s="10">
        <f t="shared" si="136"/>
        <v>4628224.43</v>
      </c>
      <c r="DY56" s="10">
        <f>[26]SP!$T$198</f>
        <v>2568084.25</v>
      </c>
      <c r="DZ56" s="10">
        <f>[26]SP!$T$199</f>
        <v>1742114.38</v>
      </c>
      <c r="EA56" s="10">
        <f>[26]SP!$T$200</f>
        <v>0</v>
      </c>
      <c r="EB56" s="10">
        <f>[26]SP!$T$201</f>
        <v>0</v>
      </c>
      <c r="EC56" s="10">
        <f>[26]SP!$T$202</f>
        <v>0</v>
      </c>
      <c r="ED56" s="10">
        <f>[26]SP!$T$203</f>
        <v>678522.84</v>
      </c>
      <c r="EE56" s="79">
        <f t="shared" si="141"/>
        <v>4988721.47</v>
      </c>
      <c r="EF56" s="10">
        <f>[26]SP!$T$205</f>
        <v>2568290.85</v>
      </c>
      <c r="EG56" s="10">
        <f>[26]SP!$T$206</f>
        <v>1741918.09</v>
      </c>
      <c r="EH56" s="10">
        <f>[26]SP!$T$207</f>
        <v>0</v>
      </c>
      <c r="EI56" s="10">
        <f>[26]SP!$T$208</f>
        <v>0</v>
      </c>
      <c r="EJ56" s="10">
        <f>[26]SP!$T$209</f>
        <v>0</v>
      </c>
      <c r="EK56" s="10">
        <f>[26]SP!$T$210</f>
        <v>658864.02</v>
      </c>
      <c r="EL56" s="148">
        <f t="shared" si="138"/>
        <v>4969072.9600000009</v>
      </c>
      <c r="EM56" s="10">
        <f>[26]SP!$U$198</f>
        <v>2205778.08</v>
      </c>
      <c r="EN56" s="10">
        <f>[26]SP!$U$199</f>
        <v>5433692.2199999997</v>
      </c>
      <c r="EO56" s="10">
        <f>[26]SP!$U$200</f>
        <v>0</v>
      </c>
      <c r="EP56" s="10">
        <f>[26]SP!$U$201</f>
        <v>0</v>
      </c>
      <c r="EQ56" s="10">
        <f>[26]SP!$U$202</f>
        <v>0</v>
      </c>
      <c r="ER56" s="10">
        <f>[26]SP!$U$203</f>
        <v>570671.57999999996</v>
      </c>
      <c r="ES56" s="10">
        <f t="shared" si="101"/>
        <v>8210141.8799999999</v>
      </c>
      <c r="ET56" s="10">
        <f>[26]SP!$U$205</f>
        <v>2202835.4900000002</v>
      </c>
      <c r="EU56" s="10">
        <f>[26]SP!$U$206</f>
        <v>2055637.92</v>
      </c>
      <c r="EV56" s="10">
        <f>[26]SP!$U$207</f>
        <v>0</v>
      </c>
      <c r="EW56" s="10">
        <f>[26]SP!$U$208</f>
        <v>0</v>
      </c>
      <c r="EX56" s="10">
        <f>[26]SP!$U$209</f>
        <v>0</v>
      </c>
      <c r="EY56" s="10">
        <f>[26]SP!$U$210</f>
        <v>462352.51</v>
      </c>
      <c r="EZ56" s="10">
        <f t="shared" si="102"/>
        <v>4720825.92</v>
      </c>
      <c r="FA56" s="10">
        <f>[27]SP1!$J$374</f>
        <v>2805866.86</v>
      </c>
      <c r="FB56" s="10">
        <f>[27]SP1!$J$375</f>
        <v>1746601.75</v>
      </c>
      <c r="FC56" s="10"/>
      <c r="FD56" s="10"/>
      <c r="FE56" s="10"/>
      <c r="FF56" s="10">
        <f>[27]SP1!$J$379</f>
        <v>792800.86</v>
      </c>
      <c r="FG56" s="10">
        <f t="shared" si="128"/>
        <v>5345269.47</v>
      </c>
      <c r="FH56" s="10">
        <f>[27]SP1!$J$381</f>
        <v>2617703.0099999998</v>
      </c>
      <c r="FI56" s="10">
        <f>[27]SP1!$J$382</f>
        <v>1541643.99</v>
      </c>
      <c r="FJ56" s="10"/>
      <c r="FK56" s="10"/>
      <c r="FL56" s="10"/>
      <c r="FM56" s="10">
        <f>[27]SP1!$J$386</f>
        <v>606898.62</v>
      </c>
      <c r="FN56" s="10">
        <f t="shared" si="116"/>
        <v>4766245.62</v>
      </c>
      <c r="FO56" s="10">
        <f>[52]reg_cobranca_bacia_estadual_a!$R$33</f>
        <v>3033835.92</v>
      </c>
      <c r="FP56" s="10">
        <f>[52]reg_cobranca_bacia_estadual_a!$S$33</f>
        <v>2325746.31</v>
      </c>
      <c r="FQ56" s="10"/>
      <c r="FR56" s="10">
        <f>[52]reg_cobranca_bacia_estadual_a!$Q$33</f>
        <v>0</v>
      </c>
      <c r="FS56" s="10"/>
      <c r="FT56" s="10">
        <f>[52]reg_cobranca_bacia_estadual_a!$T$33</f>
        <v>776439.63</v>
      </c>
      <c r="FU56" s="10">
        <f t="shared" si="130"/>
        <v>6136021.8600000003</v>
      </c>
      <c r="FV56" s="10">
        <f>[52]reg_cobranca_bacia_estadual_a!$V$33</f>
        <v>1631257.53</v>
      </c>
      <c r="FW56" s="10">
        <f>[52]reg_cobranca_bacia_estadual_a!$W$33</f>
        <v>2231326.71</v>
      </c>
      <c r="FX56" s="10"/>
      <c r="FY56" s="10">
        <f>[52]reg_cobranca_bacia_estadual_a!$U$33</f>
        <v>0</v>
      </c>
      <c r="FZ56" s="10"/>
      <c r="GA56" s="10">
        <f>[52]reg_cobranca_bacia_estadual_a!$X$33</f>
        <v>578909.99</v>
      </c>
      <c r="GB56" s="10">
        <f t="shared" si="131"/>
        <v>4441494.2300000004</v>
      </c>
      <c r="GC56" s="148">
        <f t="shared" si="132"/>
        <v>36211909.390000001</v>
      </c>
      <c r="GD56" s="148">
        <f t="shared" si="133"/>
        <v>29955061.359999999</v>
      </c>
      <c r="GE56" s="218"/>
      <c r="GG56" s="196"/>
      <c r="GH56" s="36"/>
      <c r="GI56" s="36"/>
      <c r="GJ56" s="36"/>
    </row>
    <row r="57" spans="1:192" s="5" customFormat="1" ht="12.75" x14ac:dyDescent="0.2">
      <c r="A57" s="266"/>
      <c r="B57" s="15" t="s">
        <v>151</v>
      </c>
      <c r="C57" s="1" t="s">
        <v>13</v>
      </c>
      <c r="D57" s="2">
        <v>43770</v>
      </c>
      <c r="E57" s="50"/>
      <c r="F57" s="50"/>
      <c r="G57" s="50"/>
      <c r="H57" s="50"/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  <c r="AJ57" s="50"/>
      <c r="AK57" s="50"/>
      <c r="AL57" s="50"/>
      <c r="AM57" s="50"/>
      <c r="AN57" s="50"/>
      <c r="AO57" s="50"/>
      <c r="AP57" s="50"/>
      <c r="AQ57" s="50"/>
      <c r="AR57" s="50"/>
      <c r="AS57" s="50"/>
      <c r="AT57" s="50"/>
      <c r="AU57" s="50"/>
      <c r="AV57" s="50"/>
      <c r="AW57" s="50"/>
      <c r="AX57" s="50"/>
      <c r="AY57" s="50"/>
      <c r="AZ57" s="50"/>
      <c r="BA57" s="50"/>
      <c r="BB57" s="50"/>
      <c r="BC57" s="50"/>
      <c r="BD57" s="50"/>
      <c r="BE57" s="50"/>
      <c r="BF57" s="50"/>
      <c r="BG57" s="50"/>
      <c r="BH57" s="50"/>
      <c r="BI57" s="50"/>
      <c r="BJ57" s="50"/>
      <c r="BK57" s="50"/>
      <c r="BL57" s="50"/>
      <c r="BM57" s="50"/>
      <c r="BN57" s="50"/>
      <c r="BO57" s="50"/>
      <c r="BP57" s="50"/>
      <c r="BQ57" s="50"/>
      <c r="BR57" s="50"/>
      <c r="BS57" s="50"/>
      <c r="BT57" s="50"/>
      <c r="BU57" s="50"/>
      <c r="BV57" s="50"/>
      <c r="BW57" s="50"/>
      <c r="BX57" s="50"/>
      <c r="BY57" s="50"/>
      <c r="BZ57" s="50"/>
      <c r="CA57" s="50"/>
      <c r="CB57" s="50"/>
      <c r="CC57" s="50"/>
      <c r="CD57" s="50"/>
      <c r="CE57" s="50"/>
      <c r="CF57" s="50"/>
      <c r="CG57" s="50"/>
      <c r="CH57" s="50"/>
      <c r="CI57" s="10" cm="1">
        <f t="array" ref="CI57:CI58">[26]SP!$Q$137:$Q$138</f>
        <v>122811.29</v>
      </c>
      <c r="CJ57" s="10" cm="1">
        <f t="array" ref="CJ57:CJ58">[26]SP!$Q$139:$Q$140</f>
        <v>107638.52</v>
      </c>
      <c r="CK57" s="10">
        <v>0</v>
      </c>
      <c r="CL57" s="10">
        <v>0</v>
      </c>
      <c r="CM57" s="10">
        <v>0</v>
      </c>
      <c r="CN57" s="10" cm="1">
        <f t="array" ref="CN57:CN58">[26]SP!$Q$141:$Q$142</f>
        <v>15301.64</v>
      </c>
      <c r="CO57" s="10">
        <f t="shared" si="129"/>
        <v>245751.45</v>
      </c>
      <c r="CP57" s="14" cm="1">
        <f t="array" ref="CP57:CP58">[26]SP!$Q$145:$Q$146</f>
        <v>122698.17</v>
      </c>
      <c r="CQ57" s="14" cm="1">
        <f t="array" ref="CQ57:CQ58">[26]SP!$Q$147:$Q$148</f>
        <v>92483.88</v>
      </c>
      <c r="CR57" s="14">
        <v>0</v>
      </c>
      <c r="CS57" s="14">
        <v>0</v>
      </c>
      <c r="CT57" s="14">
        <v>0</v>
      </c>
      <c r="CU57" s="14" cm="1">
        <f t="array" ref="CU57:CU58">[26]SP!$Q$149:$Q$150</f>
        <v>9693.74</v>
      </c>
      <c r="CV57" s="10">
        <f>SUM(CP57:CU57)</f>
        <v>224875.78999999998</v>
      </c>
      <c r="CW57" s="10" cm="1">
        <f t="array" ref="CW57:CW58">[26]SP!$R$137:$R$138</f>
        <v>894346.28</v>
      </c>
      <c r="CX57" s="10" cm="1">
        <f t="array" ref="CX57:CX58">[26]SP!$R$139:$R$140</f>
        <v>356918.42</v>
      </c>
      <c r="CY57" s="10"/>
      <c r="CZ57" s="10"/>
      <c r="DA57" s="10"/>
      <c r="DB57" s="10" cm="1">
        <f t="array" ref="DB57:DB58">[26]SP!$R$141:$R$142</f>
        <v>88137.05</v>
      </c>
      <c r="DC57" s="10">
        <f t="shared" si="139"/>
        <v>1339401.75</v>
      </c>
      <c r="DD57" s="10" cm="1">
        <f t="array" ref="DD57:DD58">[26]SP!$R$145:$R$146</f>
        <v>873162.63</v>
      </c>
      <c r="DE57" s="10" cm="1">
        <f t="array" ref="DE57:DE58">[26]SP!$R$147:$R$148</f>
        <v>322202.94</v>
      </c>
      <c r="DF57" s="10"/>
      <c r="DG57" s="10"/>
      <c r="DH57" s="10"/>
      <c r="DI57" s="10" cm="1">
        <f t="array" ref="DI57:DI58">[26]SP!$R$149:$R$150</f>
        <v>35139.53</v>
      </c>
      <c r="DJ57" s="10">
        <f>SUM(DD57:DI57)</f>
        <v>1230505.1000000001</v>
      </c>
      <c r="DK57" s="10">
        <f>[26]SP!$S$137</f>
        <v>1296155.51</v>
      </c>
      <c r="DL57" s="10">
        <f>[26]SP!$S$139</f>
        <v>624913.05000000005</v>
      </c>
      <c r="DM57" s="10"/>
      <c r="DN57" s="10"/>
      <c r="DO57" s="10"/>
      <c r="DP57" s="10">
        <f>[26]SP!$S$141</f>
        <v>204473.34</v>
      </c>
      <c r="DQ57" s="148">
        <f t="shared" si="140"/>
        <v>2125541.9</v>
      </c>
      <c r="DR57" s="10">
        <f>[26]SP!$S$145</f>
        <v>1005050.35</v>
      </c>
      <c r="DS57" s="10">
        <f>[26]SP!$S$147</f>
        <v>481872.89</v>
      </c>
      <c r="DT57" s="10"/>
      <c r="DU57" s="10"/>
      <c r="DV57" s="10"/>
      <c r="DW57" s="10">
        <f>[26]SP!$S$149</f>
        <v>75915.28</v>
      </c>
      <c r="DX57" s="10">
        <f t="shared" si="136"/>
        <v>1562838.52</v>
      </c>
      <c r="DY57" s="10">
        <f>[26]SP!$T$137</f>
        <v>999292.64</v>
      </c>
      <c r="DZ57" s="10">
        <f>[26]SP!$T$139</f>
        <v>600266.69999999995</v>
      </c>
      <c r="EA57" s="10"/>
      <c r="EB57" s="10"/>
      <c r="EC57" s="10"/>
      <c r="ED57" s="10">
        <f>[26]SP!$T$141</f>
        <v>90287.64</v>
      </c>
      <c r="EE57" s="79">
        <f t="shared" si="141"/>
        <v>1689846.9799999997</v>
      </c>
      <c r="EF57" s="10">
        <f>[26]SP!$T$145</f>
        <v>994758.75</v>
      </c>
      <c r="EG57" s="10">
        <f>[26]SP!$T$147</f>
        <v>481399.77</v>
      </c>
      <c r="EH57" s="10"/>
      <c r="EI57" s="10"/>
      <c r="EJ57" s="10"/>
      <c r="EK57" s="10">
        <f>[26]SP!$T$149</f>
        <v>70167.429999999993</v>
      </c>
      <c r="EL57" s="148">
        <f t="shared" si="138"/>
        <v>1546325.95</v>
      </c>
      <c r="EM57" s="10">
        <f>[26]SP!$U$137</f>
        <v>1016120.03</v>
      </c>
      <c r="EN57" s="10">
        <f>[26]SP!$U$139</f>
        <v>559071.98</v>
      </c>
      <c r="EO57" s="10"/>
      <c r="EP57" s="10"/>
      <c r="EQ57" s="10"/>
      <c r="ER57" s="10">
        <f>[26]SP!$U$141</f>
        <v>81051.83</v>
      </c>
      <c r="ES57" s="10">
        <f t="shared" si="101"/>
        <v>1656243.84</v>
      </c>
      <c r="ET57" s="10">
        <f>[26]SP!$U$145</f>
        <v>1012976.58</v>
      </c>
      <c r="EU57" s="10">
        <f>[26]SP!$U$147</f>
        <v>517401.88</v>
      </c>
      <c r="EV57" s="10"/>
      <c r="EW57" s="10"/>
      <c r="EX57" s="10"/>
      <c r="EY57" s="10">
        <f>[26]SP!$U$149</f>
        <v>92063.66</v>
      </c>
      <c r="EZ57" s="10">
        <f t="shared" si="102"/>
        <v>1622442.1199999999</v>
      </c>
      <c r="FA57" s="10">
        <f>[27]SP1!$I$277</f>
        <v>1068986.6499999999</v>
      </c>
      <c r="FB57" s="10">
        <f>[27]SP1!$I$279</f>
        <v>615567.15</v>
      </c>
      <c r="FC57" s="10"/>
      <c r="FD57" s="10"/>
      <c r="FE57" s="10"/>
      <c r="FF57" s="10">
        <f>[27]SP1!$I$281</f>
        <v>96109.29</v>
      </c>
      <c r="FG57" s="10">
        <f t="shared" si="128"/>
        <v>1780663.0899999999</v>
      </c>
      <c r="FH57" s="10">
        <f>[27]SP1!$I$284</f>
        <v>1058767.8899999999</v>
      </c>
      <c r="FI57" s="10">
        <f>[27]SP1!$I$286</f>
        <v>487640.22</v>
      </c>
      <c r="FJ57" s="10"/>
      <c r="FK57" s="10"/>
      <c r="FL57" s="10"/>
      <c r="FM57" s="10">
        <f>[27]SP1!$I$288</f>
        <v>90731.65</v>
      </c>
      <c r="FN57" s="10">
        <f t="shared" si="116"/>
        <v>1637139.7599999998</v>
      </c>
      <c r="FO57" s="10">
        <f>[34]reg_cobranca_bacia_estadual_a!$R$35</f>
        <v>1021635.98</v>
      </c>
      <c r="FP57" s="10">
        <f>[34]reg_cobranca_bacia_estadual_a!$S$35</f>
        <v>607950.79</v>
      </c>
      <c r="FQ57" s="10"/>
      <c r="FR57" s="10">
        <f>[34]reg_cobranca_bacia_estadual_a!$Q$35</f>
        <v>0</v>
      </c>
      <c r="FS57" s="10"/>
      <c r="FT57" s="10">
        <f>[34]reg_cobranca_bacia_estadual_a!$T$35</f>
        <v>209527.7</v>
      </c>
      <c r="FU57" s="10">
        <f t="shared" si="130"/>
        <v>1839114.47</v>
      </c>
      <c r="FV57" s="10">
        <f>[34]reg_cobranca_bacia_estadual_a!$V$35</f>
        <v>1017022.18</v>
      </c>
      <c r="FW57" s="10">
        <f>[34]reg_cobranca_bacia_estadual_a!$W$35</f>
        <v>596780.67000000004</v>
      </c>
      <c r="FX57" s="10"/>
      <c r="FY57" s="10">
        <f>[34]reg_cobranca_bacia_estadual_a!$U$35</f>
        <v>0</v>
      </c>
      <c r="FZ57" s="10"/>
      <c r="GA57" s="10">
        <f>[34]reg_cobranca_bacia_estadual_a!$X$35</f>
        <v>105641.82</v>
      </c>
      <c r="GB57" s="10">
        <f t="shared" si="131"/>
        <v>1719444.6700000002</v>
      </c>
      <c r="GC57" s="148">
        <f t="shared" si="132"/>
        <v>10676563.479999999</v>
      </c>
      <c r="GD57" s="148">
        <f t="shared" si="133"/>
        <v>9543571.9100000001</v>
      </c>
      <c r="GE57" s="218"/>
      <c r="GG57" s="196"/>
      <c r="GH57" s="36"/>
      <c r="GI57" s="36"/>
      <c r="GJ57" s="36"/>
    </row>
    <row r="58" spans="1:192" s="5" customFormat="1" ht="12.75" x14ac:dyDescent="0.2">
      <c r="A58" s="266"/>
      <c r="B58" s="15" t="s">
        <v>154</v>
      </c>
      <c r="C58" s="1" t="s">
        <v>13</v>
      </c>
      <c r="D58" s="2">
        <v>44317</v>
      </c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  <c r="AJ58" s="50"/>
      <c r="AK58" s="50"/>
      <c r="AL58" s="50"/>
      <c r="AM58" s="50"/>
      <c r="AN58" s="50"/>
      <c r="AO58" s="50"/>
      <c r="AP58" s="50"/>
      <c r="AQ58" s="50"/>
      <c r="AR58" s="50"/>
      <c r="AS58" s="50"/>
      <c r="AT58" s="50"/>
      <c r="AU58" s="50"/>
      <c r="AV58" s="50"/>
      <c r="AW58" s="50"/>
      <c r="AX58" s="50"/>
      <c r="AY58" s="50"/>
      <c r="AZ58" s="50"/>
      <c r="BA58" s="50"/>
      <c r="BB58" s="50"/>
      <c r="BC58" s="50"/>
      <c r="BD58" s="50"/>
      <c r="BE58" s="50"/>
      <c r="BF58" s="50"/>
      <c r="BG58" s="50"/>
      <c r="BH58" s="50"/>
      <c r="BI58" s="50"/>
      <c r="BJ58" s="50"/>
      <c r="BK58" s="50"/>
      <c r="BL58" s="50"/>
      <c r="BM58" s="50"/>
      <c r="BN58" s="50"/>
      <c r="BO58" s="50"/>
      <c r="BP58" s="50"/>
      <c r="BQ58" s="50"/>
      <c r="BR58" s="50"/>
      <c r="BS58" s="50"/>
      <c r="BT58" s="50"/>
      <c r="BU58" s="50"/>
      <c r="BV58" s="50"/>
      <c r="BW58" s="50"/>
      <c r="BX58" s="50"/>
      <c r="BY58" s="50"/>
      <c r="BZ58" s="50"/>
      <c r="CA58" s="50"/>
      <c r="CB58" s="50"/>
      <c r="CC58" s="50"/>
      <c r="CD58" s="50"/>
      <c r="CE58" s="50"/>
      <c r="CF58" s="50"/>
      <c r="CG58" s="50"/>
      <c r="CH58" s="50"/>
      <c r="CI58" s="50">
        <v>0</v>
      </c>
      <c r="CJ58" s="50">
        <v>0</v>
      </c>
      <c r="CK58" s="50"/>
      <c r="CL58" s="50"/>
      <c r="CM58" s="50"/>
      <c r="CN58" s="50">
        <v>0</v>
      </c>
      <c r="CO58" s="50"/>
      <c r="CP58" s="50">
        <v>0</v>
      </c>
      <c r="CQ58" s="50">
        <v>0</v>
      </c>
      <c r="CR58" s="50"/>
      <c r="CS58" s="50"/>
      <c r="CT58" s="50"/>
      <c r="CU58" s="50">
        <v>0</v>
      </c>
      <c r="CV58" s="50"/>
      <c r="CW58" s="50">
        <v>0</v>
      </c>
      <c r="CX58" s="50">
        <v>0</v>
      </c>
      <c r="CY58" s="50"/>
      <c r="CZ58" s="50"/>
      <c r="DA58" s="50"/>
      <c r="DB58" s="50">
        <v>0</v>
      </c>
      <c r="DC58" s="50"/>
      <c r="DD58" s="50">
        <v>0</v>
      </c>
      <c r="DE58" s="50">
        <v>0</v>
      </c>
      <c r="DF58" s="50"/>
      <c r="DG58" s="50"/>
      <c r="DH58" s="50"/>
      <c r="DI58" s="50">
        <v>0</v>
      </c>
      <c r="DJ58" s="50"/>
      <c r="DK58" s="10">
        <f>[26]SP!$S$183</f>
        <v>330102.99</v>
      </c>
      <c r="DL58" s="10">
        <f>[26]SP!$S$184</f>
        <v>260456.05</v>
      </c>
      <c r="DM58" s="10"/>
      <c r="DN58" s="10"/>
      <c r="DO58" s="10"/>
      <c r="DP58" s="10">
        <f>[26]SP!$S$188</f>
        <v>16783.95</v>
      </c>
      <c r="DQ58" s="148">
        <f t="shared" si="140"/>
        <v>607342.99</v>
      </c>
      <c r="DR58" s="10">
        <f>[26]SP!$S$190</f>
        <v>292781.40000000002</v>
      </c>
      <c r="DS58" s="10">
        <f>[26]SP!$S$191</f>
        <v>208756.17</v>
      </c>
      <c r="DT58" s="10"/>
      <c r="DU58" s="10"/>
      <c r="DV58" s="10"/>
      <c r="DW58" s="10">
        <f>[26]SP!$S$195</f>
        <v>7646.55</v>
      </c>
      <c r="DX58" s="10">
        <f t="shared" si="136"/>
        <v>509184.12000000005</v>
      </c>
      <c r="DY58" s="10">
        <f>[26]SP!$T$183</f>
        <v>616701.32999999996</v>
      </c>
      <c r="DZ58" s="10">
        <f>[26]SP!$T$184</f>
        <v>487051.02</v>
      </c>
      <c r="EA58" s="10"/>
      <c r="EB58" s="10"/>
      <c r="EC58" s="10"/>
      <c r="ED58" s="10">
        <f>[26]SP!$T$188</f>
        <v>18633.59</v>
      </c>
      <c r="EE58" s="79">
        <f t="shared" si="141"/>
        <v>1122385.9400000002</v>
      </c>
      <c r="EF58" s="10">
        <f>[26]SP!$T$190</f>
        <v>615207.31000000006</v>
      </c>
      <c r="EG58" s="10">
        <f>[26]SP!$T$191</f>
        <v>407186.64</v>
      </c>
      <c r="EH58" s="10"/>
      <c r="EI58" s="10"/>
      <c r="EJ58" s="10"/>
      <c r="EK58" s="10">
        <f>[26]SP!$T$195</f>
        <v>12841.78</v>
      </c>
      <c r="EL58" s="148">
        <f t="shared" si="138"/>
        <v>1035235.7300000001</v>
      </c>
      <c r="EM58" s="10">
        <f>[26]SP!$U$183</f>
        <v>870408.64</v>
      </c>
      <c r="EN58" s="10">
        <f>[26]SP!$U$184</f>
        <v>453800.89</v>
      </c>
      <c r="EO58" s="10"/>
      <c r="EP58" s="10"/>
      <c r="EQ58" s="10"/>
      <c r="ER58" s="10">
        <f>[26]SP!$U$188</f>
        <v>24156.29</v>
      </c>
      <c r="ES58" s="10">
        <f t="shared" si="101"/>
        <v>1348365.82</v>
      </c>
      <c r="ET58" s="10">
        <f>[26]SP!$U$190</f>
        <v>847071.66</v>
      </c>
      <c r="EU58" s="10">
        <f>[26]SP!$U$191</f>
        <v>385687.13</v>
      </c>
      <c r="EV58" s="10"/>
      <c r="EW58" s="10"/>
      <c r="EX58" s="10"/>
      <c r="EY58" s="10">
        <f>[26]SP!$U$195</f>
        <v>20678.919999999998</v>
      </c>
      <c r="EZ58" s="10">
        <f t="shared" si="102"/>
        <v>1253437.71</v>
      </c>
      <c r="FA58" s="10">
        <f>[27]SP1!$G$340</f>
        <v>914164</v>
      </c>
      <c r="FB58" s="10">
        <f>[27]SP1!$G$341</f>
        <v>548671.11</v>
      </c>
      <c r="FC58" s="10"/>
      <c r="FD58" s="10"/>
      <c r="FE58" s="10"/>
      <c r="FF58" s="10">
        <f>[27]SP1!$G$345</f>
        <v>36562.47</v>
      </c>
      <c r="FG58" s="10">
        <f t="shared" si="128"/>
        <v>1499397.5799999998</v>
      </c>
      <c r="FH58" s="10">
        <f>[27]SP1!$G$347</f>
        <v>912663.77</v>
      </c>
      <c r="FI58" s="10">
        <f>[27]SP1!$G$348</f>
        <v>419092.78</v>
      </c>
      <c r="FJ58" s="10"/>
      <c r="FK58" s="10"/>
      <c r="FL58" s="10"/>
      <c r="FM58" s="10">
        <f>[27]SP1!$G$352</f>
        <v>23649.83</v>
      </c>
      <c r="FN58" s="10">
        <f t="shared" si="116"/>
        <v>1355406.3800000001</v>
      </c>
      <c r="FO58" s="10">
        <f>[28]SP!R16</f>
        <v>875511.39</v>
      </c>
      <c r="FP58" s="10">
        <f>[28]SP!S16</f>
        <v>509753.61</v>
      </c>
      <c r="FQ58" s="10"/>
      <c r="FR58" s="10">
        <f>[28]SP!Q16</f>
        <v>0</v>
      </c>
      <c r="FS58" s="10"/>
      <c r="FT58" s="10">
        <f>[28]SP!T16</f>
        <v>25367.02</v>
      </c>
      <c r="FU58" s="10">
        <f t="shared" si="130"/>
        <v>1410632.02</v>
      </c>
      <c r="FV58" s="10">
        <f>[28]SP!V16</f>
        <v>868190.05</v>
      </c>
      <c r="FW58" s="10">
        <f>[28]SP!W16</f>
        <v>404853.39</v>
      </c>
      <c r="FX58" s="10"/>
      <c r="FY58" s="10">
        <f>[28]SP!U16</f>
        <v>0</v>
      </c>
      <c r="FZ58" s="10"/>
      <c r="GA58" s="10">
        <f>[28]SP!X16</f>
        <v>13403.04</v>
      </c>
      <c r="GB58" s="10">
        <f t="shared" si="131"/>
        <v>1286446.48</v>
      </c>
      <c r="GC58" s="148">
        <f t="shared" si="132"/>
        <v>5988124.3499999996</v>
      </c>
      <c r="GD58" s="148">
        <f t="shared" si="133"/>
        <v>5439710.4199999999</v>
      </c>
      <c r="GE58" s="218"/>
      <c r="GG58" s="196"/>
      <c r="GH58" s="36"/>
      <c r="GI58" s="36"/>
      <c r="GJ58" s="36"/>
    </row>
    <row r="59" spans="1:192" s="5" customFormat="1" ht="12.75" x14ac:dyDescent="0.2">
      <c r="A59" s="266"/>
      <c r="B59" s="15" t="s">
        <v>110</v>
      </c>
      <c r="C59" s="1" t="s">
        <v>13</v>
      </c>
      <c r="D59" s="2">
        <v>45108</v>
      </c>
      <c r="E59" s="50"/>
      <c r="F59" s="50"/>
      <c r="G59" s="50"/>
      <c r="H59" s="50"/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  <c r="AJ59" s="50"/>
      <c r="AK59" s="50"/>
      <c r="AL59" s="50"/>
      <c r="AM59" s="50"/>
      <c r="AN59" s="50"/>
      <c r="AO59" s="50"/>
      <c r="AP59" s="50"/>
      <c r="AQ59" s="50"/>
      <c r="AR59" s="50"/>
      <c r="AS59" s="50"/>
      <c r="AT59" s="50"/>
      <c r="AU59" s="50"/>
      <c r="AV59" s="50"/>
      <c r="AW59" s="50"/>
      <c r="AX59" s="50"/>
      <c r="AY59" s="50"/>
      <c r="AZ59" s="50"/>
      <c r="BA59" s="50"/>
      <c r="BB59" s="50"/>
      <c r="BC59" s="50"/>
      <c r="BD59" s="50"/>
      <c r="BE59" s="50"/>
      <c r="BF59" s="50"/>
      <c r="BG59" s="50"/>
      <c r="BH59" s="50"/>
      <c r="BI59" s="50"/>
      <c r="BJ59" s="50"/>
      <c r="BK59" s="50"/>
      <c r="BL59" s="50"/>
      <c r="BM59" s="50"/>
      <c r="BN59" s="50"/>
      <c r="BO59" s="50"/>
      <c r="BP59" s="50"/>
      <c r="BQ59" s="50"/>
      <c r="BR59" s="50"/>
      <c r="BS59" s="50"/>
      <c r="BT59" s="50"/>
      <c r="BU59" s="50"/>
      <c r="BV59" s="50"/>
      <c r="BW59" s="50"/>
      <c r="BX59" s="50"/>
      <c r="BY59" s="50"/>
      <c r="BZ59" s="50"/>
      <c r="CA59" s="50"/>
      <c r="CB59" s="50"/>
      <c r="CC59" s="50"/>
      <c r="CD59" s="50"/>
      <c r="CE59" s="50"/>
      <c r="CF59" s="50"/>
      <c r="CG59" s="50"/>
      <c r="CH59" s="50"/>
      <c r="CI59" s="50"/>
      <c r="CJ59" s="50"/>
      <c r="CK59" s="50"/>
      <c r="CL59" s="50"/>
      <c r="CM59" s="50"/>
      <c r="CN59" s="50"/>
      <c r="CO59" s="50"/>
      <c r="CP59" s="50"/>
      <c r="CQ59" s="50"/>
      <c r="CR59" s="50"/>
      <c r="CS59" s="50"/>
      <c r="CT59" s="50"/>
      <c r="CU59" s="50"/>
      <c r="CV59" s="50"/>
      <c r="CW59" s="50"/>
      <c r="CX59" s="50"/>
      <c r="CY59" s="50"/>
      <c r="CZ59" s="50"/>
      <c r="DA59" s="50"/>
      <c r="DB59" s="50"/>
      <c r="DC59" s="50"/>
      <c r="DD59" s="50"/>
      <c r="DE59" s="50"/>
      <c r="DF59" s="50"/>
      <c r="DG59" s="50"/>
      <c r="DH59" s="50"/>
      <c r="DI59" s="50"/>
      <c r="DJ59" s="50"/>
      <c r="DK59" s="50"/>
      <c r="DL59" s="50"/>
      <c r="DM59" s="50"/>
      <c r="DN59" s="50"/>
      <c r="DO59" s="50"/>
      <c r="DP59" s="50"/>
      <c r="DQ59" s="50"/>
      <c r="DR59" s="50"/>
      <c r="DS59" s="50"/>
      <c r="DT59" s="50"/>
      <c r="DU59" s="50"/>
      <c r="DV59" s="50">
        <f>DX60-DX43</f>
        <v>161193085.875</v>
      </c>
      <c r="DW59" s="50"/>
      <c r="DX59" s="50"/>
      <c r="DY59" s="50"/>
      <c r="DZ59" s="50"/>
      <c r="EA59" s="50"/>
      <c r="EB59" s="50"/>
      <c r="EC59" s="50"/>
      <c r="ED59" s="50"/>
      <c r="EE59" s="50"/>
      <c r="EF59" s="50"/>
      <c r="EG59" s="50"/>
      <c r="EH59" s="50"/>
      <c r="EI59" s="50"/>
      <c r="EJ59" s="50"/>
      <c r="EK59" s="50"/>
      <c r="EL59" s="50"/>
      <c r="EM59" s="10"/>
      <c r="EN59" s="10"/>
      <c r="EO59" s="10"/>
      <c r="EP59" s="10"/>
      <c r="EQ59" s="10"/>
      <c r="ER59" s="10"/>
      <c r="ES59" s="10">
        <f>[36]SP!$DU$25</f>
        <v>1851880.46</v>
      </c>
      <c r="ET59" s="10"/>
      <c r="EU59" s="10"/>
      <c r="EV59" s="10"/>
      <c r="EW59" s="10"/>
      <c r="EX59" s="10"/>
      <c r="EY59" s="10"/>
      <c r="EZ59" s="10">
        <f>[36]SP!$DV$25</f>
        <v>1832533.7300000002</v>
      </c>
      <c r="FA59" s="10">
        <f>[27]SP1!$D$36</f>
        <v>822857.35</v>
      </c>
      <c r="FB59" s="10">
        <f>[27]SP1!$D$37</f>
        <v>81568.800000000003</v>
      </c>
      <c r="FC59" s="10"/>
      <c r="FD59" s="10"/>
      <c r="FE59" s="10"/>
      <c r="FF59" s="10">
        <f>[27]SP1!$D$41</f>
        <v>214047.6</v>
      </c>
      <c r="FG59" s="10">
        <f t="shared" si="128"/>
        <v>1118473.75</v>
      </c>
      <c r="FH59" s="10"/>
      <c r="FI59" s="10"/>
      <c r="FJ59" s="10"/>
      <c r="FK59" s="10"/>
      <c r="FL59" s="10"/>
      <c r="FM59" s="10"/>
      <c r="FN59" s="10">
        <f>[27]SP1!$D$49</f>
        <v>992354.47</v>
      </c>
      <c r="FO59" s="10">
        <f>[34]reg_cobranca_bacia_estadual_a!$R$27</f>
        <v>1672023.03</v>
      </c>
      <c r="FP59" s="10">
        <f>[34]reg_cobranca_bacia_estadual_a!$S$27</f>
        <v>122032.64</v>
      </c>
      <c r="FQ59" s="10"/>
      <c r="FR59" s="10">
        <f>[34]reg_cobranca_bacia_estadual_a!$Q$27</f>
        <v>0</v>
      </c>
      <c r="FS59" s="10"/>
      <c r="FT59" s="10">
        <f>[34]reg_cobranca_bacia_estadual_a!$T$27</f>
        <v>303114.08</v>
      </c>
      <c r="FU59" s="10">
        <f t="shared" si="130"/>
        <v>2097169.75</v>
      </c>
      <c r="FV59" s="10">
        <f>[34]reg_cobranca_bacia_estadual_a!$V$27</f>
        <v>1672023.03</v>
      </c>
      <c r="FW59" s="10">
        <f>[34]reg_cobranca_bacia_estadual_a!$W$27</f>
        <v>81102.47</v>
      </c>
      <c r="FX59" s="10"/>
      <c r="FY59" s="10">
        <f>[34]reg_cobranca_bacia_estadual_a!$U$27</f>
        <v>0</v>
      </c>
      <c r="FZ59" s="10"/>
      <c r="GA59" s="10">
        <f>[34]reg_cobranca_bacia_estadual_a!$X$27</f>
        <v>173352.4</v>
      </c>
      <c r="GB59" s="10">
        <f t="shared" si="131"/>
        <v>1926477.9</v>
      </c>
      <c r="GC59" s="148">
        <f t="shared" si="132"/>
        <v>5067523.96</v>
      </c>
      <c r="GD59" s="148">
        <f t="shared" si="133"/>
        <v>4751366.0999999996</v>
      </c>
      <c r="GE59" s="219"/>
      <c r="GG59" s="196"/>
      <c r="GH59" s="36"/>
      <c r="GI59" s="164"/>
      <c r="GJ59" s="36"/>
    </row>
    <row r="60" spans="1:192" s="5" customFormat="1" ht="12.75" x14ac:dyDescent="0.2">
      <c r="A60" s="267"/>
      <c r="B60" s="249" t="s">
        <v>39</v>
      </c>
      <c r="C60" s="250"/>
      <c r="D60" s="250"/>
      <c r="E60" s="11">
        <f t="shared" ref="E60:BP60" si="142">SUM(E39:E58)</f>
        <v>0</v>
      </c>
      <c r="F60" s="11">
        <f t="shared" si="142"/>
        <v>0</v>
      </c>
      <c r="G60" s="11">
        <f t="shared" si="142"/>
        <v>0</v>
      </c>
      <c r="H60" s="11">
        <f t="shared" si="142"/>
        <v>0</v>
      </c>
      <c r="I60" s="11">
        <f t="shared" si="142"/>
        <v>0</v>
      </c>
      <c r="J60" s="11">
        <f t="shared" si="142"/>
        <v>0</v>
      </c>
      <c r="K60" s="11">
        <f t="shared" si="142"/>
        <v>0</v>
      </c>
      <c r="L60" s="11">
        <f t="shared" si="142"/>
        <v>0</v>
      </c>
      <c r="M60" s="11">
        <f t="shared" si="142"/>
        <v>0</v>
      </c>
      <c r="N60" s="11">
        <f t="shared" si="142"/>
        <v>0</v>
      </c>
      <c r="O60" s="11">
        <f t="shared" si="142"/>
        <v>0</v>
      </c>
      <c r="P60" s="11">
        <f t="shared" si="142"/>
        <v>0</v>
      </c>
      <c r="Q60" s="11">
        <f t="shared" si="142"/>
        <v>0</v>
      </c>
      <c r="R60" s="11">
        <f t="shared" si="142"/>
        <v>0</v>
      </c>
      <c r="S60" s="11">
        <f t="shared" si="142"/>
        <v>0</v>
      </c>
      <c r="T60" s="11">
        <f t="shared" si="142"/>
        <v>0</v>
      </c>
      <c r="U60" s="11">
        <f t="shared" si="142"/>
        <v>0</v>
      </c>
      <c r="V60" s="11">
        <f t="shared" si="142"/>
        <v>0</v>
      </c>
      <c r="W60" s="11">
        <f t="shared" si="142"/>
        <v>0</v>
      </c>
      <c r="X60" s="11">
        <f t="shared" si="142"/>
        <v>0</v>
      </c>
      <c r="Y60" s="11">
        <f t="shared" si="142"/>
        <v>0</v>
      </c>
      <c r="Z60" s="11">
        <f t="shared" si="142"/>
        <v>0</v>
      </c>
      <c r="AA60" s="11">
        <f t="shared" si="142"/>
        <v>13262200.969999999</v>
      </c>
      <c r="AB60" s="11">
        <f t="shared" si="142"/>
        <v>12061201.85</v>
      </c>
      <c r="AC60" s="11">
        <f t="shared" si="142"/>
        <v>15740155.210000001</v>
      </c>
      <c r="AD60" s="11">
        <f t="shared" si="142"/>
        <v>14536338.17</v>
      </c>
      <c r="AE60" s="11">
        <f t="shared" si="142"/>
        <v>19110713.379999999</v>
      </c>
      <c r="AF60" s="11">
        <f t="shared" si="142"/>
        <v>18233636.539999999</v>
      </c>
      <c r="AG60" s="11">
        <f t="shared" si="142"/>
        <v>25215340.440000001</v>
      </c>
      <c r="AH60" s="11">
        <f t="shared" si="142"/>
        <v>23207612.550000001</v>
      </c>
      <c r="AI60" s="11">
        <f t="shared" si="142"/>
        <v>29203856.959999997</v>
      </c>
      <c r="AJ60" s="11">
        <f t="shared" si="142"/>
        <v>26775644.379999999</v>
      </c>
      <c r="AK60" s="11">
        <f t="shared" si="142"/>
        <v>38663499.769999996</v>
      </c>
      <c r="AL60" s="11">
        <f t="shared" si="142"/>
        <v>35901055.93</v>
      </c>
      <c r="AM60" s="11">
        <f t="shared" si="142"/>
        <v>43441264.989999995</v>
      </c>
      <c r="AN60" s="11">
        <f t="shared" si="142"/>
        <v>41569523.630000003</v>
      </c>
      <c r="AO60" s="11">
        <f t="shared" si="142"/>
        <v>57560739.140000001</v>
      </c>
      <c r="AP60" s="11">
        <f t="shared" si="142"/>
        <v>49193412.469999999</v>
      </c>
      <c r="AQ60" s="11">
        <f t="shared" si="142"/>
        <v>66297418.950000003</v>
      </c>
      <c r="AR60" s="11">
        <f t="shared" si="142"/>
        <v>60936092</v>
      </c>
      <c r="AS60" s="11">
        <f t="shared" si="142"/>
        <v>56440471.469999999</v>
      </c>
      <c r="AT60" s="11">
        <f t="shared" si="142"/>
        <v>11408181.130000001</v>
      </c>
      <c r="AU60" s="11">
        <f t="shared" si="142"/>
        <v>0</v>
      </c>
      <c r="AV60" s="11">
        <f t="shared" si="142"/>
        <v>0</v>
      </c>
      <c r="AW60" s="11">
        <f t="shared" si="142"/>
        <v>0</v>
      </c>
      <c r="AX60" s="11">
        <f t="shared" si="142"/>
        <v>6766889.4500000002</v>
      </c>
      <c r="AY60" s="11">
        <f t="shared" si="142"/>
        <v>89455588.030000001</v>
      </c>
      <c r="AZ60" s="11">
        <f t="shared" si="142"/>
        <v>43792355.329999991</v>
      </c>
      <c r="BA60" s="11">
        <f t="shared" si="142"/>
        <v>8614313.7100000009</v>
      </c>
      <c r="BB60" s="11">
        <f t="shared" si="142"/>
        <v>0</v>
      </c>
      <c r="BC60" s="11">
        <f t="shared" si="142"/>
        <v>0</v>
      </c>
      <c r="BD60" s="11">
        <f t="shared" si="142"/>
        <v>0</v>
      </c>
      <c r="BE60" s="11">
        <f t="shared" si="142"/>
        <v>6423256.1700000009</v>
      </c>
      <c r="BF60" s="11">
        <f t="shared" si="142"/>
        <v>77144347.010000005</v>
      </c>
      <c r="BG60" s="11">
        <f t="shared" si="142"/>
        <v>70462751.620000005</v>
      </c>
      <c r="BH60" s="11">
        <f t="shared" si="142"/>
        <v>16232422.309999999</v>
      </c>
      <c r="BI60" s="11">
        <f t="shared" si="142"/>
        <v>0</v>
      </c>
      <c r="BJ60" s="11">
        <f t="shared" si="142"/>
        <v>0</v>
      </c>
      <c r="BK60" s="11">
        <f t="shared" si="142"/>
        <v>0</v>
      </c>
      <c r="BL60" s="11">
        <f t="shared" si="142"/>
        <v>7923273.0599999996</v>
      </c>
      <c r="BM60" s="11">
        <f t="shared" si="142"/>
        <v>101254298.65000001</v>
      </c>
      <c r="BN60" s="11">
        <f t="shared" si="142"/>
        <v>57989431.269999988</v>
      </c>
      <c r="BO60" s="11">
        <f t="shared" si="142"/>
        <v>11551346.68</v>
      </c>
      <c r="BP60" s="11">
        <f t="shared" si="142"/>
        <v>0</v>
      </c>
      <c r="BQ60" s="11">
        <f t="shared" ref="BQ60:DP60" si="143">SUM(BQ39:BQ58)</f>
        <v>0</v>
      </c>
      <c r="BR60" s="11">
        <f t="shared" si="143"/>
        <v>0</v>
      </c>
      <c r="BS60" s="11">
        <f t="shared" si="143"/>
        <v>7883824.879999999</v>
      </c>
      <c r="BT60" s="11">
        <f t="shared" si="143"/>
        <v>91062115.589999989</v>
      </c>
      <c r="BU60" s="11">
        <f t="shared" si="143"/>
        <v>99243404.510000005</v>
      </c>
      <c r="BV60" s="11">
        <f t="shared" si="143"/>
        <v>20963684.790000003</v>
      </c>
      <c r="BW60" s="11">
        <f t="shared" si="143"/>
        <v>5383.35</v>
      </c>
      <c r="BX60" s="11">
        <f t="shared" si="143"/>
        <v>0</v>
      </c>
      <c r="BY60" s="11">
        <f t="shared" si="143"/>
        <v>0</v>
      </c>
      <c r="BZ60" s="11">
        <f t="shared" si="143"/>
        <v>8670288.8600000013</v>
      </c>
      <c r="CA60" s="11">
        <f t="shared" si="143"/>
        <v>135887105.41000003</v>
      </c>
      <c r="CB60" s="11">
        <f t="shared" si="143"/>
        <v>82603389.580000013</v>
      </c>
      <c r="CC60" s="11">
        <f t="shared" si="143"/>
        <v>12198040.23</v>
      </c>
      <c r="CD60" s="11">
        <f t="shared" si="143"/>
        <v>0</v>
      </c>
      <c r="CE60" s="11">
        <f t="shared" si="143"/>
        <v>0</v>
      </c>
      <c r="CF60" s="11">
        <f t="shared" si="143"/>
        <v>0</v>
      </c>
      <c r="CG60" s="11">
        <f t="shared" si="143"/>
        <v>9418801.8000000007</v>
      </c>
      <c r="CH60" s="11">
        <f t="shared" si="143"/>
        <v>129819381.74999997</v>
      </c>
      <c r="CI60" s="11">
        <f t="shared" si="143"/>
        <v>109143834.08000004</v>
      </c>
      <c r="CJ60" s="11">
        <f t="shared" si="143"/>
        <v>24505028.949999996</v>
      </c>
      <c r="CK60" s="11">
        <f t="shared" si="143"/>
        <v>0</v>
      </c>
      <c r="CL60" s="11">
        <f t="shared" si="143"/>
        <v>0</v>
      </c>
      <c r="CM60" s="11">
        <f t="shared" si="143"/>
        <v>0</v>
      </c>
      <c r="CN60" s="11">
        <f t="shared" si="143"/>
        <v>11313291.709999999</v>
      </c>
      <c r="CO60" s="11">
        <f t="shared" si="143"/>
        <v>152370605.02999997</v>
      </c>
      <c r="CP60" s="11">
        <f t="shared" si="143"/>
        <v>85402640.149999991</v>
      </c>
      <c r="CQ60" s="11">
        <f t="shared" si="143"/>
        <v>15189243.260000002</v>
      </c>
      <c r="CR60" s="11">
        <f t="shared" si="143"/>
        <v>0</v>
      </c>
      <c r="CS60" s="11">
        <f t="shared" si="143"/>
        <v>0</v>
      </c>
      <c r="CT60" s="11">
        <f t="shared" si="143"/>
        <v>0</v>
      </c>
      <c r="CU60" s="11">
        <f t="shared" si="143"/>
        <v>17716771.709999997</v>
      </c>
      <c r="CV60" s="11">
        <f t="shared" si="143"/>
        <v>147507441.67999998</v>
      </c>
      <c r="CW60" s="11">
        <f t="shared" si="143"/>
        <v>97789117.090000004</v>
      </c>
      <c r="CX60" s="11">
        <f t="shared" si="143"/>
        <v>25649050.120000005</v>
      </c>
      <c r="CY60" s="11">
        <f t="shared" si="143"/>
        <v>156.04</v>
      </c>
      <c r="CZ60" s="11">
        <f t="shared" si="143"/>
        <v>0</v>
      </c>
      <c r="DA60" s="11">
        <f t="shared" si="143"/>
        <v>0</v>
      </c>
      <c r="DB60" s="11">
        <f t="shared" si="143"/>
        <v>13852460.450000001</v>
      </c>
      <c r="DC60" s="11">
        <f t="shared" si="143"/>
        <v>143517822.20000002</v>
      </c>
      <c r="DD60" s="11">
        <f t="shared" si="143"/>
        <v>91096876.909999952</v>
      </c>
      <c r="DE60" s="11">
        <f t="shared" si="143"/>
        <v>20976011.870000005</v>
      </c>
      <c r="DF60" s="11">
        <f t="shared" si="143"/>
        <v>156.04</v>
      </c>
      <c r="DG60" s="11">
        <f t="shared" si="143"/>
        <v>0</v>
      </c>
      <c r="DH60" s="11">
        <f t="shared" si="143"/>
        <v>0</v>
      </c>
      <c r="DI60" s="11">
        <f t="shared" si="143"/>
        <v>16530141.629999999</v>
      </c>
      <c r="DJ60" s="11">
        <f t="shared" si="143"/>
        <v>134995543.43000001</v>
      </c>
      <c r="DK60" s="11">
        <f t="shared" si="143"/>
        <v>117595107.79999998</v>
      </c>
      <c r="DL60" s="11">
        <f t="shared" si="143"/>
        <v>27543483.430000007</v>
      </c>
      <c r="DM60" s="11">
        <f t="shared" si="143"/>
        <v>89.23</v>
      </c>
      <c r="DN60" s="11">
        <f t="shared" si="143"/>
        <v>0</v>
      </c>
      <c r="DO60" s="11">
        <f t="shared" si="143"/>
        <v>0</v>
      </c>
      <c r="DP60" s="11">
        <f t="shared" si="143"/>
        <v>31716595.919999998</v>
      </c>
      <c r="DQ60" s="11">
        <f>SUM(DQ39:DQ58)</f>
        <v>176855276.38</v>
      </c>
      <c r="DR60" s="11">
        <f t="shared" ref="DR60:EL60" si="144">SUM(DR39:DR58)</f>
        <v>112057783.55999999</v>
      </c>
      <c r="DS60" s="11">
        <f t="shared" si="144"/>
        <v>23220206.437000003</v>
      </c>
      <c r="DT60" s="11">
        <f t="shared" si="144"/>
        <v>89.2</v>
      </c>
      <c r="DU60" s="11">
        <f t="shared" si="144"/>
        <v>0</v>
      </c>
      <c r="DV60" s="11">
        <f t="shared" si="144"/>
        <v>0</v>
      </c>
      <c r="DW60" s="11">
        <f t="shared" si="144"/>
        <v>29451200.138000004</v>
      </c>
      <c r="DX60" s="11">
        <f t="shared" si="144"/>
        <v>164900192.095</v>
      </c>
      <c r="DY60" s="11">
        <f t="shared" si="144"/>
        <v>128761177.66999999</v>
      </c>
      <c r="DZ60" s="11">
        <f t="shared" si="144"/>
        <v>25671531.690000001</v>
      </c>
      <c r="EA60" s="11">
        <f t="shared" si="144"/>
        <v>156.04</v>
      </c>
      <c r="EB60" s="11">
        <f t="shared" si="144"/>
        <v>0</v>
      </c>
      <c r="EC60" s="11">
        <f t="shared" si="144"/>
        <v>0</v>
      </c>
      <c r="ED60" s="11">
        <f t="shared" si="144"/>
        <v>22626650.920000006</v>
      </c>
      <c r="EE60" s="11">
        <f t="shared" si="144"/>
        <v>177059516.32000002</v>
      </c>
      <c r="EF60" s="11">
        <f t="shared" si="144"/>
        <v>124972093.84999998</v>
      </c>
      <c r="EG60" s="11">
        <f t="shared" si="144"/>
        <v>23015949.046000004</v>
      </c>
      <c r="EH60" s="11">
        <f t="shared" si="144"/>
        <v>156.04</v>
      </c>
      <c r="EI60" s="11">
        <f t="shared" si="144"/>
        <v>0</v>
      </c>
      <c r="EJ60" s="11">
        <f t="shared" si="144"/>
        <v>0</v>
      </c>
      <c r="EK60" s="11">
        <f t="shared" si="144"/>
        <v>21826801.693</v>
      </c>
      <c r="EL60" s="11">
        <f t="shared" si="144"/>
        <v>169995000.62900004</v>
      </c>
      <c r="EM60" s="11">
        <f>SUM(EM39:EM59)</f>
        <v>117659053.65000001</v>
      </c>
      <c r="EN60" s="11">
        <f t="shared" ref="EN60:FT60" si="145">SUM(EN39:EN59)</f>
        <v>32254723.170000009</v>
      </c>
      <c r="EO60" s="11">
        <f t="shared" si="145"/>
        <v>156.04</v>
      </c>
      <c r="EP60" s="11">
        <f t="shared" si="145"/>
        <v>0</v>
      </c>
      <c r="EQ60" s="11">
        <f t="shared" si="145"/>
        <v>0</v>
      </c>
      <c r="ER60" s="11">
        <f t="shared" si="145"/>
        <v>20018921.389999997</v>
      </c>
      <c r="ES60" s="11">
        <f>SUM(ES39:ES59)</f>
        <v>171784734.70999995</v>
      </c>
      <c r="ET60" s="11">
        <f t="shared" si="145"/>
        <v>114978936.53</v>
      </c>
      <c r="EU60" s="11">
        <f t="shared" si="145"/>
        <v>25849419.649999991</v>
      </c>
      <c r="EV60" s="11">
        <f t="shared" si="145"/>
        <v>156.04</v>
      </c>
      <c r="EW60" s="11">
        <f t="shared" si="145"/>
        <v>0</v>
      </c>
      <c r="EX60" s="11">
        <f t="shared" si="145"/>
        <v>0</v>
      </c>
      <c r="EY60" s="11">
        <f t="shared" si="145"/>
        <v>17073893.770000003</v>
      </c>
      <c r="EZ60" s="11">
        <f t="shared" si="145"/>
        <v>159734939.71999997</v>
      </c>
      <c r="FA60" s="11">
        <f t="shared" si="145"/>
        <v>112750096.24999999</v>
      </c>
      <c r="FB60" s="11">
        <f t="shared" si="145"/>
        <v>28330211.409999996</v>
      </c>
      <c r="FC60" s="11">
        <f t="shared" si="145"/>
        <v>156.04</v>
      </c>
      <c r="FD60" s="11">
        <f t="shared" si="145"/>
        <v>0</v>
      </c>
      <c r="FE60" s="11">
        <f t="shared" si="145"/>
        <v>0</v>
      </c>
      <c r="FF60" s="11">
        <f t="shared" si="145"/>
        <v>18461328.474000003</v>
      </c>
      <c r="FG60" s="11">
        <f t="shared" si="145"/>
        <v>159541792.17400002</v>
      </c>
      <c r="FH60" s="11">
        <f t="shared" si="145"/>
        <v>107107982.11999999</v>
      </c>
      <c r="FI60" s="11">
        <f t="shared" si="145"/>
        <v>24270540.469999995</v>
      </c>
      <c r="FJ60" s="11">
        <f t="shared" si="145"/>
        <v>156.04</v>
      </c>
      <c r="FK60" s="11">
        <f t="shared" si="145"/>
        <v>0</v>
      </c>
      <c r="FL60" s="11">
        <f t="shared" si="145"/>
        <v>0</v>
      </c>
      <c r="FM60" s="11">
        <f t="shared" si="145"/>
        <v>15519345.262000002</v>
      </c>
      <c r="FN60" s="11">
        <f t="shared" si="145"/>
        <v>147890378.36199999</v>
      </c>
      <c r="FO60" s="11">
        <f t="shared" si="145"/>
        <v>121789771.98</v>
      </c>
      <c r="FP60" s="11">
        <f t="shared" si="145"/>
        <v>30928636.50999999</v>
      </c>
      <c r="FQ60" s="11">
        <f t="shared" si="145"/>
        <v>0</v>
      </c>
      <c r="FR60" s="11">
        <f t="shared" si="145"/>
        <v>0</v>
      </c>
      <c r="FS60" s="11">
        <f t="shared" si="145"/>
        <v>0</v>
      </c>
      <c r="FT60" s="11">
        <f t="shared" si="145"/>
        <v>19978012.969999995</v>
      </c>
      <c r="FU60" s="11">
        <f t="shared" ref="FU60:GB60" si="146">SUM(FU39:FU59)</f>
        <v>172696421.46000004</v>
      </c>
      <c r="FV60" s="11">
        <f t="shared" si="146"/>
        <v>114662513.27000004</v>
      </c>
      <c r="FW60" s="11">
        <f t="shared" si="146"/>
        <v>25309412.150000006</v>
      </c>
      <c r="FX60" s="11">
        <f t="shared" si="146"/>
        <v>0</v>
      </c>
      <c r="FY60" s="11">
        <f t="shared" si="146"/>
        <v>0</v>
      </c>
      <c r="FZ60" s="11">
        <f t="shared" si="146"/>
        <v>0</v>
      </c>
      <c r="GA60" s="11">
        <f t="shared" si="146"/>
        <v>15645959.030000001</v>
      </c>
      <c r="GB60" s="11">
        <f t="shared" si="146"/>
        <v>155617884.44999999</v>
      </c>
      <c r="GC60" s="11">
        <f>SUM(GC39:GC59)</f>
        <v>1788918350.174</v>
      </c>
      <c r="GD60" s="11">
        <f>SUM(GD39:GD59)</f>
        <v>1661081742.2360003</v>
      </c>
      <c r="GE60" s="34"/>
      <c r="GG60" s="36"/>
      <c r="GH60" s="36"/>
      <c r="GI60" s="36"/>
      <c r="GJ60" s="36"/>
    </row>
    <row r="61" spans="1:192" s="5" customFormat="1" ht="12.75" x14ac:dyDescent="0.2">
      <c r="A61" s="247" t="s">
        <v>41</v>
      </c>
      <c r="B61" s="15" t="s">
        <v>152</v>
      </c>
      <c r="C61" s="1" t="s">
        <v>14</v>
      </c>
      <c r="D61" s="2">
        <v>40179</v>
      </c>
      <c r="E61" s="50"/>
      <c r="F61" s="50"/>
      <c r="G61" s="50"/>
      <c r="H61" s="50"/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148">
        <v>45560.960000000006</v>
      </c>
      <c r="AH61" s="148">
        <v>42685.529999999984</v>
      </c>
      <c r="AI61" s="148">
        <v>66721.27</v>
      </c>
      <c r="AJ61" s="148">
        <v>66356.38</v>
      </c>
      <c r="AK61" s="148">
        <v>92557.269899999956</v>
      </c>
      <c r="AL61" s="148">
        <v>92377.569999999992</v>
      </c>
      <c r="AM61" s="148">
        <v>103397.18000000004</v>
      </c>
      <c r="AN61" s="148">
        <v>120281.59000000005</v>
      </c>
      <c r="AO61" s="148">
        <v>101608.17000000001</v>
      </c>
      <c r="AP61" s="148">
        <v>82200.23000000001</v>
      </c>
      <c r="AQ61" s="148">
        <v>116071.89</v>
      </c>
      <c r="AR61" s="148">
        <v>115454.10999999999</v>
      </c>
      <c r="AS61" s="148">
        <v>100516.26000000001</v>
      </c>
      <c r="AT61" s="148">
        <v>23890.229999999996</v>
      </c>
      <c r="AU61" s="148">
        <v>0</v>
      </c>
      <c r="AV61" s="148">
        <v>3178.05</v>
      </c>
      <c r="AW61" s="148">
        <v>0</v>
      </c>
      <c r="AX61" s="148">
        <v>657.79000000000008</v>
      </c>
      <c r="AY61" s="10">
        <f t="shared" ref="AY61:AY71" si="147">SUM(AS61:AX61)</f>
        <v>128242.33</v>
      </c>
      <c r="AZ61" s="148">
        <v>105182.28000000001</v>
      </c>
      <c r="BA61" s="148">
        <v>22950.89</v>
      </c>
      <c r="BB61" s="148">
        <v>0</v>
      </c>
      <c r="BC61" s="148">
        <v>3178.0499999999997</v>
      </c>
      <c r="BD61" s="148">
        <v>0</v>
      </c>
      <c r="BE61" s="148">
        <v>401.98</v>
      </c>
      <c r="BF61" s="10">
        <f t="shared" ref="BF61:BF71" si="148">SUM(AZ61:BE61)</f>
        <v>131713.20000000001</v>
      </c>
      <c r="BG61" s="148">
        <v>114504.31999999999</v>
      </c>
      <c r="BH61" s="148">
        <v>27082.52</v>
      </c>
      <c r="BI61" s="148">
        <v>0</v>
      </c>
      <c r="BJ61" s="148">
        <v>6356.09</v>
      </c>
      <c r="BK61" s="148">
        <v>0</v>
      </c>
      <c r="BL61" s="148">
        <v>615.71999999999991</v>
      </c>
      <c r="BM61" s="10">
        <f>SUM(BG61:BL61)</f>
        <v>148558.65</v>
      </c>
      <c r="BN61" s="148">
        <v>114165.51</v>
      </c>
      <c r="BO61" s="148">
        <v>24289.050000000007</v>
      </c>
      <c r="BP61" s="148">
        <v>0</v>
      </c>
      <c r="BQ61" s="148">
        <v>1589.02</v>
      </c>
      <c r="BR61" s="148">
        <v>0</v>
      </c>
      <c r="BS61" s="148">
        <v>510.86999999999995</v>
      </c>
      <c r="BT61" s="10">
        <f>SUM(BN61:BS61)</f>
        <v>140554.44999999998</v>
      </c>
      <c r="BU61" s="148">
        <v>113296.27999999998</v>
      </c>
      <c r="BV61" s="148">
        <v>23549.279999999999</v>
      </c>
      <c r="BW61" s="148">
        <v>0</v>
      </c>
      <c r="BX61" s="148">
        <v>0</v>
      </c>
      <c r="BY61" s="148">
        <v>0</v>
      </c>
      <c r="BZ61" s="148">
        <v>862.43999999999994</v>
      </c>
      <c r="CA61" s="10">
        <f t="shared" si="65"/>
        <v>137708</v>
      </c>
      <c r="CB61" s="148">
        <v>113448.73999999999</v>
      </c>
      <c r="CC61" s="148">
        <v>21527.420000000002</v>
      </c>
      <c r="CD61" s="148">
        <v>0</v>
      </c>
      <c r="CE61" s="148">
        <v>0</v>
      </c>
      <c r="CF61" s="148">
        <v>0</v>
      </c>
      <c r="CG61" s="148">
        <v>1094.92</v>
      </c>
      <c r="CH61" s="10">
        <f t="shared" ref="CH61:CH72" si="149">SUM(CB61:CG61)</f>
        <v>136071.08000000002</v>
      </c>
      <c r="CI61" s="148">
        <f>'[37]CRH MG 2021'!CI5</f>
        <v>113296.28</v>
      </c>
      <c r="CJ61" s="148">
        <f>'[37]CRH MG 2021'!CJ5</f>
        <v>23766.239999999994</v>
      </c>
      <c r="CK61" s="148">
        <f>'[37]CRH MG 2021'!CK5</f>
        <v>0</v>
      </c>
      <c r="CL61" s="148">
        <f>'[37]CRH MG 2021'!CL5</f>
        <v>0</v>
      </c>
      <c r="CM61" s="148">
        <f>'[37]CRH MG 2021'!CM5</f>
        <v>0</v>
      </c>
      <c r="CN61" s="148">
        <f>'[37]CRH MG 2021'!CN5</f>
        <v>2275.88</v>
      </c>
      <c r="CO61" s="10">
        <f>SUM(CI61:CN61)</f>
        <v>139338.4</v>
      </c>
      <c r="CP61" s="148">
        <f>'[37]CRH MG 2021'!CP5</f>
        <v>109142.35999999999</v>
      </c>
      <c r="CQ61" s="148">
        <f>'[37]CRH MG 2021'!CQ5</f>
        <v>24302.81</v>
      </c>
      <c r="CR61" s="148">
        <f>'[37]CRH MG 2021'!CR5</f>
        <v>0</v>
      </c>
      <c r="CS61" s="148">
        <f>'[37]CRH MG 2021'!CS5</f>
        <v>0</v>
      </c>
      <c r="CT61" s="148">
        <f>'[37]CRH MG 2021'!CT5</f>
        <v>0</v>
      </c>
      <c r="CU61" s="148">
        <f>'[37]CRH MG 2021'!CU5</f>
        <v>1195.23</v>
      </c>
      <c r="CV61" s="10">
        <f>SUM(CP61:CU61)</f>
        <v>134640.4</v>
      </c>
      <c r="CW61" s="150">
        <f>'[37]CRH MG 2021'!CW5</f>
        <v>99134.25999999998</v>
      </c>
      <c r="CX61" s="150">
        <f>'[37]CRH MG 2021'!CX5</f>
        <v>20828.510000000002</v>
      </c>
      <c r="CY61" s="150">
        <f>'[37]CRH MG 2021'!CY5</f>
        <v>0</v>
      </c>
      <c r="CZ61" s="150">
        <f>'[37]CRH MG 2021'!CZ5</f>
        <v>0</v>
      </c>
      <c r="DA61" s="150">
        <f>'[37]CRH MG 2021'!DA5</f>
        <v>0</v>
      </c>
      <c r="DB61" s="150">
        <f>'[37]CRH MG 2021'!DB5</f>
        <v>879.34999999999991</v>
      </c>
      <c r="DC61" s="150">
        <f>'[37]CRH MG 2021'!DC5</f>
        <v>120842.12</v>
      </c>
      <c r="DD61" s="150">
        <f>'[37]CRH MG 2021'!DD5</f>
        <v>99547.48</v>
      </c>
      <c r="DE61" s="150">
        <f>'[37]CRH MG 2021'!DE5</f>
        <v>15067.95</v>
      </c>
      <c r="DF61" s="150">
        <f>'[37]CRH MG 2021'!DF5</f>
        <v>0</v>
      </c>
      <c r="DG61" s="150">
        <f>'[37]CRH MG 2021'!DG5</f>
        <v>0</v>
      </c>
      <c r="DH61" s="150">
        <f>'[37]CRH MG 2021'!DH5</f>
        <v>0</v>
      </c>
      <c r="DI61" s="150">
        <f>'[37]CRH MG 2021'!DI5</f>
        <v>225.45</v>
      </c>
      <c r="DJ61" s="10">
        <f>SUM(DD61:DI61)</f>
        <v>114840.87999999999</v>
      </c>
      <c r="DK61" s="10">
        <f>'[37]CRH MG 2021'!DK5</f>
        <v>42486.12</v>
      </c>
      <c r="DL61" s="10">
        <f>'[37]CRH MG 2021'!DL5</f>
        <v>19976.7</v>
      </c>
      <c r="DM61" s="10">
        <f>'[37]CRH MG 2021'!DM5</f>
        <v>0</v>
      </c>
      <c r="DN61" s="10">
        <f>'[37]CRH MG 2021'!DN5</f>
        <v>2676.43</v>
      </c>
      <c r="DO61" s="10">
        <f>'[37]CRH MG 2021'!DO5</f>
        <v>0</v>
      </c>
      <c r="DP61" s="10">
        <f>'[37]CRH MG 2021'!DP5</f>
        <v>5074.6899999999996</v>
      </c>
      <c r="DQ61" s="10">
        <f>SUM(DK61:DP61)</f>
        <v>70213.94</v>
      </c>
      <c r="DR61" s="10">
        <f>'[37]CRH MG 2021'!DR5</f>
        <v>42615.93</v>
      </c>
      <c r="DS61" s="10">
        <f>'[37]CRH MG 2021'!DS5</f>
        <v>11089.489999999998</v>
      </c>
      <c r="DT61" s="10">
        <f>'[37]CRH MG 2021'!DT5</f>
        <v>0</v>
      </c>
      <c r="DU61" s="10">
        <f>'[37]CRH MG 2021'!DU5</f>
        <v>0</v>
      </c>
      <c r="DV61" s="10">
        <f>'[37]CRH MG 2021'!DV5</f>
        <v>0</v>
      </c>
      <c r="DW61" s="10">
        <f>'[37]CRH MG 2021'!DW5</f>
        <v>0</v>
      </c>
      <c r="DX61" s="10">
        <f>SUM(DR61:DW61)</f>
        <v>53705.42</v>
      </c>
      <c r="DY61" s="10">
        <f>'[38]Pro gestao cobranca tabela 1'!$Q$4</f>
        <v>31257.45</v>
      </c>
      <c r="DZ61" s="10">
        <f>'[38]Pro gestao cobranca tabela 1'!$Q$5</f>
        <v>21687.670000000002</v>
      </c>
      <c r="EA61" s="10">
        <f>'[38]Pro gestao cobranca tabela 1'!$Q$6</f>
        <v>0</v>
      </c>
      <c r="EB61" s="10">
        <f>'[38]Pro gestao cobranca tabela 1'!$Q$7</f>
        <v>34587.049999999996</v>
      </c>
      <c r="EC61" s="10">
        <f>'[38]Pro gestao cobranca tabela 1'!$Q$8</f>
        <v>0</v>
      </c>
      <c r="ED61" s="10">
        <f>'[38]Pro gestao cobranca tabela 1'!$Q$9</f>
        <v>6327.9699999999993</v>
      </c>
      <c r="EE61" s="10">
        <f>SUM(DY61:ED61)</f>
        <v>93860.14</v>
      </c>
      <c r="EF61" s="10">
        <f>'[38]Pro gestao cobranca tabela 1'!$Q$11</f>
        <v>31257.480000000007</v>
      </c>
      <c r="EG61" s="10">
        <f>'[38]Pro gestao cobranca tabela 1'!$Q$12</f>
        <v>945.05</v>
      </c>
      <c r="EH61" s="10">
        <f>'[38]Pro gestao cobranca tabela 1'!$Q$13</f>
        <v>0</v>
      </c>
      <c r="EI61" s="10">
        <f>'[38]Pro gestao cobranca tabela 1'!$Q$14</f>
        <v>0</v>
      </c>
      <c r="EJ61" s="10">
        <f>'[38]Pro gestao cobranca tabela 1'!$Q$15</f>
        <v>0</v>
      </c>
      <c r="EK61" s="10">
        <f>'[38]Pro gestao cobranca tabela 1'!$Q$16</f>
        <v>1560.56</v>
      </c>
      <c r="EL61" s="10">
        <f>SUM(EF61:EK61)</f>
        <v>33763.090000000004</v>
      </c>
      <c r="EM61" s="10">
        <f>[26]MG!$R$4</f>
        <v>94260.64</v>
      </c>
      <c r="EN61" s="10">
        <f>[26]MG!$R$5</f>
        <v>33798.839999999997</v>
      </c>
      <c r="EO61" s="10">
        <f>[26]MG!$R$6</f>
        <v>0</v>
      </c>
      <c r="EP61" s="10">
        <f>[26]MG!$R$7</f>
        <v>33489.49</v>
      </c>
      <c r="EQ61" s="10">
        <f>[26]MG!$R$8</f>
        <v>0</v>
      </c>
      <c r="ER61" s="10">
        <f>[26]MG!$R$9</f>
        <v>7742.7599999999984</v>
      </c>
      <c r="ES61" s="10">
        <f t="shared" ref="ES61:ES68" si="150">SUM(EM61:ER61)</f>
        <v>169291.73</v>
      </c>
      <c r="ET61" s="10">
        <f>[26]MG!$R$11</f>
        <v>94260.59</v>
      </c>
      <c r="EU61" s="10">
        <f>[26]MG!$R$12</f>
        <v>16624.27</v>
      </c>
      <c r="EV61" s="10">
        <f>[26]MG!$R$13</f>
        <v>0</v>
      </c>
      <c r="EW61" s="10">
        <f>[26]MG!$R$14</f>
        <v>0</v>
      </c>
      <c r="EX61" s="10">
        <f>[26]MG!$R$15</f>
        <v>0</v>
      </c>
      <c r="EY61" s="10">
        <f>[26]MG!$R$16</f>
        <v>958.72</v>
      </c>
      <c r="EZ61" s="10">
        <f>SUM(ET61:EY61)</f>
        <v>111843.58</v>
      </c>
      <c r="FA61" s="172">
        <f>[27]MG!$R$45</f>
        <v>53026.35</v>
      </c>
      <c r="FB61" s="172">
        <f>[27]MG!$S$45</f>
        <v>38597.46</v>
      </c>
      <c r="FC61" s="172"/>
      <c r="FD61" s="172">
        <f>[27]MG!$Q$45</f>
        <v>21578.81</v>
      </c>
      <c r="FE61" s="172"/>
      <c r="FF61" s="172">
        <f>[27]MG!$T$45</f>
        <v>12084.12</v>
      </c>
      <c r="FG61" s="10">
        <f t="shared" si="128"/>
        <v>125286.73999999999</v>
      </c>
      <c r="FH61" s="172">
        <f>[27]MG!$V$45</f>
        <v>52535.37</v>
      </c>
      <c r="FI61" s="172">
        <f>[27]MG!$W$45</f>
        <v>28591.759999999998</v>
      </c>
      <c r="FJ61" s="172"/>
      <c r="FK61" s="172">
        <f>[27]MG!$U$45</f>
        <v>0</v>
      </c>
      <c r="FL61" s="172"/>
      <c r="FM61" s="172">
        <f>[27]MG!$X$45</f>
        <v>2221.08</v>
      </c>
      <c r="FN61" s="10">
        <f t="shared" si="116"/>
        <v>83348.210000000006</v>
      </c>
      <c r="FO61" s="10">
        <f>[28]MG!R33</f>
        <v>70782.98</v>
      </c>
      <c r="FP61" s="10">
        <f>[28]MG!S33</f>
        <v>47081.75</v>
      </c>
      <c r="FQ61" s="10"/>
      <c r="FR61" s="10">
        <f>[28]MG!Q33</f>
        <v>1154.04</v>
      </c>
      <c r="FS61" s="10"/>
      <c r="FT61" s="10">
        <f>[28]MG!T33</f>
        <v>19313.96</v>
      </c>
      <c r="FU61" s="10">
        <f t="shared" ref="FU61:FU96" si="151">SUM(FO61:FT61)</f>
        <v>138332.72999999998</v>
      </c>
      <c r="FV61" s="10">
        <f>[28]MG!V33</f>
        <v>23214.44</v>
      </c>
      <c r="FW61" s="10">
        <f>[28]MG!W33</f>
        <v>32751.59</v>
      </c>
      <c r="FX61" s="10"/>
      <c r="FY61" s="10">
        <f>[28]MG!U33</f>
        <v>235.73</v>
      </c>
      <c r="FZ61" s="10"/>
      <c r="GA61" s="10">
        <f>[28]MG!X33</f>
        <v>8900.6</v>
      </c>
      <c r="GB61" s="10">
        <f>SUM(FV61:GA61)</f>
        <v>65102.36</v>
      </c>
      <c r="GC61" s="149">
        <f>AG61+AI61+AK61+AM61+AO61+AQ61+AY61+BM61+CA61+CO61+DC61+DQ61+EE61+ES61+FG61+FU61</f>
        <v>1797591.5198999997</v>
      </c>
      <c r="GD61" s="149">
        <f>AH61+AJ61+AL61+AN61+AP61+AR61+BF61+BT61+CH61+CV61+DJ61+DX61+EL61+EZ61+FN61+GB61</f>
        <v>1524938.08</v>
      </c>
      <c r="GE61" s="217" t="s">
        <v>17</v>
      </c>
      <c r="GG61" s="36"/>
      <c r="GH61" s="36"/>
      <c r="GI61" s="36"/>
      <c r="GJ61" s="36"/>
    </row>
    <row r="62" spans="1:192" s="5" customFormat="1" ht="12.75" x14ac:dyDescent="0.2">
      <c r="A62" s="247"/>
      <c r="B62" s="15" t="s">
        <v>117</v>
      </c>
      <c r="C62" s="1" t="s">
        <v>14</v>
      </c>
      <c r="D62" s="2">
        <v>40179</v>
      </c>
      <c r="E62" s="50"/>
      <c r="F62" s="50"/>
      <c r="G62" s="50"/>
      <c r="H62" s="50"/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148">
        <v>7915403.9300000267</v>
      </c>
      <c r="AH62" s="148">
        <v>7235041.8600000162</v>
      </c>
      <c r="AI62" s="148">
        <v>9099029.1000000294</v>
      </c>
      <c r="AJ62" s="148">
        <v>7891625.6399999997</v>
      </c>
      <c r="AK62" s="148">
        <v>8809480.5972000062</v>
      </c>
      <c r="AL62" s="148">
        <v>7233001.8900000043</v>
      </c>
      <c r="AM62" s="148">
        <v>12281698.840000032</v>
      </c>
      <c r="AN62" s="148">
        <v>9322671.1200000178</v>
      </c>
      <c r="AO62" s="148">
        <v>10788273.900000019</v>
      </c>
      <c r="AP62" s="148">
        <v>9376428.8400000036</v>
      </c>
      <c r="AQ62" s="148">
        <v>11731476.530000007</v>
      </c>
      <c r="AR62" s="148">
        <v>10047356.369999994</v>
      </c>
      <c r="AS62" s="148">
        <v>7149544.6199999927</v>
      </c>
      <c r="AT62" s="148">
        <v>846808.56</v>
      </c>
      <c r="AU62" s="148">
        <v>1722056.25</v>
      </c>
      <c r="AV62" s="148">
        <v>229792.33999999959</v>
      </c>
      <c r="AW62" s="148">
        <v>0</v>
      </c>
      <c r="AX62" s="148">
        <v>480460.27000000101</v>
      </c>
      <c r="AY62" s="10">
        <f t="shared" si="147"/>
        <v>10428662.039999994</v>
      </c>
      <c r="AZ62" s="148">
        <v>6009366.0499999933</v>
      </c>
      <c r="BA62" s="148">
        <v>767726.34999999928</v>
      </c>
      <c r="BB62" s="148">
        <v>2209392.5900000008</v>
      </c>
      <c r="BC62" s="148">
        <v>159422.98999999996</v>
      </c>
      <c r="BD62" s="148">
        <v>0</v>
      </c>
      <c r="BE62" s="148">
        <v>407776.7900000005</v>
      </c>
      <c r="BF62" s="10">
        <f t="shared" si="148"/>
        <v>9553684.7699999958</v>
      </c>
      <c r="BG62" s="148">
        <v>7512545.46</v>
      </c>
      <c r="BH62" s="148">
        <v>825119.76</v>
      </c>
      <c r="BI62" s="148">
        <v>1858779.8700000008</v>
      </c>
      <c r="BJ62" s="148">
        <v>215449.91000000003</v>
      </c>
      <c r="BK62" s="148">
        <v>0</v>
      </c>
      <c r="BL62" s="148">
        <v>449707.88999999891</v>
      </c>
      <c r="BM62" s="10">
        <f t="shared" ref="BM62:BM72" si="152">SUM(BG62:BL62)</f>
        <v>10861602.889999999</v>
      </c>
      <c r="BN62" s="148">
        <v>6087149.5699999984</v>
      </c>
      <c r="BO62" s="148">
        <v>782974.33000000019</v>
      </c>
      <c r="BP62" s="148">
        <v>1286468.040000001</v>
      </c>
      <c r="BQ62" s="148">
        <v>120502.53999999998</v>
      </c>
      <c r="BR62" s="148">
        <v>0</v>
      </c>
      <c r="BS62" s="148">
        <v>357610.9999999986</v>
      </c>
      <c r="BT62" s="10">
        <f t="shared" ref="BT62:BT72" si="153">SUM(BN62:BS62)</f>
        <v>8634705.4799999986</v>
      </c>
      <c r="BU62" s="148">
        <v>8854549.9500000011</v>
      </c>
      <c r="BV62" s="148">
        <v>808617.96</v>
      </c>
      <c r="BW62" s="148">
        <v>784685.01999999932</v>
      </c>
      <c r="BX62" s="148">
        <v>169409.33000000005</v>
      </c>
      <c r="BY62" s="148">
        <v>0</v>
      </c>
      <c r="BZ62" s="148">
        <v>303766.90000000002</v>
      </c>
      <c r="CA62" s="10">
        <f t="shared" si="65"/>
        <v>10921029.16</v>
      </c>
      <c r="CB62" s="148">
        <v>5896651.8040171629</v>
      </c>
      <c r="CC62" s="148">
        <v>783692.22227211646</v>
      </c>
      <c r="CD62" s="148">
        <v>691641.82999999949</v>
      </c>
      <c r="CE62" s="148">
        <v>133518.59999999995</v>
      </c>
      <c r="CF62" s="148">
        <v>0</v>
      </c>
      <c r="CG62" s="148">
        <v>298749.39999999973</v>
      </c>
      <c r="CH62" s="10">
        <f t="shared" si="149"/>
        <v>7804253.8562892778</v>
      </c>
      <c r="CI62" s="148">
        <f>'[37]CRH MG 2021'!CI6</f>
        <v>9271504.2700000033</v>
      </c>
      <c r="CJ62" s="148">
        <f>'[37]CRH MG 2021'!CJ6</f>
        <v>781793.64000000036</v>
      </c>
      <c r="CK62" s="148">
        <f>'[37]CRH MG 2021'!CK6</f>
        <v>925648.82999999984</v>
      </c>
      <c r="CL62" s="148">
        <f>'[37]CRH MG 2021'!CL6</f>
        <v>151665.55999999988</v>
      </c>
      <c r="CM62" s="148">
        <f>'[37]CRH MG 2021'!CM6</f>
        <v>0</v>
      </c>
      <c r="CN62" s="148">
        <f>'[37]CRH MG 2021'!CN6</f>
        <v>312413.04999999941</v>
      </c>
      <c r="CO62" s="10">
        <f t="shared" ref="CO62:CO72" si="154">SUM(CI62:CN62)</f>
        <v>11443025.350000003</v>
      </c>
      <c r="CP62" s="148">
        <f>'[37]CRH MG 2021'!CP6</f>
        <v>6009105.6605867762</v>
      </c>
      <c r="CQ62" s="148">
        <f>'[37]CRH MG 2021'!CQ6</f>
        <v>784737.52045865136</v>
      </c>
      <c r="CR62" s="148">
        <f>'[37]CRH MG 2021'!CR6</f>
        <v>1263908.2299999997</v>
      </c>
      <c r="CS62" s="148">
        <f>'[37]CRH MG 2021'!CS6</f>
        <v>126797.94999999992</v>
      </c>
      <c r="CT62" s="148">
        <f>'[37]CRH MG 2021'!CT6</f>
        <v>0</v>
      </c>
      <c r="CU62" s="148">
        <f>'[37]CRH MG 2021'!CU6</f>
        <v>307982.99023460894</v>
      </c>
      <c r="CV62" s="10">
        <f t="shared" ref="CV62:CV72" si="155">SUM(CP62:CU62)</f>
        <v>8492532.3512800373</v>
      </c>
      <c r="CW62" s="150">
        <f>'[37]CRH MG 2021'!CW6</f>
        <v>6600004.0199999986</v>
      </c>
      <c r="CX62" s="150">
        <f>'[37]CRH MG 2021'!CX6</f>
        <v>691124.13000000024</v>
      </c>
      <c r="CY62" s="150">
        <f>'[37]CRH MG 2021'!CY6</f>
        <v>1380266.5300000003</v>
      </c>
      <c r="CZ62" s="150">
        <f>'[37]CRH MG 2021'!CZ6</f>
        <v>98050.589999999982</v>
      </c>
      <c r="DA62" s="150">
        <f>'[37]CRH MG 2021'!DA6</f>
        <v>0</v>
      </c>
      <c r="DB62" s="150">
        <f>'[37]CRH MG 2021'!DB6</f>
        <v>279064.32999999978</v>
      </c>
      <c r="DC62" s="150">
        <f>'[37]CRH MG 2021'!DC6</f>
        <v>9048509.5999999996</v>
      </c>
      <c r="DD62" s="150">
        <f>'[37]CRH MG 2021'!DD6</f>
        <v>5165997.4175620647</v>
      </c>
      <c r="DE62" s="150">
        <f>'[37]CRH MG 2021'!DE6</f>
        <v>588966.26</v>
      </c>
      <c r="DF62" s="150">
        <f>'[37]CRH MG 2021'!DF6</f>
        <v>1174829.6800000004</v>
      </c>
      <c r="DG62" s="150">
        <f>'[37]CRH MG 2021'!DG6</f>
        <v>88212.780000000028</v>
      </c>
      <c r="DH62" s="150">
        <f>'[37]CRH MG 2021'!DH6</f>
        <v>0</v>
      </c>
      <c r="DI62" s="150">
        <f>'[37]CRH MG 2021'!DI6</f>
        <v>233768.15199999994</v>
      </c>
      <c r="DJ62" s="10">
        <f t="shared" ref="DJ62:DJ72" si="156">SUM(DD62:DI62)</f>
        <v>7251774.2895620652</v>
      </c>
      <c r="DK62" s="10">
        <f>'[37]CRH MG 2021'!DK6</f>
        <v>7522889.5999999959</v>
      </c>
      <c r="DL62" s="10">
        <f>'[37]CRH MG 2021'!DL6</f>
        <v>366786.23000000016</v>
      </c>
      <c r="DM62" s="10">
        <f>'[37]CRH MG 2021'!DM6</f>
        <v>1188386.43</v>
      </c>
      <c r="DN62" s="10">
        <f>'[37]CRH MG 2021'!DN6</f>
        <v>73690.5</v>
      </c>
      <c r="DO62" s="10">
        <f>'[37]CRH MG 2021'!DO6</f>
        <v>0</v>
      </c>
      <c r="DP62" s="10">
        <f>'[37]CRH MG 2021'!DP6</f>
        <v>1091552.06</v>
      </c>
      <c r="DQ62" s="10">
        <f t="shared" ref="DQ62:DQ72" si="157">SUM(DK62:DP62)</f>
        <v>10243304.819999997</v>
      </c>
      <c r="DR62" s="10">
        <f>'[37]CRH MG 2021'!DR6</f>
        <v>6687792.2815895071</v>
      </c>
      <c r="DS62" s="10">
        <f>'[37]CRH MG 2021'!DS6</f>
        <v>356410.0400000001</v>
      </c>
      <c r="DT62" s="10">
        <f>'[37]CRH MG 2021'!DT6</f>
        <v>903492.19000000006</v>
      </c>
      <c r="DU62" s="10">
        <f>'[37]CRH MG 2021'!DU6</f>
        <v>27547.750000000007</v>
      </c>
      <c r="DV62" s="10">
        <f>'[37]CRH MG 2021'!DV6</f>
        <v>0</v>
      </c>
      <c r="DW62" s="10">
        <f>'[37]CRH MG 2021'!DW6</f>
        <v>241216.66999999993</v>
      </c>
      <c r="DX62" s="10">
        <f t="shared" ref="DX62:DX72" si="158">SUM(DR62:DW62)</f>
        <v>8216458.9315895075</v>
      </c>
      <c r="DY62" s="10">
        <f>'[38]Pro gestao cobranca tabela 1'!$Q$18</f>
        <v>6099547.7800000021</v>
      </c>
      <c r="DZ62" s="10">
        <f>'[38]Pro gestao cobranca tabela 1'!$Q$19</f>
        <v>1256079.5399999998</v>
      </c>
      <c r="EA62" s="10">
        <f>'[38]Pro gestao cobranca tabela 1'!$Q$20</f>
        <v>1690296.66</v>
      </c>
      <c r="EB62" s="10">
        <f>'[38]Pro gestao cobranca tabela 1'!$Q$21</f>
        <v>140684.91999999995</v>
      </c>
      <c r="EC62" s="10">
        <f>'[38]Pro gestao cobranca tabela 1'!$Q$22</f>
        <v>0</v>
      </c>
      <c r="ED62" s="10">
        <f>'[38]Pro gestao cobranca tabela 1'!$Q$23</f>
        <v>714648.45000000007</v>
      </c>
      <c r="EE62" s="10">
        <f t="shared" ref="EE62:EE72" si="159">SUM(DY62:ED62)</f>
        <v>9901257.3500000015</v>
      </c>
      <c r="EF62" s="10">
        <f>'[38]Pro gestao cobranca tabela 1'!$Q$25</f>
        <v>5494999.2599999951</v>
      </c>
      <c r="EG62" s="10">
        <f>'[38]Pro gestao cobranca tabela 1'!$Q$26</f>
        <v>792222.01000000013</v>
      </c>
      <c r="EH62" s="10">
        <f>'[38]Pro gestao cobranca tabela 1'!$Q$27</f>
        <v>1609535.3800000004</v>
      </c>
      <c r="EI62" s="10">
        <f>'[38]Pro gestao cobranca tabela 1'!$Q$28</f>
        <v>24246.920000000006</v>
      </c>
      <c r="EJ62" s="10">
        <f>'[38]Pro gestao cobranca tabela 1'!$Q$29</f>
        <v>0</v>
      </c>
      <c r="EK62" s="10">
        <f>'[38]Pro gestao cobranca tabela 1'!$Q$30</f>
        <v>316850.60000000009</v>
      </c>
      <c r="EL62" s="10">
        <f t="shared" ref="EL62:EL72" si="160">SUM(EF62:EK62)</f>
        <v>8237854.1699999943</v>
      </c>
      <c r="EM62" s="10">
        <f>[26]MG!$R$18</f>
        <v>6174427.8899999987</v>
      </c>
      <c r="EN62" s="10">
        <f>[26]MG!$R$19</f>
        <v>1347137.2600000007</v>
      </c>
      <c r="EO62" s="10">
        <f>[26]MG!$R$20</f>
        <v>1553724.0499999998</v>
      </c>
      <c r="EP62" s="10">
        <f>[26]MG!$R$21</f>
        <v>308650.10999999975</v>
      </c>
      <c r="EQ62" s="10">
        <f>[26]MG!$R$22</f>
        <v>0</v>
      </c>
      <c r="ER62" s="10">
        <f>[26]MG!$R$23</f>
        <v>2824365.9299999997</v>
      </c>
      <c r="ES62" s="10">
        <f t="shared" si="150"/>
        <v>12208305.239999998</v>
      </c>
      <c r="ET62" s="10">
        <f>[26]MG!$R$25</f>
        <v>4983647.2199999942</v>
      </c>
      <c r="EU62" s="10">
        <f>[26]MG!$R$26</f>
        <v>734020.97000000044</v>
      </c>
      <c r="EV62" s="10">
        <f>[26]MG!$R$27</f>
        <v>1295851.7999999998</v>
      </c>
      <c r="EW62" s="10">
        <f>[26]MG!$R$28</f>
        <v>89117.689999999973</v>
      </c>
      <c r="EX62" s="10">
        <f>[26]MG!$R$29</f>
        <v>0</v>
      </c>
      <c r="EY62" s="10">
        <f>[26]MG!$R$30</f>
        <v>2033031.0599999991</v>
      </c>
      <c r="EZ62" s="10">
        <f t="shared" ref="EZ62:EZ68" si="161">SUM(ET62:EY62)</f>
        <v>9135668.7399999946</v>
      </c>
      <c r="FA62" s="172">
        <f>[27]MG!$R$18</f>
        <v>10824365.85</v>
      </c>
      <c r="FB62" s="172">
        <f>[27]MG!$S$18</f>
        <v>4139581.16</v>
      </c>
      <c r="FC62" s="172"/>
      <c r="FD62" s="172">
        <f>[27]MG!$Q$18</f>
        <v>892258.57</v>
      </c>
      <c r="FE62" s="172"/>
      <c r="FF62" s="172">
        <f>[27]MG!$T$18</f>
        <v>5060105.8600000003</v>
      </c>
      <c r="FG62" s="10">
        <f t="shared" ref="FG62:FG63" si="162">SUM(FA62:FF62)</f>
        <v>20916311.440000001</v>
      </c>
      <c r="FH62" s="172">
        <f>[27]MG!$V$18</f>
        <v>9145243.5999999996</v>
      </c>
      <c r="FI62" s="172">
        <f>[27]MG!$W$18</f>
        <v>2901591.27</v>
      </c>
      <c r="FJ62" s="172"/>
      <c r="FK62" s="172">
        <f>[27]MG!$U$18</f>
        <v>274737.83</v>
      </c>
      <c r="FL62" s="172"/>
      <c r="FM62" s="172">
        <f>[27]MG!$X$18</f>
        <v>1144534.94</v>
      </c>
      <c r="FN62" s="10">
        <f t="shared" ref="FN62:FN63" si="163">SUM(FH62:FM62)</f>
        <v>13466107.639999999</v>
      </c>
      <c r="FO62" s="10">
        <f>[28]MG!R43</f>
        <v>23346823.780000001</v>
      </c>
      <c r="FP62" s="10">
        <f>[28]MG!S43</f>
        <v>3763526.58</v>
      </c>
      <c r="FQ62" s="10"/>
      <c r="FR62" s="10">
        <f>[28]MG!Q43</f>
        <v>1820284.67</v>
      </c>
      <c r="FS62" s="10"/>
      <c r="FT62" s="10">
        <f>[28]MG!T43</f>
        <v>3192745.91</v>
      </c>
      <c r="FU62" s="10">
        <f t="shared" si="151"/>
        <v>32123380.940000001</v>
      </c>
      <c r="FV62" s="10">
        <f>[28]MG!V43</f>
        <v>17923917.390000001</v>
      </c>
      <c r="FW62" s="10">
        <f>[28]MG!W43</f>
        <v>3864359.73</v>
      </c>
      <c r="FX62" s="10"/>
      <c r="FY62" s="10">
        <f>[28]MG!U43</f>
        <v>596787.75</v>
      </c>
      <c r="FZ62" s="10"/>
      <c r="GA62" s="10">
        <f>[28]MG!X43</f>
        <v>1996855.84</v>
      </c>
      <c r="GB62" s="10">
        <f t="shared" ref="GB62:GB96" si="164">SUM(FV62:GA62)</f>
        <v>24381920.710000001</v>
      </c>
      <c r="GC62" s="149">
        <f t="shared" ref="GC62:GC72" si="165">AG62+AI62+AK62+AM62+AO62+AQ62+AY62+BM62+CA62+CO62+DC62+DQ62+EE62+ES62+FG62+FU62</f>
        <v>198720751.72720012</v>
      </c>
      <c r="GD62" s="149">
        <f t="shared" ref="GD62:GD97" si="166">AH62+AJ62+AL62+AN62+AP62+AR62+BF62+BT62+CH62+CV62+DJ62+DX62+EL62+EZ62+FN62+GB62</f>
        <v>156281086.65872091</v>
      </c>
      <c r="GE62" s="218"/>
      <c r="GG62" s="36"/>
      <c r="GH62" s="36"/>
      <c r="GI62" s="36"/>
      <c r="GJ62" s="36"/>
    </row>
    <row r="63" spans="1:192" s="5" customFormat="1" ht="12.75" x14ac:dyDescent="0.2">
      <c r="A63" s="247"/>
      <c r="B63" s="15" t="s">
        <v>18</v>
      </c>
      <c r="C63" s="1" t="s">
        <v>14</v>
      </c>
      <c r="D63" s="2">
        <v>40179</v>
      </c>
      <c r="E63" s="50"/>
      <c r="F63" s="50"/>
      <c r="G63" s="50"/>
      <c r="H63" s="50"/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148">
        <v>3634386.0199999982</v>
      </c>
      <c r="AH63" s="148">
        <v>3397962.5399999996</v>
      </c>
      <c r="AI63" s="148">
        <v>5062750.3199999966</v>
      </c>
      <c r="AJ63" s="148">
        <v>4999474.8199999947</v>
      </c>
      <c r="AK63" s="148">
        <v>5583387.8864999879</v>
      </c>
      <c r="AL63" s="148">
        <v>5367931.79</v>
      </c>
      <c r="AM63" s="148">
        <v>6266949.939999993</v>
      </c>
      <c r="AN63" s="148">
        <v>6327272.0900000054</v>
      </c>
      <c r="AO63" s="148">
        <v>5658363.7800000105</v>
      </c>
      <c r="AP63" s="148">
        <v>5127253.9299999978</v>
      </c>
      <c r="AQ63" s="148">
        <v>4981081.1399999987</v>
      </c>
      <c r="AR63" s="148">
        <v>4805346.0599999977</v>
      </c>
      <c r="AS63" s="148">
        <v>2560697.459999999</v>
      </c>
      <c r="AT63" s="148">
        <v>1383101.9199999997</v>
      </c>
      <c r="AU63" s="148">
        <v>422427.20000000013</v>
      </c>
      <c r="AV63" s="148">
        <v>1302102.3000000003</v>
      </c>
      <c r="AW63" s="148">
        <v>0</v>
      </c>
      <c r="AX63" s="148">
        <v>206979.27999999982</v>
      </c>
      <c r="AY63" s="10">
        <f t="shared" si="147"/>
        <v>5875308.1599999992</v>
      </c>
      <c r="AZ63" s="148">
        <v>2428584.5199999991</v>
      </c>
      <c r="BA63" s="148">
        <v>1345724.1099999992</v>
      </c>
      <c r="BB63" s="148">
        <v>491480.45999999996</v>
      </c>
      <c r="BC63" s="148">
        <v>1125166.1700000016</v>
      </c>
      <c r="BD63" s="148">
        <v>0</v>
      </c>
      <c r="BE63" s="148">
        <v>188180.69999999992</v>
      </c>
      <c r="BF63" s="10">
        <f t="shared" si="148"/>
        <v>5579135.96</v>
      </c>
      <c r="BG63" s="148">
        <v>2584506.4099999997</v>
      </c>
      <c r="BH63" s="148">
        <v>1549881.52</v>
      </c>
      <c r="BI63" s="148">
        <v>406471.65</v>
      </c>
      <c r="BJ63" s="148">
        <v>1070771.3599999999</v>
      </c>
      <c r="BK63" s="148">
        <v>0</v>
      </c>
      <c r="BL63" s="148">
        <v>165749.24999999962</v>
      </c>
      <c r="BM63" s="10">
        <f t="shared" si="152"/>
        <v>5777380.1899999995</v>
      </c>
      <c r="BN63" s="148">
        <v>2951785.7999999993</v>
      </c>
      <c r="BO63" s="148">
        <v>1491799.8399999992</v>
      </c>
      <c r="BP63" s="148">
        <v>332580.8000000001</v>
      </c>
      <c r="BQ63" s="148">
        <v>851088.93999999971</v>
      </c>
      <c r="BR63" s="148">
        <v>0</v>
      </c>
      <c r="BS63" s="148">
        <v>137064.49999999988</v>
      </c>
      <c r="BT63" s="10">
        <f t="shared" si="153"/>
        <v>5764319.879999998</v>
      </c>
      <c r="BU63" s="148">
        <v>2796540.88</v>
      </c>
      <c r="BV63" s="148">
        <v>1387698.2199999995</v>
      </c>
      <c r="BW63" s="148">
        <v>362031.60999999993</v>
      </c>
      <c r="BX63" s="148">
        <v>1361755.2299999993</v>
      </c>
      <c r="BY63" s="148">
        <v>0</v>
      </c>
      <c r="BZ63" s="148">
        <v>64155.780000000086</v>
      </c>
      <c r="CA63" s="10">
        <f t="shared" si="65"/>
        <v>5972181.7199999997</v>
      </c>
      <c r="CB63" s="148">
        <v>2670036.6999999993</v>
      </c>
      <c r="CC63" s="148">
        <v>1157621.8699999999</v>
      </c>
      <c r="CD63" s="148">
        <v>361297</v>
      </c>
      <c r="CE63" s="148">
        <v>1235375.6936506352</v>
      </c>
      <c r="CF63" s="148">
        <v>0</v>
      </c>
      <c r="CG63" s="148">
        <v>58963.550000000054</v>
      </c>
      <c r="CH63" s="10">
        <f t="shared" si="149"/>
        <v>5483294.8136506341</v>
      </c>
      <c r="CI63" s="148">
        <f>'[37]CRH MG 2021'!CI7</f>
        <v>2832643.6599999992</v>
      </c>
      <c r="CJ63" s="148">
        <f>'[37]CRH MG 2021'!CJ7</f>
        <v>989333.37000000034</v>
      </c>
      <c r="CK63" s="148">
        <f>'[37]CRH MG 2021'!CK7</f>
        <v>362248.75999999989</v>
      </c>
      <c r="CL63" s="148">
        <f>'[37]CRH MG 2021'!CL7</f>
        <v>1378524.2099999981</v>
      </c>
      <c r="CM63" s="148">
        <f>'[37]CRH MG 2021'!CM7</f>
        <v>0</v>
      </c>
      <c r="CN63" s="148">
        <f>'[37]CRH MG 2021'!CN7</f>
        <v>66869.55000000009</v>
      </c>
      <c r="CO63" s="10">
        <f t="shared" si="154"/>
        <v>5629619.549999997</v>
      </c>
      <c r="CP63" s="148">
        <f>'[37]CRH MG 2021'!CP7</f>
        <v>2766946.4067963744</v>
      </c>
      <c r="CQ63" s="148">
        <f>'[37]CRH MG 2021'!CQ7</f>
        <v>836561.95000000065</v>
      </c>
      <c r="CR63" s="148">
        <f>'[37]CRH MG 2021'!CR7</f>
        <v>358642.05</v>
      </c>
      <c r="CS63" s="148">
        <f>'[37]CRH MG 2021'!CS7</f>
        <v>1176250.7639850457</v>
      </c>
      <c r="CT63" s="148">
        <f>'[37]CRH MG 2021'!CT7</f>
        <v>0</v>
      </c>
      <c r="CU63" s="148">
        <f>'[37]CRH MG 2021'!CU7</f>
        <v>82683.870000000185</v>
      </c>
      <c r="CV63" s="10">
        <f t="shared" si="155"/>
        <v>5221085.0407814207</v>
      </c>
      <c r="CW63" s="150">
        <f>'[37]CRH MG 2021'!CW7</f>
        <v>2457833.15</v>
      </c>
      <c r="CX63" s="150">
        <f>'[37]CRH MG 2021'!CX7</f>
        <v>929323.96999999986</v>
      </c>
      <c r="CY63" s="150">
        <f>'[37]CRH MG 2021'!CY7</f>
        <v>357804.57999999996</v>
      </c>
      <c r="CZ63" s="150">
        <f>'[37]CRH MG 2021'!CZ7</f>
        <v>1123650.6799999995</v>
      </c>
      <c r="DA63" s="150">
        <f>'[37]CRH MG 2021'!DA7</f>
        <v>0</v>
      </c>
      <c r="DB63" s="150">
        <f>'[37]CRH MG 2021'!DB7</f>
        <v>1222965.0400000026</v>
      </c>
      <c r="DC63" s="150">
        <f>'[37]CRH MG 2021'!DC7</f>
        <v>6091577.4200000018</v>
      </c>
      <c r="DD63" s="150">
        <f>'[37]CRH MG 2021'!DD7</f>
        <v>1982246.0249521858</v>
      </c>
      <c r="DE63" s="150">
        <f>'[37]CRH MG 2021'!DE7</f>
        <v>865188.29</v>
      </c>
      <c r="DF63" s="150">
        <f>'[37]CRH MG 2021'!DF7</f>
        <v>357268.17999999993</v>
      </c>
      <c r="DG63" s="150">
        <f>'[37]CRH MG 2021'!DG7</f>
        <v>941443.44085673499</v>
      </c>
      <c r="DH63" s="150">
        <f>'[37]CRH MG 2021'!DH7</f>
        <v>0</v>
      </c>
      <c r="DI63" s="150">
        <f>'[37]CRH MG 2021'!DI7</f>
        <v>40560.469999999994</v>
      </c>
      <c r="DJ63" s="10">
        <f t="shared" si="156"/>
        <v>4186706.4058089214</v>
      </c>
      <c r="DK63" s="10">
        <f>'[37]CRH MG 2021'!DK7</f>
        <v>1227942.7299999995</v>
      </c>
      <c r="DL63" s="10">
        <f>'[37]CRH MG 2021'!DL7</f>
        <v>511081.47</v>
      </c>
      <c r="DM63" s="10">
        <f>'[37]CRH MG 2021'!DM7</f>
        <v>129721.85999999999</v>
      </c>
      <c r="DN63" s="10">
        <f>'[37]CRH MG 2021'!DN7</f>
        <v>1684605.0599999952</v>
      </c>
      <c r="DO63" s="10">
        <f>'[37]CRH MG 2021'!DO7</f>
        <v>0</v>
      </c>
      <c r="DP63" s="10">
        <f>'[37]CRH MG 2021'!DP7</f>
        <v>3335237.4700000067</v>
      </c>
      <c r="DQ63" s="10">
        <f t="shared" si="157"/>
        <v>6888588.5900000017</v>
      </c>
      <c r="DR63" s="10">
        <f>'[37]CRH MG 2021'!DR7</f>
        <v>1100333.78</v>
      </c>
      <c r="DS63" s="10">
        <f>'[37]CRH MG 2021'!DS7</f>
        <v>430413.77000000008</v>
      </c>
      <c r="DT63" s="10">
        <f>'[37]CRH MG 2021'!DT7</f>
        <v>111739.98000000001</v>
      </c>
      <c r="DU63" s="10">
        <f>'[37]CRH MG 2021'!DU7</f>
        <v>430630.89</v>
      </c>
      <c r="DV63" s="10">
        <f>'[37]CRH MG 2021'!DV7</f>
        <v>0</v>
      </c>
      <c r="DW63" s="10">
        <f>'[37]CRH MG 2021'!DW7</f>
        <v>628283.7505105522</v>
      </c>
      <c r="DX63" s="10">
        <f t="shared" si="158"/>
        <v>2701402.1705105519</v>
      </c>
      <c r="DY63" s="10">
        <f>'[38]Pro gestao cobranca tabela 1'!$Q$32</f>
        <v>3343184.5499999989</v>
      </c>
      <c r="DZ63" s="10">
        <f>'[38]Pro gestao cobranca tabela 1'!$Q$33</f>
        <v>2970320.8499999996</v>
      </c>
      <c r="EA63" s="10">
        <f>'[38]Pro gestao cobranca tabela 1'!$Q$34</f>
        <v>1402571.26</v>
      </c>
      <c r="EB63" s="10">
        <f>'[38]Pro gestao cobranca tabela 1'!$Q$35</f>
        <v>5854853.1999999927</v>
      </c>
      <c r="EC63" s="10">
        <f>'[38]Pro gestao cobranca tabela 1'!$Q$36</f>
        <v>0</v>
      </c>
      <c r="ED63" s="10">
        <f>'[38]Pro gestao cobranca tabela 1'!$Q$37</f>
        <v>732073.27999999991</v>
      </c>
      <c r="EE63" s="10">
        <f t="shared" si="159"/>
        <v>14303003.139999991</v>
      </c>
      <c r="EF63" s="10">
        <f>'[38]Pro gestao cobranca tabela 1'!$Q$39</f>
        <v>3449923.6999999997</v>
      </c>
      <c r="EG63" s="10">
        <f>'[38]Pro gestao cobranca tabela 1'!$Q$40</f>
        <v>2639145.02</v>
      </c>
      <c r="EH63" s="10">
        <f>'[38]Pro gestao cobranca tabela 1'!$Q$41</f>
        <v>1400896.9600000002</v>
      </c>
      <c r="EI63" s="10">
        <f>'[38]Pro gestao cobranca tabela 1'!$Q$42</f>
        <v>1869851.5900000024</v>
      </c>
      <c r="EJ63" s="10">
        <f>'[38]Pro gestao cobranca tabela 1'!$Q$43</f>
        <v>0</v>
      </c>
      <c r="EK63" s="10">
        <f>'[38]Pro gestao cobranca tabela 1'!$Q$44</f>
        <v>751507.27</v>
      </c>
      <c r="EL63" s="10">
        <f t="shared" si="160"/>
        <v>10111324.540000001</v>
      </c>
      <c r="EM63" s="10">
        <f>[26]MG!$R$32</f>
        <v>3858610.2299999986</v>
      </c>
      <c r="EN63" s="10">
        <f>[26]MG!$R$33</f>
        <v>2259015.1700000009</v>
      </c>
      <c r="EO63" s="10">
        <f>[26]MG!$R$34</f>
        <v>371058.54000000004</v>
      </c>
      <c r="EP63" s="10">
        <f>[26]MG!$R$35</f>
        <v>7582725.6199999899</v>
      </c>
      <c r="EQ63" s="10">
        <f>[26]MG!$R$36</f>
        <v>0</v>
      </c>
      <c r="ER63" s="10">
        <f>[26]MG!$R$37</f>
        <v>548524.05999999994</v>
      </c>
      <c r="ES63" s="10">
        <f t="shared" si="150"/>
        <v>14619933.61999999</v>
      </c>
      <c r="ET63" s="10">
        <f>[26]MG!$R$39</f>
        <v>4359203.0699999994</v>
      </c>
      <c r="EU63" s="10">
        <f>[26]MG!$R$40</f>
        <v>1752899.7900000007</v>
      </c>
      <c r="EV63" s="10">
        <f>[26]MG!$R$41</f>
        <v>348813.20999999996</v>
      </c>
      <c r="EW63" s="10">
        <f>[26]MG!$R$42</f>
        <v>3380950.2800000031</v>
      </c>
      <c r="EX63" s="10">
        <f>[26]MG!$R$43</f>
        <v>0</v>
      </c>
      <c r="EY63" s="10">
        <f>[26]MG!$R$44</f>
        <v>866243.47000000009</v>
      </c>
      <c r="EZ63" s="10">
        <f t="shared" si="161"/>
        <v>10708109.820000004</v>
      </c>
      <c r="FA63" s="172">
        <f>[27]MG!$R$31</f>
        <v>4416510.13</v>
      </c>
      <c r="FB63" s="172">
        <f>[27]MG!$S$31</f>
        <v>5488182.9000000004</v>
      </c>
      <c r="FC63" s="172"/>
      <c r="FD63" s="172">
        <f>[27]MG!$Q$31</f>
        <v>7037147.6699999999</v>
      </c>
      <c r="FE63" s="172"/>
      <c r="FF63" s="172">
        <f>[27]MG!$T$31</f>
        <v>1146252.9099999999</v>
      </c>
      <c r="FG63" s="10">
        <f t="shared" si="162"/>
        <v>18088093.610000003</v>
      </c>
      <c r="FH63" s="172">
        <f>[27]MG!$V$31</f>
        <v>4337555.66</v>
      </c>
      <c r="FI63" s="172">
        <f>[27]MG!$W$31</f>
        <v>5970154.8200000003</v>
      </c>
      <c r="FJ63" s="172"/>
      <c r="FK63" s="172">
        <f>[27]MG!$U$31</f>
        <v>5088080.3600000003</v>
      </c>
      <c r="FL63" s="172"/>
      <c r="FM63" s="172">
        <f>[27]MG!$X$31</f>
        <v>420182.07</v>
      </c>
      <c r="FN63" s="10">
        <f t="shared" si="163"/>
        <v>15815972.91</v>
      </c>
      <c r="FO63" s="10">
        <f>[28]MG!R35</f>
        <v>4618088.2699999996</v>
      </c>
      <c r="FP63" s="10">
        <f>[28]MG!S35</f>
        <v>5015582.3899999997</v>
      </c>
      <c r="FQ63" s="10"/>
      <c r="FR63" s="10">
        <f>[28]MG!Q35</f>
        <v>7619761.3200000003</v>
      </c>
      <c r="FS63" s="10"/>
      <c r="FT63" s="10">
        <f>[28]MG!T35</f>
        <v>914480.5</v>
      </c>
      <c r="FU63" s="10">
        <f t="shared" si="151"/>
        <v>18167912.48</v>
      </c>
      <c r="FV63" s="10">
        <f>[28]MG!V35</f>
        <v>1497959.5</v>
      </c>
      <c r="FW63" s="10">
        <f>[28]MG!W35</f>
        <v>4327611.04</v>
      </c>
      <c r="FX63" s="10"/>
      <c r="FY63" s="10">
        <f>[28]MG!U35</f>
        <v>4455774.82</v>
      </c>
      <c r="FZ63" s="10"/>
      <c r="GA63" s="10">
        <f>[28]MG!X35</f>
        <v>482192.34</v>
      </c>
      <c r="GB63" s="10">
        <f t="shared" si="164"/>
        <v>10763537.699999999</v>
      </c>
      <c r="GC63" s="149">
        <f t="shared" si="165"/>
        <v>132600517.56649996</v>
      </c>
      <c r="GD63" s="149">
        <f t="shared" si="166"/>
        <v>106360130.47075154</v>
      </c>
      <c r="GE63" s="218"/>
      <c r="GG63" s="36"/>
      <c r="GH63" s="36"/>
      <c r="GI63" s="36"/>
      <c r="GJ63" s="36"/>
    </row>
    <row r="64" spans="1:192" s="5" customFormat="1" ht="12.75" x14ac:dyDescent="0.2">
      <c r="A64" s="247"/>
      <c r="B64" s="15" t="s">
        <v>19</v>
      </c>
      <c r="C64" s="1" t="s">
        <v>14</v>
      </c>
      <c r="D64" s="2">
        <v>40909</v>
      </c>
      <c r="E64" s="50"/>
      <c r="F64" s="50"/>
      <c r="G64" s="50"/>
      <c r="H64" s="50"/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  <c r="AJ64" s="50"/>
      <c r="AK64" s="148">
        <v>1693347.1199999999</v>
      </c>
      <c r="AL64" s="148">
        <v>1939035.3400000003</v>
      </c>
      <c r="AM64" s="148">
        <v>2599850.2900000005</v>
      </c>
      <c r="AN64" s="148">
        <v>2514396.4500000002</v>
      </c>
      <c r="AO64" s="148">
        <v>3220735.4199999981</v>
      </c>
      <c r="AP64" s="148">
        <v>2999106.799999998</v>
      </c>
      <c r="AQ64" s="148">
        <v>2991916.3399999985</v>
      </c>
      <c r="AR64" s="148">
        <v>2906380.1799999988</v>
      </c>
      <c r="AS64" s="148">
        <v>2522305.9000000004</v>
      </c>
      <c r="AT64" s="148">
        <v>181021.18000000008</v>
      </c>
      <c r="AU64" s="148">
        <v>1591335.74</v>
      </c>
      <c r="AV64" s="148">
        <v>4764.87</v>
      </c>
      <c r="AW64" s="148">
        <v>0</v>
      </c>
      <c r="AX64" s="148">
        <v>22280.98</v>
      </c>
      <c r="AY64" s="10">
        <f t="shared" si="147"/>
        <v>4321708.6700000009</v>
      </c>
      <c r="AZ64" s="148">
        <v>2178605.5600000015</v>
      </c>
      <c r="BA64" s="148">
        <v>143920.47000000006</v>
      </c>
      <c r="BB64" s="148">
        <v>1594148.8600000003</v>
      </c>
      <c r="BC64" s="148">
        <v>2570.1999999999998</v>
      </c>
      <c r="BD64" s="148">
        <v>0</v>
      </c>
      <c r="BE64" s="148">
        <v>9566.2800000000007</v>
      </c>
      <c r="BF64" s="10">
        <f t="shared" si="148"/>
        <v>3928811.370000002</v>
      </c>
      <c r="BG64" s="148">
        <v>4608351.9899999984</v>
      </c>
      <c r="BH64" s="148">
        <v>206151.32000000004</v>
      </c>
      <c r="BI64" s="148">
        <v>1866945.5800000008</v>
      </c>
      <c r="BJ64" s="148">
        <v>4830.4000000000005</v>
      </c>
      <c r="BK64" s="148">
        <v>0</v>
      </c>
      <c r="BL64" s="148">
        <v>32314.670000000002</v>
      </c>
      <c r="BM64" s="10">
        <f t="shared" si="152"/>
        <v>6718593.96</v>
      </c>
      <c r="BN64" s="148">
        <v>2627107.0500000017</v>
      </c>
      <c r="BO64" s="148">
        <v>199168.82000000007</v>
      </c>
      <c r="BP64" s="148">
        <v>1801440.82</v>
      </c>
      <c r="BQ64" s="148">
        <v>2170.4700000000003</v>
      </c>
      <c r="BR64" s="148">
        <v>0</v>
      </c>
      <c r="BS64" s="148">
        <v>9640.5799999999981</v>
      </c>
      <c r="BT64" s="10">
        <f t="shared" si="153"/>
        <v>4639527.7400000021</v>
      </c>
      <c r="BU64" s="148">
        <v>2703520.2100000014</v>
      </c>
      <c r="BV64" s="148">
        <v>155545.84</v>
      </c>
      <c r="BW64" s="148">
        <v>1687582.7700000007</v>
      </c>
      <c r="BX64" s="148">
        <v>4117.76</v>
      </c>
      <c r="BY64" s="148">
        <v>0</v>
      </c>
      <c r="BZ64" s="148">
        <v>14715.430000000008</v>
      </c>
      <c r="CA64" s="10">
        <f t="shared" si="65"/>
        <v>4565482.0100000016</v>
      </c>
      <c r="CB64" s="148">
        <v>1850410.6879558375</v>
      </c>
      <c r="CC64" s="148">
        <v>145632.46000000002</v>
      </c>
      <c r="CD64" s="148">
        <v>1895195.3</v>
      </c>
      <c r="CE64" s="148">
        <v>2132.9200000000005</v>
      </c>
      <c r="CF64" s="148">
        <v>0</v>
      </c>
      <c r="CG64" s="148">
        <v>50860.855887264828</v>
      </c>
      <c r="CH64" s="10">
        <f t="shared" si="149"/>
        <v>3944232.2238431023</v>
      </c>
      <c r="CI64" s="148">
        <f>'[37]CRH MG 2021'!CI8</f>
        <v>2866875.5400000014</v>
      </c>
      <c r="CJ64" s="148">
        <f>'[37]CRH MG 2021'!CJ8</f>
        <v>345001.03999999992</v>
      </c>
      <c r="CK64" s="148">
        <f>'[37]CRH MG 2021'!CK8</f>
        <v>975634.36</v>
      </c>
      <c r="CL64" s="148">
        <f>'[37]CRH MG 2021'!CL8</f>
        <v>4117.7600000000011</v>
      </c>
      <c r="CM64" s="148">
        <f>'[37]CRH MG 2021'!CM8</f>
        <v>0</v>
      </c>
      <c r="CN64" s="148">
        <f>'[37]CRH MG 2021'!CN8</f>
        <v>10011.599999999997</v>
      </c>
      <c r="CO64" s="10">
        <f t="shared" si="154"/>
        <v>4201640.3000000007</v>
      </c>
      <c r="CP64" s="148">
        <f>'[37]CRH MG 2021'!CP8</f>
        <v>2007905.4719427084</v>
      </c>
      <c r="CQ64" s="148">
        <f>'[37]CRH MG 2021'!CQ8</f>
        <v>158470.40386502596</v>
      </c>
      <c r="CR64" s="148">
        <f>'[37]CRH MG 2021'!CR8</f>
        <v>964595.77</v>
      </c>
      <c r="CS64" s="148">
        <f>'[37]CRH MG 2021'!CS8</f>
        <v>1355.6100000000001</v>
      </c>
      <c r="CT64" s="148">
        <f>'[37]CRH MG 2021'!CT8</f>
        <v>0</v>
      </c>
      <c r="CU64" s="148">
        <f>'[37]CRH MG 2021'!CU8</f>
        <v>10043.869999999995</v>
      </c>
      <c r="CV64" s="10">
        <f t="shared" si="155"/>
        <v>3142371.1258077342</v>
      </c>
      <c r="CW64" s="150">
        <f>'[37]CRH MG 2021'!CW8</f>
        <v>2506711.8000000012</v>
      </c>
      <c r="CX64" s="150">
        <f>'[37]CRH MG 2021'!CX8</f>
        <v>150088.40999999995</v>
      </c>
      <c r="CY64" s="150">
        <f>'[37]CRH MG 2021'!CY8</f>
        <v>925725.62000000011</v>
      </c>
      <c r="CZ64" s="150">
        <f>'[37]CRH MG 2021'!CZ8</f>
        <v>2949.8200000000006</v>
      </c>
      <c r="DA64" s="150">
        <f>'[37]CRH MG 2021'!DA8</f>
        <v>0</v>
      </c>
      <c r="DB64" s="150">
        <f>'[37]CRH MG 2021'!DB8</f>
        <v>8286.1900000000023</v>
      </c>
      <c r="DC64" s="150">
        <f>'[37]CRH MG 2021'!DC8</f>
        <v>3593761.8400000012</v>
      </c>
      <c r="DD64" s="150">
        <f>'[37]CRH MG 2021'!DD8</f>
        <v>1687146.2788641362</v>
      </c>
      <c r="DE64" s="150">
        <f>'[37]CRH MG 2021'!DE8</f>
        <v>159271.65899105617</v>
      </c>
      <c r="DF64" s="150">
        <f>'[37]CRH MG 2021'!DF8</f>
        <v>1037561.0900000001</v>
      </c>
      <c r="DG64" s="150">
        <f>'[37]CRH MG 2021'!DG8</f>
        <v>938.5</v>
      </c>
      <c r="DH64" s="150">
        <f>'[37]CRH MG 2021'!DH8</f>
        <v>0</v>
      </c>
      <c r="DI64" s="150">
        <f>'[37]CRH MG 2021'!DI8</f>
        <v>8363</v>
      </c>
      <c r="DJ64" s="10">
        <f t="shared" si="156"/>
        <v>2893280.5278551923</v>
      </c>
      <c r="DK64" s="10">
        <f>'[37]CRH MG 2021'!DK8</f>
        <v>783897.86000000022</v>
      </c>
      <c r="DL64" s="10">
        <f>'[37]CRH MG 2021'!DL8</f>
        <v>174473.81000000006</v>
      </c>
      <c r="DM64" s="10">
        <f>'[37]CRH MG 2021'!DM8</f>
        <v>720588.34</v>
      </c>
      <c r="DN64" s="10">
        <f>'[37]CRH MG 2021'!DN8</f>
        <v>3076.03</v>
      </c>
      <c r="DO64" s="10">
        <f>'[37]CRH MG 2021'!DO8</f>
        <v>0</v>
      </c>
      <c r="DP64" s="10">
        <f>'[37]CRH MG 2021'!DP8</f>
        <v>264316.34999999986</v>
      </c>
      <c r="DQ64" s="10">
        <f t="shared" si="157"/>
        <v>1946352.3900000001</v>
      </c>
      <c r="DR64" s="10">
        <f>'[37]CRH MG 2021'!DR8</f>
        <v>479601.78879666544</v>
      </c>
      <c r="DS64" s="10">
        <f>'[37]CRH MG 2021'!DS8</f>
        <v>87296.451388520785</v>
      </c>
      <c r="DT64" s="10">
        <f>'[37]CRH MG 2021'!DT8</f>
        <v>386713.07</v>
      </c>
      <c r="DU64" s="10">
        <f>'[37]CRH MG 2021'!DU8</f>
        <v>254.78</v>
      </c>
      <c r="DV64" s="10">
        <f>'[37]CRH MG 2021'!DV8</f>
        <v>0</v>
      </c>
      <c r="DW64" s="10">
        <f>'[37]CRH MG 2021'!DW8</f>
        <v>101410.55999999998</v>
      </c>
      <c r="DX64" s="10">
        <f t="shared" si="158"/>
        <v>1055276.6501851864</v>
      </c>
      <c r="DY64" s="10">
        <f>'[38]Pro gestao cobranca tabela 1'!$Q$46</f>
        <v>1319770.6899999997</v>
      </c>
      <c r="DZ64" s="10">
        <f>'[38]Pro gestao cobranca tabela 1'!$Q$47</f>
        <v>555761.07999999984</v>
      </c>
      <c r="EA64" s="10">
        <f>'[38]Pro gestao cobranca tabela 1'!$Q$48</f>
        <v>1088347.53</v>
      </c>
      <c r="EB64" s="10">
        <f>'[38]Pro gestao cobranca tabela 1'!$Q$49</f>
        <v>37954.55999999999</v>
      </c>
      <c r="EC64" s="10">
        <f>'[38]Pro gestao cobranca tabela 1'!$Q$50</f>
        <v>0</v>
      </c>
      <c r="ED64" s="10">
        <f>'[38]Pro gestao cobranca tabela 1'!$Q$51</f>
        <v>324737.88</v>
      </c>
      <c r="EE64" s="10">
        <f t="shared" si="159"/>
        <v>3326571.7399999998</v>
      </c>
      <c r="EF64" s="10">
        <f>'[38]Pro gestao cobranca tabela 1'!$Q$53</f>
        <v>1103033.21</v>
      </c>
      <c r="EG64" s="10">
        <f>'[38]Pro gestao cobranca tabela 1'!$Q$54</f>
        <v>302159.59000000003</v>
      </c>
      <c r="EH64" s="10">
        <f>'[38]Pro gestao cobranca tabela 1'!$Q$55</f>
        <v>1080990.4000000001</v>
      </c>
      <c r="EI64" s="10">
        <f>'[38]Pro gestao cobranca tabela 1'!$Q$56</f>
        <v>15238.249999999996</v>
      </c>
      <c r="EJ64" s="10">
        <f>'[38]Pro gestao cobranca tabela 1'!$Q$57</f>
        <v>0</v>
      </c>
      <c r="EK64" s="10">
        <f>'[38]Pro gestao cobranca tabela 1'!$Q$58</f>
        <v>271729.03999999998</v>
      </c>
      <c r="EL64" s="10">
        <f t="shared" si="160"/>
        <v>2773150.49</v>
      </c>
      <c r="EM64" s="10">
        <f>[26]MG!$R$46</f>
        <v>1755050.3400000005</v>
      </c>
      <c r="EN64" s="10">
        <f>[26]MG!$R$47</f>
        <v>609371.19999999995</v>
      </c>
      <c r="EO64" s="10">
        <f>[26]MG!$R$48</f>
        <v>1047981.34</v>
      </c>
      <c r="EP64" s="10">
        <f>[26]MG!$R$49</f>
        <v>90967.13</v>
      </c>
      <c r="EQ64" s="10">
        <f>[26]MG!$R$50</f>
        <v>0</v>
      </c>
      <c r="ER64" s="10">
        <f>[26]MG!$R$51</f>
        <v>740986.52000000014</v>
      </c>
      <c r="ES64" s="10">
        <f t="shared" si="150"/>
        <v>4244356.53</v>
      </c>
      <c r="ET64" s="10">
        <f>[26]MG!$R$53</f>
        <v>1373486.2400000019</v>
      </c>
      <c r="EU64" s="10">
        <f>[26]MG!$R$54</f>
        <v>402155.62000000017</v>
      </c>
      <c r="EV64" s="10">
        <f>[26]MG!$R$55</f>
        <v>1047986.8100000002</v>
      </c>
      <c r="EW64" s="10">
        <f>[26]MG!$R$56</f>
        <v>111249.60999999999</v>
      </c>
      <c r="EX64" s="10">
        <f>[26]MG!$R$57</f>
        <v>0</v>
      </c>
      <c r="EY64" s="10">
        <f>[26]MG!$R$58</f>
        <v>599599.24000000022</v>
      </c>
      <c r="EZ64" s="10">
        <f t="shared" si="161"/>
        <v>3534477.5200000023</v>
      </c>
      <c r="FA64" s="172">
        <f>[27]MG!$R$24</f>
        <v>3577656.97</v>
      </c>
      <c r="FB64" s="172">
        <f>[27]MG!$S$24</f>
        <v>1427274.99</v>
      </c>
      <c r="FC64" s="172"/>
      <c r="FD64" s="172">
        <f>[27]MG!$Q$24</f>
        <v>146358.32999999999</v>
      </c>
      <c r="FE64" s="172"/>
      <c r="FF64" s="172">
        <f>[27]MG!$T$24</f>
        <v>1104922.96</v>
      </c>
      <c r="FG64" s="10">
        <f t="shared" ref="FG64:FG71" si="167">SUM(FA64:FF64)</f>
        <v>6256213.25</v>
      </c>
      <c r="FH64" s="172">
        <f>[27]MG!$V$24</f>
        <v>1382228.58</v>
      </c>
      <c r="FI64" s="172">
        <f>[27]MG!$W$24</f>
        <v>1424759.85</v>
      </c>
      <c r="FJ64" s="172"/>
      <c r="FK64" s="172">
        <f>[27]MG!$U$24</f>
        <v>100273.84</v>
      </c>
      <c r="FL64" s="172"/>
      <c r="FM64" s="172">
        <f>[27]MG!$X$24</f>
        <v>1070577.56</v>
      </c>
      <c r="FN64" s="10">
        <f t="shared" ref="FN64:FN71" si="168">SUM(FH64:FM64)</f>
        <v>3977839.83</v>
      </c>
      <c r="FO64" s="10">
        <f>[28]MG!R14</f>
        <v>1559584.26</v>
      </c>
      <c r="FP64" s="10">
        <f>[28]MG!S14</f>
        <v>1101806.1399999999</v>
      </c>
      <c r="FQ64" s="10"/>
      <c r="FR64" s="10">
        <f>[28]MG!Q14</f>
        <v>324571.28999999998</v>
      </c>
      <c r="FS64" s="10"/>
      <c r="FT64" s="10">
        <f>[28]MG!T14</f>
        <v>415668.66</v>
      </c>
      <c r="FU64" s="10">
        <f t="shared" si="151"/>
        <v>3401630.35</v>
      </c>
      <c r="FV64" s="10">
        <f>[28]MG!V14</f>
        <v>1279547.8600000001</v>
      </c>
      <c r="FW64" s="10">
        <f>[28]MG!W14</f>
        <v>935345.09</v>
      </c>
      <c r="FX64" s="10"/>
      <c r="FY64" s="10">
        <f>[28]MG!U14</f>
        <v>81693.25</v>
      </c>
      <c r="FZ64" s="10"/>
      <c r="GA64" s="10">
        <f>[28]MG!X14</f>
        <v>329053.11</v>
      </c>
      <c r="GB64" s="10">
        <f t="shared" si="164"/>
        <v>2625639.31</v>
      </c>
      <c r="GC64" s="149">
        <f t="shared" si="165"/>
        <v>53082160.210000008</v>
      </c>
      <c r="GD64" s="149">
        <f t="shared" si="166"/>
        <v>42873525.557691224</v>
      </c>
      <c r="GE64" s="218"/>
      <c r="GG64" s="36"/>
      <c r="GH64" s="36"/>
      <c r="GI64" s="36"/>
      <c r="GJ64" s="36"/>
    </row>
    <row r="65" spans="1:192" s="5" customFormat="1" ht="12.75" x14ac:dyDescent="0.2">
      <c r="A65" s="247"/>
      <c r="B65" s="15" t="s">
        <v>20</v>
      </c>
      <c r="C65" s="1" t="s">
        <v>14</v>
      </c>
      <c r="D65" s="2">
        <v>40909</v>
      </c>
      <c r="E65" s="50"/>
      <c r="F65" s="50"/>
      <c r="G65" s="50"/>
      <c r="H65" s="50"/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  <c r="AJ65" s="50"/>
      <c r="AK65" s="148">
        <v>3904009.4400000004</v>
      </c>
      <c r="AL65" s="148">
        <v>3916803.9999999991</v>
      </c>
      <c r="AM65" s="148">
        <v>7609103.2399999909</v>
      </c>
      <c r="AN65" s="148">
        <v>7789715.1399999904</v>
      </c>
      <c r="AO65" s="148">
        <v>8710506.4100000039</v>
      </c>
      <c r="AP65" s="148">
        <v>7927508.1900000032</v>
      </c>
      <c r="AQ65" s="148">
        <v>7800201.4100000048</v>
      </c>
      <c r="AR65" s="148">
        <v>7781220.7500000047</v>
      </c>
      <c r="AS65" s="148">
        <v>3415609.18</v>
      </c>
      <c r="AT65" s="148">
        <v>3617525.92</v>
      </c>
      <c r="AU65" s="148">
        <v>4433064.2799999993</v>
      </c>
      <c r="AV65" s="148">
        <v>519.79999999999995</v>
      </c>
      <c r="AW65" s="148">
        <v>0</v>
      </c>
      <c r="AX65" s="148">
        <v>55941.770000000004</v>
      </c>
      <c r="AY65" s="10">
        <f t="shared" si="147"/>
        <v>11522660.949999999</v>
      </c>
      <c r="AZ65" s="148">
        <v>3838873.81</v>
      </c>
      <c r="BA65" s="148">
        <v>3609006.8299999996</v>
      </c>
      <c r="BB65" s="148">
        <v>4238762.16</v>
      </c>
      <c r="BC65" s="148">
        <v>640.05000000000007</v>
      </c>
      <c r="BD65" s="148">
        <v>0</v>
      </c>
      <c r="BE65" s="148">
        <v>12582.589999999998</v>
      </c>
      <c r="BF65" s="10">
        <f t="shared" si="148"/>
        <v>11699865.440000001</v>
      </c>
      <c r="BG65" s="148">
        <v>3979765.2600000007</v>
      </c>
      <c r="BH65" s="148">
        <v>3636694.8099999991</v>
      </c>
      <c r="BI65" s="148">
        <v>4322509.53</v>
      </c>
      <c r="BJ65" s="148">
        <v>596.79999999999995</v>
      </c>
      <c r="BK65" s="148">
        <v>0</v>
      </c>
      <c r="BL65" s="148">
        <v>70796.749999999971</v>
      </c>
      <c r="BM65" s="10">
        <f>SUM(BG65:BL65)</f>
        <v>12010363.150000002</v>
      </c>
      <c r="BN65" s="148">
        <v>1940299.6799999997</v>
      </c>
      <c r="BO65" s="148">
        <v>3635502.09</v>
      </c>
      <c r="BP65" s="148">
        <v>4324175.33</v>
      </c>
      <c r="BQ65" s="148">
        <v>582.27</v>
      </c>
      <c r="BR65" s="148">
        <v>0</v>
      </c>
      <c r="BS65" s="148">
        <v>13576.73</v>
      </c>
      <c r="BT65" s="10">
        <f t="shared" si="153"/>
        <v>9914136.0999999996</v>
      </c>
      <c r="BU65" s="148">
        <v>6231064.5799999982</v>
      </c>
      <c r="BV65" s="148">
        <v>3319411.1199999996</v>
      </c>
      <c r="BW65" s="148">
        <v>4951729.2400000012</v>
      </c>
      <c r="BX65" s="148">
        <v>717.87</v>
      </c>
      <c r="BY65" s="148">
        <v>0</v>
      </c>
      <c r="BZ65" s="148">
        <v>46904.669999999991</v>
      </c>
      <c r="CA65" s="10">
        <f t="shared" si="65"/>
        <v>14549827.479999997</v>
      </c>
      <c r="CB65" s="148">
        <v>5864213.316999997</v>
      </c>
      <c r="CC65" s="148">
        <v>3478783.78</v>
      </c>
      <c r="CD65" s="148">
        <v>5785605.3500000006</v>
      </c>
      <c r="CE65" s="148">
        <v>380.81999999999994</v>
      </c>
      <c r="CF65" s="148">
        <v>0</v>
      </c>
      <c r="CG65" s="148">
        <v>2384.3999999999992</v>
      </c>
      <c r="CH65" s="10">
        <f t="shared" si="149"/>
        <v>15131367.666999998</v>
      </c>
      <c r="CI65" s="148">
        <f>'[37]CRH MG 2021'!CI9</f>
        <v>3755965.16</v>
      </c>
      <c r="CJ65" s="148">
        <f>'[37]CRH MG 2021'!CJ9</f>
        <v>3319990.75</v>
      </c>
      <c r="CK65" s="148">
        <f>'[37]CRH MG 2021'!CK9</f>
        <v>3746853.9000000018</v>
      </c>
      <c r="CL65" s="148">
        <f>'[37]CRH MG 2021'!CL9</f>
        <v>258.3</v>
      </c>
      <c r="CM65" s="148">
        <f>'[37]CRH MG 2021'!CM9</f>
        <v>0</v>
      </c>
      <c r="CN65" s="148">
        <f>'[37]CRH MG 2021'!CN9</f>
        <v>7301.93</v>
      </c>
      <c r="CO65" s="10">
        <f t="shared" si="154"/>
        <v>10830370.040000003</v>
      </c>
      <c r="CP65" s="148">
        <f>'[37]CRH MG 2021'!CP9</f>
        <v>1943652.9539807872</v>
      </c>
      <c r="CQ65" s="148">
        <f>'[37]CRH MG 2021'!CQ9</f>
        <v>3322440.93</v>
      </c>
      <c r="CR65" s="148">
        <f>'[37]CRH MG 2021'!CR9</f>
        <v>3745946.2600000007</v>
      </c>
      <c r="CS65" s="148">
        <f>'[37]CRH MG 2021'!CS9</f>
        <v>140.04</v>
      </c>
      <c r="CT65" s="148">
        <f>'[37]CRH MG 2021'!CT9</f>
        <v>0</v>
      </c>
      <c r="CU65" s="148">
        <f>'[37]CRH MG 2021'!CU9</f>
        <v>11129.36</v>
      </c>
      <c r="CV65" s="10">
        <f t="shared" si="155"/>
        <v>9023309.5439807866</v>
      </c>
      <c r="CW65" s="150">
        <f>'[37]CRH MG 2021'!CW9</f>
        <v>3849802.93</v>
      </c>
      <c r="CX65" s="150">
        <f>'[37]CRH MG 2021'!CX9</f>
        <v>2975571.81</v>
      </c>
      <c r="CY65" s="150">
        <f>'[37]CRH MG 2021'!CY9</f>
        <v>3838726.4499999997</v>
      </c>
      <c r="CZ65" s="150">
        <f>'[37]CRH MG 2021'!CZ9</f>
        <v>70.02</v>
      </c>
      <c r="DA65" s="150">
        <f>'[37]CRH MG 2021'!DA9</f>
        <v>0</v>
      </c>
      <c r="DB65" s="150">
        <f>'[37]CRH MG 2021'!DB9</f>
        <v>8358.8100000000013</v>
      </c>
      <c r="DC65" s="150">
        <f>'[37]CRH MG 2021'!DC9</f>
        <v>10672530.02</v>
      </c>
      <c r="DD65" s="150">
        <f>'[37]CRH MG 2021'!DD9</f>
        <v>4917910.6401463449</v>
      </c>
      <c r="DE65" s="150">
        <f>'[37]CRH MG 2021'!DE9</f>
        <v>3039153.82</v>
      </c>
      <c r="DF65" s="150">
        <f>'[37]CRH MG 2021'!DF9</f>
        <v>4150943.2299999995</v>
      </c>
      <c r="DG65" s="150">
        <f>'[37]CRH MG 2021'!DG9</f>
        <v>70.02</v>
      </c>
      <c r="DH65" s="150">
        <f>'[37]CRH MG 2021'!DH9</f>
        <v>0</v>
      </c>
      <c r="DI65" s="150">
        <f>'[37]CRH MG 2021'!DI9</f>
        <v>4698.92</v>
      </c>
      <c r="DJ65" s="10">
        <f t="shared" si="156"/>
        <v>12112776.630146345</v>
      </c>
      <c r="DK65" s="10">
        <f>'[37]CRH MG 2021'!DK9</f>
        <v>1022290.1300000005</v>
      </c>
      <c r="DL65" s="10">
        <f>'[37]CRH MG 2021'!DL9</f>
        <v>1212590.3199999994</v>
      </c>
      <c r="DM65" s="10">
        <f>'[37]CRH MG 2021'!DM9</f>
        <v>3167411.8500000006</v>
      </c>
      <c r="DN65" s="10">
        <f>'[37]CRH MG 2021'!DN9</f>
        <v>0</v>
      </c>
      <c r="DO65" s="10">
        <f>'[37]CRH MG 2021'!DO9</f>
        <v>0</v>
      </c>
      <c r="DP65" s="10">
        <f>'[37]CRH MG 2021'!DP9</f>
        <v>115919.63999999998</v>
      </c>
      <c r="DQ65" s="10">
        <f t="shared" si="157"/>
        <v>5518211.9400000004</v>
      </c>
      <c r="DR65" s="10">
        <f>'[37]CRH MG 2021'!DR9</f>
        <v>1521792.6438226011</v>
      </c>
      <c r="DS65" s="10">
        <f>'[37]CRH MG 2021'!DS9</f>
        <v>973885.29999999981</v>
      </c>
      <c r="DT65" s="10">
        <f>'[37]CRH MG 2021'!DT9</f>
        <v>1961621.1799999995</v>
      </c>
      <c r="DU65" s="10">
        <f>'[37]CRH MG 2021'!DU9</f>
        <v>0</v>
      </c>
      <c r="DV65" s="10">
        <f>'[37]CRH MG 2021'!DV9</f>
        <v>0</v>
      </c>
      <c r="DW65" s="10">
        <f>'[37]CRH MG 2021'!DW9</f>
        <v>28545.520000000008</v>
      </c>
      <c r="DX65" s="10">
        <f t="shared" si="158"/>
        <v>4485844.6438226001</v>
      </c>
      <c r="DY65" s="10">
        <f>'[38]Pro gestao cobranca tabela 1'!$Q$60</f>
        <v>3312808.1300000008</v>
      </c>
      <c r="DZ65" s="10">
        <f>'[38]Pro gestao cobranca tabela 1'!$Q$61</f>
        <v>5124482.7499999991</v>
      </c>
      <c r="EA65" s="10">
        <f>'[38]Pro gestao cobranca tabela 1'!$Q$62</f>
        <v>2838290.6700000004</v>
      </c>
      <c r="EB65" s="10">
        <f>'[38]Pro gestao cobranca tabela 1'!$Q$63</f>
        <v>10420.369999999999</v>
      </c>
      <c r="EC65" s="10">
        <f>'[38]Pro gestao cobranca tabela 1'!$Q$64</f>
        <v>0</v>
      </c>
      <c r="ED65" s="10">
        <f>'[38]Pro gestao cobranca tabela 1'!$Q$65</f>
        <v>173677.44000000006</v>
      </c>
      <c r="EE65" s="10">
        <f t="shared" si="159"/>
        <v>11459679.359999998</v>
      </c>
      <c r="EF65" s="10">
        <f>'[38]Pro gestao cobranca tabela 1'!$Q$67</f>
        <v>3070085.3900000015</v>
      </c>
      <c r="EG65" s="10">
        <f>'[38]Pro gestao cobranca tabela 1'!$Q$68</f>
        <v>5005528.4800000032</v>
      </c>
      <c r="EH65" s="10">
        <f>'[38]Pro gestao cobranca tabela 1'!$Q$69</f>
        <v>2825380.43</v>
      </c>
      <c r="EI65" s="10">
        <f>'[38]Pro gestao cobranca tabela 1'!$Q$70</f>
        <v>8915.7999999999975</v>
      </c>
      <c r="EJ65" s="10">
        <f>'[38]Pro gestao cobranca tabela 1'!$Q$71</f>
        <v>0</v>
      </c>
      <c r="EK65" s="10">
        <f>'[38]Pro gestao cobranca tabela 1'!$Q$72</f>
        <v>118143.75</v>
      </c>
      <c r="EL65" s="10">
        <f t="shared" si="160"/>
        <v>11028053.850000005</v>
      </c>
      <c r="EM65" s="10">
        <f>[26]MG!$R$60</f>
        <v>3123976.0800000005</v>
      </c>
      <c r="EN65" s="10">
        <f>[26]MG!$R$61</f>
        <v>5564156.1700000027</v>
      </c>
      <c r="EO65" s="10">
        <f>[26]MG!$R$62</f>
        <v>3313391.07</v>
      </c>
      <c r="EP65" s="10">
        <f>[26]MG!$R$63</f>
        <v>4877.59</v>
      </c>
      <c r="EQ65" s="10">
        <f>[26]MG!$R$64</f>
        <v>0</v>
      </c>
      <c r="ER65" s="10">
        <f>[26]MG!$R$65</f>
        <v>432263.18999999989</v>
      </c>
      <c r="ES65" s="10">
        <f t="shared" si="150"/>
        <v>12438664.100000003</v>
      </c>
      <c r="ET65" s="10">
        <f>[26]MG!$R$67</f>
        <v>3306863.1300000036</v>
      </c>
      <c r="EU65" s="10">
        <f>[26]MG!$R$68</f>
        <v>5445645.4899999984</v>
      </c>
      <c r="EV65" s="10">
        <f>[26]MG!$R$69</f>
        <v>3142054.6899999985</v>
      </c>
      <c r="EW65" s="10">
        <f>[26]MG!$R$70</f>
        <v>1055.5900000000001</v>
      </c>
      <c r="EX65" s="10">
        <f>[26]MG!$R$71</f>
        <v>0</v>
      </c>
      <c r="EY65" s="10">
        <f>[26]MG!$R$72</f>
        <v>348964.54000000021</v>
      </c>
      <c r="EZ65" s="10">
        <f t="shared" si="161"/>
        <v>12244583.439999999</v>
      </c>
      <c r="FA65" s="172">
        <f>[27]MG!$R$25</f>
        <v>3923621.09</v>
      </c>
      <c r="FB65" s="172">
        <f>[27]MG!$S$25</f>
        <v>9102668.4000000004</v>
      </c>
      <c r="FC65" s="172"/>
      <c r="FD65" s="172">
        <f>[27]MG!$Q$25</f>
        <v>7076.18</v>
      </c>
      <c r="FE65" s="172"/>
      <c r="FF65" s="172">
        <f>[27]MG!$T$25</f>
        <v>826667.93</v>
      </c>
      <c r="FG65" s="10">
        <f t="shared" si="167"/>
        <v>13860033.6</v>
      </c>
      <c r="FH65" s="172">
        <f>[27]MG!$V$25</f>
        <v>3741534.31</v>
      </c>
      <c r="FI65" s="172">
        <f>[27]MG!$W$25</f>
        <v>9219700.8900000006</v>
      </c>
      <c r="FJ65" s="172"/>
      <c r="FK65" s="172">
        <f>[27]MG!$U$25</f>
        <v>6438.29</v>
      </c>
      <c r="FL65" s="172"/>
      <c r="FM65" s="172">
        <f>[27]MG!$X$25</f>
        <v>609533.81000000006</v>
      </c>
      <c r="FN65" s="10">
        <f t="shared" si="168"/>
        <v>13577207.300000001</v>
      </c>
      <c r="FO65" s="10">
        <f>[28]MG!R15</f>
        <v>5573462.2400000002</v>
      </c>
      <c r="FP65" s="10">
        <f>[28]MG!S15</f>
        <v>9169361.8000000007</v>
      </c>
      <c r="FQ65" s="10"/>
      <c r="FR65" s="10">
        <f>[28]MG!Q15</f>
        <v>17404.87</v>
      </c>
      <c r="FS65" s="10"/>
      <c r="FT65" s="10">
        <f>[28]MG!T15</f>
        <v>490733.12</v>
      </c>
      <c r="FU65" s="10">
        <f t="shared" si="151"/>
        <v>15250962.029999999</v>
      </c>
      <c r="FV65" s="10">
        <f>[28]MG!V15</f>
        <v>2257530.58</v>
      </c>
      <c r="FW65" s="10">
        <f>[28]MG!W15</f>
        <v>9635551.0800000001</v>
      </c>
      <c r="FX65" s="10"/>
      <c r="FY65" s="10">
        <f>[28]MG!U15</f>
        <v>11139.63</v>
      </c>
      <c r="FZ65" s="10"/>
      <c r="GA65" s="10">
        <f>[28]MG!X15</f>
        <v>512345.21</v>
      </c>
      <c r="GB65" s="10">
        <f t="shared" si="164"/>
        <v>12416566.500000002</v>
      </c>
      <c r="GC65" s="149">
        <f t="shared" si="165"/>
        <v>146137123.16999999</v>
      </c>
      <c r="GD65" s="149">
        <f t="shared" si="166"/>
        <v>139048959.19494972</v>
      </c>
      <c r="GE65" s="218"/>
      <c r="GG65" s="36"/>
      <c r="GH65" s="36"/>
      <c r="GI65" s="36"/>
      <c r="GJ65" s="36"/>
    </row>
    <row r="66" spans="1:192" s="5" customFormat="1" ht="12.75" x14ac:dyDescent="0.2">
      <c r="A66" s="247"/>
      <c r="B66" s="15" t="s">
        <v>21</v>
      </c>
      <c r="C66" s="1" t="s">
        <v>14</v>
      </c>
      <c r="D66" s="2">
        <v>40909</v>
      </c>
      <c r="E66" s="50"/>
      <c r="F66" s="50"/>
      <c r="G66" s="50"/>
      <c r="H66" s="50"/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  <c r="AJ66" s="50"/>
      <c r="AK66" s="148">
        <v>692061.30999999994</v>
      </c>
      <c r="AL66" s="148">
        <v>654043.9</v>
      </c>
      <c r="AM66" s="148">
        <v>1328630.4599999997</v>
      </c>
      <c r="AN66" s="148">
        <v>1339596.17</v>
      </c>
      <c r="AO66" s="148">
        <v>2350744.1900000023</v>
      </c>
      <c r="AP66" s="148">
        <v>2287857.4400000013</v>
      </c>
      <c r="AQ66" s="148">
        <v>2671843.5199999996</v>
      </c>
      <c r="AR66" s="148">
        <v>2642322.1199999992</v>
      </c>
      <c r="AS66" s="148">
        <v>517446.07999999984</v>
      </c>
      <c r="AT66" s="148">
        <v>408361.99000000022</v>
      </c>
      <c r="AU66" s="148">
        <v>2047737.2199999997</v>
      </c>
      <c r="AV66" s="148">
        <v>426.34</v>
      </c>
      <c r="AW66" s="148">
        <v>0</v>
      </c>
      <c r="AX66" s="148">
        <v>14305.010000000004</v>
      </c>
      <c r="AY66" s="10">
        <f t="shared" si="147"/>
        <v>2988276.6399999997</v>
      </c>
      <c r="AZ66" s="148">
        <v>381874.88999999978</v>
      </c>
      <c r="BA66" s="148">
        <v>406477.01</v>
      </c>
      <c r="BB66" s="148">
        <v>1769585.25</v>
      </c>
      <c r="BC66" s="148">
        <v>273.26</v>
      </c>
      <c r="BD66" s="148">
        <v>0</v>
      </c>
      <c r="BE66" s="148">
        <v>2743.6699999999992</v>
      </c>
      <c r="BF66" s="10">
        <f t="shared" si="148"/>
        <v>2560954.0799999996</v>
      </c>
      <c r="BG66" s="148">
        <v>1134278.3200000008</v>
      </c>
      <c r="BH66" s="148">
        <v>386617.73999999993</v>
      </c>
      <c r="BI66" s="148">
        <v>2695816.4199999995</v>
      </c>
      <c r="BJ66" s="148">
        <v>329.57</v>
      </c>
      <c r="BK66" s="148">
        <v>0</v>
      </c>
      <c r="BL66" s="148">
        <v>18191.649999999998</v>
      </c>
      <c r="BM66" s="10">
        <f t="shared" si="152"/>
        <v>4235233.7000000011</v>
      </c>
      <c r="BN66" s="148">
        <v>679235.46999999974</v>
      </c>
      <c r="BO66" s="148">
        <v>384683.04999999987</v>
      </c>
      <c r="BP66" s="148">
        <v>1542483.9199999997</v>
      </c>
      <c r="BQ66" s="148">
        <v>83.25</v>
      </c>
      <c r="BR66" s="148">
        <v>0</v>
      </c>
      <c r="BS66" s="148">
        <v>2768.1899999999996</v>
      </c>
      <c r="BT66" s="10">
        <f t="shared" si="153"/>
        <v>2609253.8799999994</v>
      </c>
      <c r="BU66" s="148">
        <v>650797.42000000027</v>
      </c>
      <c r="BV66" s="148">
        <v>327476.59999999998</v>
      </c>
      <c r="BW66" s="148">
        <v>1897244.3599999996</v>
      </c>
      <c r="BX66" s="148">
        <v>83.25</v>
      </c>
      <c r="BY66" s="148">
        <v>0</v>
      </c>
      <c r="BZ66" s="148">
        <v>7871.9500000000007</v>
      </c>
      <c r="CA66" s="10">
        <f t="shared" si="65"/>
        <v>2883473.58</v>
      </c>
      <c r="CB66" s="148">
        <v>718680.4424997383</v>
      </c>
      <c r="CC66" s="148">
        <v>408236.21</v>
      </c>
      <c r="CD66" s="148">
        <v>2809272.6944118342</v>
      </c>
      <c r="CE66" s="148">
        <v>84.91</v>
      </c>
      <c r="CF66" s="148">
        <v>0</v>
      </c>
      <c r="CG66" s="148">
        <v>251.92999999999998</v>
      </c>
      <c r="CH66" s="10">
        <f t="shared" si="149"/>
        <v>3936526.1869115732</v>
      </c>
      <c r="CI66" s="148">
        <f>'[37]CRH MG 2021'!CI10</f>
        <v>521216.56000000006</v>
      </c>
      <c r="CJ66" s="148">
        <f>'[37]CRH MG 2021'!CJ10</f>
        <v>327854.98</v>
      </c>
      <c r="CK66" s="148">
        <f>'[37]CRH MG 2021'!CK10</f>
        <v>2127772.8200000003</v>
      </c>
      <c r="CL66" s="148">
        <f>'[37]CRH MG 2021'!CL10</f>
        <v>0</v>
      </c>
      <c r="CM66" s="148">
        <f>'[37]CRH MG 2021'!CM10</f>
        <v>0</v>
      </c>
      <c r="CN66" s="148">
        <f>'[37]CRH MG 2021'!CN10</f>
        <v>9716.07</v>
      </c>
      <c r="CO66" s="10">
        <f t="shared" si="154"/>
        <v>2986560.43</v>
      </c>
      <c r="CP66" s="148">
        <f>'[37]CRH MG 2021'!CP10</f>
        <v>578976.10954559012</v>
      </c>
      <c r="CQ66" s="148">
        <f>'[37]CRH MG 2021'!CQ10</f>
        <v>326872.67000000004</v>
      </c>
      <c r="CR66" s="148">
        <f>'[37]CRH MG 2021'!CR10</f>
        <v>2364543.3084082152</v>
      </c>
      <c r="CS66" s="148">
        <f>'[37]CRH MG 2021'!CS10</f>
        <v>0</v>
      </c>
      <c r="CT66" s="148">
        <f>'[37]CRH MG 2021'!CT10</f>
        <v>0</v>
      </c>
      <c r="CU66" s="148">
        <f>'[37]CRH MG 2021'!CU10</f>
        <v>1062.1499999999999</v>
      </c>
      <c r="CV66" s="10">
        <f t="shared" si="155"/>
        <v>3271454.2379538054</v>
      </c>
      <c r="CW66" s="150">
        <f>'[37]CRH MG 2021'!CW10</f>
        <v>459554.46</v>
      </c>
      <c r="CX66" s="150">
        <f>'[37]CRH MG 2021'!CX10</f>
        <v>285850.09999999998</v>
      </c>
      <c r="CY66" s="150">
        <f>'[37]CRH MG 2021'!CY10</f>
        <v>1736587.9100000001</v>
      </c>
      <c r="CZ66" s="150">
        <f>'[37]CRH MG 2021'!CZ10</f>
        <v>0</v>
      </c>
      <c r="DA66" s="150">
        <f>'[37]CRH MG 2021'!DA10</f>
        <v>0</v>
      </c>
      <c r="DB66" s="150">
        <f>'[37]CRH MG 2021'!DB10</f>
        <v>6384.5400000000009</v>
      </c>
      <c r="DC66" s="150">
        <f>'[37]CRH MG 2021'!DC10</f>
        <v>2488377.0100000002</v>
      </c>
      <c r="DD66" s="150">
        <f>'[37]CRH MG 2021'!DD10</f>
        <v>553869.54328911926</v>
      </c>
      <c r="DE66" s="150">
        <f>'[37]CRH MG 2021'!DE10</f>
        <v>324224.90000000002</v>
      </c>
      <c r="DF66" s="150">
        <f>'[37]CRH MG 2021'!DF10</f>
        <v>1743263.8415558951</v>
      </c>
      <c r="DG66" s="150">
        <f>'[37]CRH MG 2021'!DG10</f>
        <v>0</v>
      </c>
      <c r="DH66" s="150">
        <f>'[37]CRH MG 2021'!DH10</f>
        <v>0</v>
      </c>
      <c r="DI66" s="150">
        <f>'[37]CRH MG 2021'!DI10</f>
        <v>416.78999999999996</v>
      </c>
      <c r="DJ66" s="10">
        <f t="shared" si="156"/>
        <v>2621775.0748450141</v>
      </c>
      <c r="DK66" s="10">
        <f>'[37]CRH MG 2021'!DK10</f>
        <v>618125.99</v>
      </c>
      <c r="DL66" s="10">
        <f>'[37]CRH MG 2021'!DL10</f>
        <v>129089.11</v>
      </c>
      <c r="DM66" s="10">
        <f>'[37]CRH MG 2021'!DM10</f>
        <v>935904.69</v>
      </c>
      <c r="DN66" s="10">
        <f>'[37]CRH MG 2021'!DN10</f>
        <v>0</v>
      </c>
      <c r="DO66" s="10">
        <f>'[37]CRH MG 2021'!DO10</f>
        <v>0</v>
      </c>
      <c r="DP66" s="10">
        <f>'[37]CRH MG 2021'!DP10</f>
        <v>56045.46</v>
      </c>
      <c r="DQ66" s="10">
        <f t="shared" si="157"/>
        <v>1739165.25</v>
      </c>
      <c r="DR66" s="10">
        <f>'[37]CRH MG 2021'!DR10</f>
        <v>528362.28578465607</v>
      </c>
      <c r="DS66" s="10">
        <f>'[37]CRH MG 2021'!DS10</f>
        <v>2638.32</v>
      </c>
      <c r="DT66" s="10">
        <f>'[37]CRH MG 2021'!DT10</f>
        <v>524909.54</v>
      </c>
      <c r="DU66" s="10">
        <f>'[37]CRH MG 2021'!DU10</f>
        <v>0</v>
      </c>
      <c r="DV66" s="10">
        <f>'[37]CRH MG 2021'!DV10</f>
        <v>0</v>
      </c>
      <c r="DW66" s="10">
        <f>'[37]CRH MG 2021'!DW10</f>
        <v>17627.21</v>
      </c>
      <c r="DX66" s="10">
        <f t="shared" si="158"/>
        <v>1073537.355784656</v>
      </c>
      <c r="DY66" s="10">
        <f>'[38]Pro gestao cobranca tabela 1'!$Q$74</f>
        <v>535777.56000000017</v>
      </c>
      <c r="DZ66" s="10">
        <f>'[38]Pro gestao cobranca tabela 1'!$Q$75</f>
        <v>371447.72000000003</v>
      </c>
      <c r="EA66" s="10">
        <f>'[38]Pro gestao cobranca tabela 1'!$Q$76</f>
        <v>618195.78</v>
      </c>
      <c r="EB66" s="10">
        <f>'[38]Pro gestao cobranca tabela 1'!$Q$77</f>
        <v>6561.85</v>
      </c>
      <c r="EC66" s="10">
        <f>'[38]Pro gestao cobranca tabela 1'!$Q$78</f>
        <v>0</v>
      </c>
      <c r="ED66" s="10">
        <f>'[38]Pro gestao cobranca tabela 1'!$Q$79</f>
        <v>323797.42999999993</v>
      </c>
      <c r="EE66" s="10">
        <f t="shared" si="159"/>
        <v>1855780.3400000003</v>
      </c>
      <c r="EF66" s="10">
        <f>'[38]Pro gestao cobranca tabela 1'!$Q$81</f>
        <v>356622.99</v>
      </c>
      <c r="EG66" s="10">
        <f>'[38]Pro gestao cobranca tabela 1'!$Q$82</f>
        <v>364376.89999999997</v>
      </c>
      <c r="EH66" s="10">
        <f>'[38]Pro gestao cobranca tabela 1'!$Q$83</f>
        <v>714706.75</v>
      </c>
      <c r="EI66" s="10">
        <f>'[38]Pro gestao cobranca tabela 1'!$Q$84</f>
        <v>6103.21</v>
      </c>
      <c r="EJ66" s="10">
        <f>'[38]Pro gestao cobranca tabela 1'!$Q$85</f>
        <v>0</v>
      </c>
      <c r="EK66" s="10">
        <f>'[38]Pro gestao cobranca tabela 1'!$Q$86</f>
        <v>13932.53</v>
      </c>
      <c r="EL66" s="10">
        <f t="shared" si="160"/>
        <v>1455742.38</v>
      </c>
      <c r="EM66" s="10">
        <f>[26]MG!$R$74</f>
        <v>519268.67000000016</v>
      </c>
      <c r="EN66" s="10">
        <f>[26]MG!$R$75</f>
        <v>2153399.84</v>
      </c>
      <c r="EO66" s="10">
        <f>[26]MG!$R$76</f>
        <v>1409456.12</v>
      </c>
      <c r="EP66" s="10">
        <f>[26]MG!$R$77</f>
        <v>1082.45</v>
      </c>
      <c r="EQ66" s="10">
        <f>[26]MG!$R$78</f>
        <v>0</v>
      </c>
      <c r="ER66" s="10">
        <f>[26]MG!$R$79</f>
        <v>47726.689999999995</v>
      </c>
      <c r="ES66" s="10">
        <f t="shared" si="150"/>
        <v>4130933.77</v>
      </c>
      <c r="ET66" s="10">
        <f>[26]MG!$R$81</f>
        <v>362332.89999999973</v>
      </c>
      <c r="EU66" s="10">
        <f>[26]MG!$R$82</f>
        <v>502522.14999999997</v>
      </c>
      <c r="EV66" s="10">
        <f>[26]MG!$R$83</f>
        <v>1539183.75</v>
      </c>
      <c r="EW66" s="10">
        <f>[26]MG!$R$84</f>
        <v>552.72</v>
      </c>
      <c r="EX66" s="10">
        <f>[26]MG!$R$85</f>
        <v>0</v>
      </c>
      <c r="EY66" s="10">
        <f>[26]MG!$R$86</f>
        <v>25294.35999999999</v>
      </c>
      <c r="EZ66" s="10">
        <f t="shared" si="161"/>
        <v>2429885.88</v>
      </c>
      <c r="FA66" s="172">
        <f>[27]MG!$R$26</f>
        <v>528636.02</v>
      </c>
      <c r="FB66" s="172">
        <f>[27]MG!$S$26</f>
        <v>3230076.21</v>
      </c>
      <c r="FC66" s="172"/>
      <c r="FD66" s="172">
        <f>[27]MG!$Q$26</f>
        <v>9920.81</v>
      </c>
      <c r="FE66" s="172"/>
      <c r="FF66" s="172">
        <f>[27]MG!$T$26</f>
        <v>67430.48</v>
      </c>
      <c r="FG66" s="10">
        <f t="shared" si="167"/>
        <v>3836063.52</v>
      </c>
      <c r="FH66" s="172">
        <f>[27]MG!$V$26</f>
        <v>423644.36</v>
      </c>
      <c r="FI66" s="172">
        <f>[27]MG!$W$26</f>
        <v>3277997.22</v>
      </c>
      <c r="FJ66" s="172"/>
      <c r="FK66" s="172">
        <f>[27]MG!$U$26</f>
        <v>1053.6400000000001</v>
      </c>
      <c r="FL66" s="172"/>
      <c r="FM66" s="172">
        <f>[27]MG!$X$26</f>
        <v>29333.81</v>
      </c>
      <c r="FN66" s="10">
        <f t="shared" si="168"/>
        <v>3732029.0300000003</v>
      </c>
      <c r="FO66" s="10">
        <f>[28]MG!R16</f>
        <v>406985.33</v>
      </c>
      <c r="FP66" s="10">
        <f>[28]MG!S16</f>
        <v>1835679.86</v>
      </c>
      <c r="FQ66" s="10"/>
      <c r="FR66" s="10">
        <f>[28]MG!Q16</f>
        <v>33568.19</v>
      </c>
      <c r="FS66" s="10"/>
      <c r="FT66" s="10">
        <f>[28]MG!T16</f>
        <v>81597.77</v>
      </c>
      <c r="FU66" s="10">
        <f t="shared" si="151"/>
        <v>2357831.15</v>
      </c>
      <c r="FV66" s="10">
        <f>[28]MG!V16</f>
        <v>254501.14</v>
      </c>
      <c r="FW66" s="10">
        <f>[28]MG!W16</f>
        <v>1927886.47</v>
      </c>
      <c r="FX66" s="10"/>
      <c r="FY66" s="10">
        <f>[28]MG!U16</f>
        <v>12801.33</v>
      </c>
      <c r="FZ66" s="10"/>
      <c r="GA66" s="10">
        <f>[28]MG!X16</f>
        <v>66618.34</v>
      </c>
      <c r="GB66" s="10">
        <f t="shared" si="164"/>
        <v>2261807.2799999998</v>
      </c>
      <c r="GC66" s="149">
        <f t="shared" si="165"/>
        <v>36544974.870000005</v>
      </c>
      <c r="GD66" s="149">
        <f t="shared" si="166"/>
        <v>32876785.015495047</v>
      </c>
      <c r="GE66" s="218"/>
      <c r="GG66" s="36"/>
      <c r="GH66" s="36"/>
      <c r="GI66" s="36"/>
      <c r="GJ66" s="36"/>
    </row>
    <row r="67" spans="1:192" s="5" customFormat="1" ht="12.75" x14ac:dyDescent="0.2">
      <c r="A67" s="247"/>
      <c r="B67" s="15" t="s">
        <v>22</v>
      </c>
      <c r="C67" s="1" t="s">
        <v>14</v>
      </c>
      <c r="D67" s="2">
        <v>40909</v>
      </c>
      <c r="E67" s="50"/>
      <c r="F67" s="50"/>
      <c r="G67" s="50"/>
      <c r="H67" s="50"/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  <c r="AJ67" s="50"/>
      <c r="AK67" s="148">
        <v>316748.06999999995</v>
      </c>
      <c r="AL67" s="148">
        <v>309629.41999999987</v>
      </c>
      <c r="AM67" s="148">
        <v>515537.52999999985</v>
      </c>
      <c r="AN67" s="148">
        <v>570137.48999999987</v>
      </c>
      <c r="AO67" s="148">
        <v>779399.74000000022</v>
      </c>
      <c r="AP67" s="148">
        <v>670994.41000000027</v>
      </c>
      <c r="AQ67" s="148">
        <v>694614.32999999984</v>
      </c>
      <c r="AR67" s="148">
        <v>594208.73999999976</v>
      </c>
      <c r="AS67" s="148">
        <v>720294.69</v>
      </c>
      <c r="AT67" s="148">
        <v>91546.419999999984</v>
      </c>
      <c r="AU67" s="148">
        <v>2543.62</v>
      </c>
      <c r="AV67" s="148">
        <v>4886.8200000000006</v>
      </c>
      <c r="AW67" s="148">
        <v>0</v>
      </c>
      <c r="AX67" s="148">
        <v>145634.63999999998</v>
      </c>
      <c r="AY67" s="10">
        <f t="shared" si="147"/>
        <v>964906.18999999983</v>
      </c>
      <c r="AZ67" s="148">
        <v>506644.67</v>
      </c>
      <c r="BA67" s="148">
        <v>87482.709999999992</v>
      </c>
      <c r="BB67" s="148">
        <v>2609.5100000000002</v>
      </c>
      <c r="BC67" s="148">
        <v>3293.42</v>
      </c>
      <c r="BD67" s="148">
        <v>0</v>
      </c>
      <c r="BE67" s="148">
        <v>78050.169999999969</v>
      </c>
      <c r="BF67" s="10">
        <f t="shared" si="148"/>
        <v>678080.48</v>
      </c>
      <c r="BG67" s="148">
        <v>2550237.1100000008</v>
      </c>
      <c r="BH67" s="148">
        <v>116878.51</v>
      </c>
      <c r="BI67" s="148">
        <v>8547.9399999999987</v>
      </c>
      <c r="BJ67" s="148">
        <v>6518.1599999999989</v>
      </c>
      <c r="BK67" s="148">
        <v>0</v>
      </c>
      <c r="BL67" s="148">
        <v>130691.19000000002</v>
      </c>
      <c r="BM67" s="10">
        <f>SUM(BG67:BL67)</f>
        <v>2812872.9100000006</v>
      </c>
      <c r="BN67" s="148">
        <v>657687.95000000042</v>
      </c>
      <c r="BO67" s="148">
        <v>117147.81999999999</v>
      </c>
      <c r="BP67" s="148">
        <v>3906.3099999999995</v>
      </c>
      <c r="BQ67" s="148">
        <v>4671.54</v>
      </c>
      <c r="BR67" s="148">
        <v>0</v>
      </c>
      <c r="BS67" s="148">
        <v>6515.26</v>
      </c>
      <c r="BT67" s="10">
        <f t="shared" si="153"/>
        <v>789928.88000000047</v>
      </c>
      <c r="BU67" s="148">
        <v>966640.38000000047</v>
      </c>
      <c r="BV67" s="148">
        <v>113348.40000000001</v>
      </c>
      <c r="BW67" s="148">
        <v>21473.640000000007</v>
      </c>
      <c r="BX67" s="148">
        <v>5733.32</v>
      </c>
      <c r="BY67" s="148">
        <v>0</v>
      </c>
      <c r="BZ67" s="148">
        <v>8531.36</v>
      </c>
      <c r="CA67" s="10">
        <f t="shared" si="65"/>
        <v>1115727.1000000006</v>
      </c>
      <c r="CB67" s="148">
        <v>763363.13711027161</v>
      </c>
      <c r="CC67" s="148">
        <v>88384.770000000019</v>
      </c>
      <c r="CD67" s="148">
        <v>11825.140000000003</v>
      </c>
      <c r="CE67" s="148">
        <v>4968.59</v>
      </c>
      <c r="CF67" s="148">
        <v>0</v>
      </c>
      <c r="CG67" s="148">
        <v>6167.77</v>
      </c>
      <c r="CH67" s="10">
        <f t="shared" si="149"/>
        <v>874709.40711027163</v>
      </c>
      <c r="CI67" s="148">
        <f>'[37]CRH MG 2021'!CI11</f>
        <v>1754294.4599999974</v>
      </c>
      <c r="CJ67" s="148">
        <f>'[37]CRH MG 2021'!CJ11</f>
        <v>95686.440000000017</v>
      </c>
      <c r="CK67" s="148">
        <f>'[37]CRH MG 2021'!CK11</f>
        <v>21473.640000000007</v>
      </c>
      <c r="CL67" s="148">
        <f>'[37]CRH MG 2021'!CL11</f>
        <v>7780.0300000000007</v>
      </c>
      <c r="CM67" s="148">
        <f>'[37]CRH MG 2021'!CM11</f>
        <v>0</v>
      </c>
      <c r="CN67" s="148">
        <f>'[37]CRH MG 2021'!CN11</f>
        <v>6314.8200000000006</v>
      </c>
      <c r="CO67" s="10">
        <f t="shared" si="154"/>
        <v>1885549.3899999973</v>
      </c>
      <c r="CP67" s="148">
        <f>'[37]CRH MG 2021'!CP11</f>
        <v>851282.94409583078</v>
      </c>
      <c r="CQ67" s="148">
        <f>'[37]CRH MG 2021'!CQ11</f>
        <v>89560.56</v>
      </c>
      <c r="CR67" s="148">
        <f>'[37]CRH MG 2021'!CR11</f>
        <v>10112.65</v>
      </c>
      <c r="CS67" s="148">
        <f>'[37]CRH MG 2021'!CS11</f>
        <v>7271.8200000000015</v>
      </c>
      <c r="CT67" s="148">
        <f>'[37]CRH MG 2021'!CT11</f>
        <v>0</v>
      </c>
      <c r="CU67" s="148">
        <f>'[37]CRH MG 2021'!CU11</f>
        <v>7154.0400000000009</v>
      </c>
      <c r="CV67" s="10">
        <f t="shared" si="155"/>
        <v>965382.01409583073</v>
      </c>
      <c r="CW67" s="150">
        <f>'[37]CRH MG 2021'!CW11</f>
        <v>1022151.7099999995</v>
      </c>
      <c r="CX67" s="150">
        <f>'[37]CRH MG 2021'!CX11</f>
        <v>90923.750000000015</v>
      </c>
      <c r="CY67" s="150">
        <f>'[37]CRH MG 2021'!CY11</f>
        <v>12445.09</v>
      </c>
      <c r="CZ67" s="150">
        <f>'[37]CRH MG 2021'!CZ11</f>
        <v>24413.680000000004</v>
      </c>
      <c r="DA67" s="150">
        <f>'[37]CRH MG 2021'!DA11</f>
        <v>0</v>
      </c>
      <c r="DB67" s="150">
        <f>'[37]CRH MG 2021'!DB11</f>
        <v>265952.02</v>
      </c>
      <c r="DC67" s="150">
        <f>'[37]CRH MG 2021'!DC11</f>
        <v>1415886.2499999995</v>
      </c>
      <c r="DD67" s="150">
        <f>'[37]CRH MG 2021'!DD11</f>
        <v>916727.94531014294</v>
      </c>
      <c r="DE67" s="150">
        <f>'[37]CRH MG 2021'!DE11</f>
        <v>80245.279999999999</v>
      </c>
      <c r="DF67" s="150">
        <f>'[37]CRH MG 2021'!DF11</f>
        <v>4471.21</v>
      </c>
      <c r="DG67" s="150">
        <f>'[37]CRH MG 2021'!DG11</f>
        <v>5725.2099999999991</v>
      </c>
      <c r="DH67" s="150">
        <f>'[37]CRH MG 2021'!DH11</f>
        <v>0</v>
      </c>
      <c r="DI67" s="150">
        <f>'[37]CRH MG 2021'!DI11</f>
        <v>4918.93</v>
      </c>
      <c r="DJ67" s="10">
        <f t="shared" si="156"/>
        <v>1012088.5753101429</v>
      </c>
      <c r="DK67" s="10">
        <f>'[37]CRH MG 2021'!DK11</f>
        <v>1282870.2500000007</v>
      </c>
      <c r="DL67" s="10">
        <f>'[37]CRH MG 2021'!DL11</f>
        <v>73751.880000000019</v>
      </c>
      <c r="DM67" s="10">
        <f>'[37]CRH MG 2021'!DM11</f>
        <v>4761.51</v>
      </c>
      <c r="DN67" s="10">
        <f>'[37]CRH MG 2021'!DN11</f>
        <v>6950.05</v>
      </c>
      <c r="DO67" s="10">
        <f>'[37]CRH MG 2021'!DO11</f>
        <v>0</v>
      </c>
      <c r="DP67" s="10">
        <f>'[37]CRH MG 2021'!DP11</f>
        <v>257703.33999999997</v>
      </c>
      <c r="DQ67" s="10">
        <f t="shared" si="157"/>
        <v>1626037.0300000007</v>
      </c>
      <c r="DR67" s="10">
        <f>'[37]CRH MG 2021'!DR11</f>
        <v>318455.37475565821</v>
      </c>
      <c r="DS67" s="10">
        <f>'[37]CRH MG 2021'!DS11</f>
        <v>5716.1900000000005</v>
      </c>
      <c r="DT67" s="10">
        <f>'[37]CRH MG 2021'!DT11</f>
        <v>7177.2273738052763</v>
      </c>
      <c r="DU67" s="10">
        <f>'[37]CRH MG 2021'!DU11</f>
        <v>1328.4499999999998</v>
      </c>
      <c r="DV67" s="10">
        <f>'[37]CRH MG 2021'!DV11</f>
        <v>0</v>
      </c>
      <c r="DW67" s="10">
        <f>'[37]CRH MG 2021'!DW11</f>
        <v>53740.12999999999</v>
      </c>
      <c r="DX67" s="10">
        <f t="shared" si="158"/>
        <v>386417.37212946353</v>
      </c>
      <c r="DY67" s="10">
        <f>'[38]Pro gestao cobranca tabela 1'!$Q$88</f>
        <v>1343806.0000000002</v>
      </c>
      <c r="DZ67" s="10">
        <f>'[38]Pro gestao cobranca tabela 1'!$Q$89</f>
        <v>77141.51999999999</v>
      </c>
      <c r="EA67" s="10">
        <f>'[38]Pro gestao cobranca tabela 1'!$Q$90</f>
        <v>0</v>
      </c>
      <c r="EB67" s="10">
        <f>'[38]Pro gestao cobranca tabela 1'!$Q$91</f>
        <v>18031.810000000001</v>
      </c>
      <c r="EC67" s="10">
        <f>'[38]Pro gestao cobranca tabela 1'!$Q$92</f>
        <v>0</v>
      </c>
      <c r="ED67" s="10">
        <f>'[38]Pro gestao cobranca tabela 1'!$Q$93</f>
        <v>122139.07</v>
      </c>
      <c r="EE67" s="10">
        <f t="shared" si="159"/>
        <v>1561118.4000000004</v>
      </c>
      <c r="EF67" s="10">
        <f>'[38]Pro gestao cobranca tabela 1'!$Q$95</f>
        <v>561607.61000000022</v>
      </c>
      <c r="EG67" s="10">
        <f>'[38]Pro gestao cobranca tabela 1'!$Q$96</f>
        <v>16117.869999999999</v>
      </c>
      <c r="EH67" s="10">
        <f>'[38]Pro gestao cobranca tabela 1'!$Q$97</f>
        <v>6282.2499999999991</v>
      </c>
      <c r="EI67" s="10">
        <f>'[38]Pro gestao cobranca tabela 1'!$Q$98</f>
        <v>9791.8500000000022</v>
      </c>
      <c r="EJ67" s="10">
        <f>'[38]Pro gestao cobranca tabela 1'!$Q$99</f>
        <v>0</v>
      </c>
      <c r="EK67" s="10">
        <f>'[38]Pro gestao cobranca tabela 1'!$Q$100</f>
        <v>58273.260000000017</v>
      </c>
      <c r="EL67" s="10">
        <f t="shared" si="160"/>
        <v>652072.8400000002</v>
      </c>
      <c r="EM67" s="10">
        <f>[26]MG!$R$88</f>
        <v>1610323.610000001</v>
      </c>
      <c r="EN67" s="10">
        <f>[26]MG!$R$89</f>
        <v>147828.44999999998</v>
      </c>
      <c r="EO67" s="10">
        <f>[26]MG!$R$90</f>
        <v>17021.87</v>
      </c>
      <c r="EP67" s="10">
        <f>[26]MG!$R$91</f>
        <v>26644.739999999998</v>
      </c>
      <c r="EQ67" s="10">
        <f>[26]MG!$R$92</f>
        <v>0</v>
      </c>
      <c r="ER67" s="10">
        <f>[26]MG!$R$93</f>
        <v>236429.97000000003</v>
      </c>
      <c r="ES67" s="10">
        <f t="shared" si="150"/>
        <v>2038248.6400000011</v>
      </c>
      <c r="ET67" s="10">
        <f>[26]MG!$R$95</f>
        <v>593045.5499999997</v>
      </c>
      <c r="EU67" s="10">
        <f>[26]MG!$R$96</f>
        <v>44098.45</v>
      </c>
      <c r="EV67" s="10">
        <f>[26]MG!$R$97</f>
        <v>8368.0300000000007</v>
      </c>
      <c r="EW67" s="10">
        <f>[26]MG!$R$98</f>
        <v>17779.480000000003</v>
      </c>
      <c r="EX67" s="10">
        <f>[26]MG!$R$99</f>
        <v>0</v>
      </c>
      <c r="EY67" s="10">
        <f>[26]MG!$R$100</f>
        <v>84259.12</v>
      </c>
      <c r="EZ67" s="10">
        <f t="shared" si="161"/>
        <v>747550.62999999966</v>
      </c>
      <c r="FA67" s="172">
        <f>[27]MG!$R$27</f>
        <v>1712963.5</v>
      </c>
      <c r="FB67" s="172">
        <f>[27]MG!$S$27</f>
        <v>350839.92</v>
      </c>
      <c r="FC67" s="172"/>
      <c r="FD67" s="172">
        <f>[27]MG!$Q$27</f>
        <v>47377.8</v>
      </c>
      <c r="FE67" s="172"/>
      <c r="FF67" s="172">
        <f>[27]MG!$T$27</f>
        <v>280507.28000000003</v>
      </c>
      <c r="FG67" s="10">
        <f t="shared" si="167"/>
        <v>2391688.5</v>
      </c>
      <c r="FH67" s="172">
        <f>[27]MG!$V$27</f>
        <v>728449.32</v>
      </c>
      <c r="FI67" s="172">
        <f>[27]MG!$W$27</f>
        <v>81964.899999999994</v>
      </c>
      <c r="FJ67" s="172"/>
      <c r="FK67" s="172">
        <f>[27]MG!$U$27</f>
        <v>21484.799999999999</v>
      </c>
      <c r="FL67" s="172"/>
      <c r="FM67" s="172">
        <f>[27]MG!$X$27</f>
        <v>95398.59</v>
      </c>
      <c r="FN67" s="10">
        <f t="shared" si="168"/>
        <v>927297.61</v>
      </c>
      <c r="FO67" s="10">
        <f>[28]MG!R17</f>
        <v>691446.99</v>
      </c>
      <c r="FP67" s="10">
        <f>[28]MG!S17</f>
        <v>379908.22</v>
      </c>
      <c r="FQ67" s="10"/>
      <c r="FR67" s="10">
        <f>[28]MG!Q17</f>
        <v>173515.82</v>
      </c>
      <c r="FS67" s="10"/>
      <c r="FT67" s="10">
        <f>[28]MG!T17</f>
        <v>245298.87</v>
      </c>
      <c r="FU67" s="10">
        <f t="shared" si="151"/>
        <v>1490169.9</v>
      </c>
      <c r="FV67" s="10">
        <f>[28]MG!V17</f>
        <v>410231.9</v>
      </c>
      <c r="FW67" s="10">
        <f>[28]MG!W17</f>
        <v>190647.5</v>
      </c>
      <c r="FX67" s="10"/>
      <c r="FY67" s="10">
        <f>[28]MG!U17</f>
        <v>76898.59</v>
      </c>
      <c r="FZ67" s="10"/>
      <c r="GA67" s="10">
        <f>[28]MG!X17</f>
        <v>37590.31</v>
      </c>
      <c r="GB67" s="10">
        <f t="shared" si="164"/>
        <v>715368.3</v>
      </c>
      <c r="GC67" s="149">
        <f t="shared" si="165"/>
        <v>19608503.979999997</v>
      </c>
      <c r="GD67" s="149">
        <f t="shared" si="166"/>
        <v>9893866.1686457098</v>
      </c>
      <c r="GE67" s="218"/>
      <c r="GG67" s="36"/>
      <c r="GH67" s="36"/>
      <c r="GI67" s="36"/>
      <c r="GJ67" s="36"/>
    </row>
    <row r="68" spans="1:192" s="5" customFormat="1" ht="12.75" x14ac:dyDescent="0.2">
      <c r="A68" s="247"/>
      <c r="B68" s="15" t="s">
        <v>23</v>
      </c>
      <c r="C68" s="1" t="s">
        <v>14</v>
      </c>
      <c r="D68" s="2">
        <v>40909</v>
      </c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50"/>
      <c r="AK68" s="148">
        <v>344127.92</v>
      </c>
      <c r="AL68" s="148">
        <v>324362.08999999997</v>
      </c>
      <c r="AM68" s="148">
        <v>591007.18000000005</v>
      </c>
      <c r="AN68" s="148">
        <v>721439.9600000002</v>
      </c>
      <c r="AO68" s="148">
        <v>808793.93000000017</v>
      </c>
      <c r="AP68" s="148">
        <v>694343.39</v>
      </c>
      <c r="AQ68" s="148">
        <v>986596.70999999961</v>
      </c>
      <c r="AR68" s="148">
        <v>703728.5499999997</v>
      </c>
      <c r="AS68" s="148">
        <v>1451711.7599999993</v>
      </c>
      <c r="AT68" s="148">
        <v>13238.450000000003</v>
      </c>
      <c r="AU68" s="148">
        <v>0</v>
      </c>
      <c r="AV68" s="148">
        <v>796.11</v>
      </c>
      <c r="AW68" s="148">
        <v>0</v>
      </c>
      <c r="AX68" s="148">
        <v>6886.8499999999995</v>
      </c>
      <c r="AY68" s="10">
        <f t="shared" si="147"/>
        <v>1472633.1699999995</v>
      </c>
      <c r="AZ68" s="148">
        <v>922447.29000000015</v>
      </c>
      <c r="BA68" s="148">
        <v>12139</v>
      </c>
      <c r="BB68" s="148">
        <v>0</v>
      </c>
      <c r="BC68" s="148">
        <v>686.78</v>
      </c>
      <c r="BD68" s="148">
        <v>0</v>
      </c>
      <c r="BE68" s="148">
        <v>6804.3899999999994</v>
      </c>
      <c r="BF68" s="10">
        <f t="shared" si="148"/>
        <v>942077.4600000002</v>
      </c>
      <c r="BG68" s="148">
        <v>2454869.3199999998</v>
      </c>
      <c r="BH68" s="148">
        <v>14777.520000000002</v>
      </c>
      <c r="BI68" s="148">
        <v>0</v>
      </c>
      <c r="BJ68" s="148">
        <v>805.65</v>
      </c>
      <c r="BK68" s="148">
        <v>0</v>
      </c>
      <c r="BL68" s="148">
        <v>14603.800000000003</v>
      </c>
      <c r="BM68" s="10">
        <f t="shared" si="152"/>
        <v>2485056.2899999996</v>
      </c>
      <c r="BN68" s="148">
        <v>969847.22</v>
      </c>
      <c r="BO68" s="148">
        <v>12953.070000000002</v>
      </c>
      <c r="BP68" s="148">
        <v>0</v>
      </c>
      <c r="BQ68" s="148">
        <v>848.89</v>
      </c>
      <c r="BR68" s="148">
        <v>0</v>
      </c>
      <c r="BS68" s="148">
        <v>14414.02</v>
      </c>
      <c r="BT68" s="10">
        <f t="shared" si="153"/>
        <v>998063.2</v>
      </c>
      <c r="BU68" s="148">
        <v>990781.53000000014</v>
      </c>
      <c r="BV68" s="148">
        <v>13237.240000000002</v>
      </c>
      <c r="BW68" s="148">
        <v>0</v>
      </c>
      <c r="BX68" s="148">
        <v>735.12</v>
      </c>
      <c r="BY68" s="148">
        <v>0</v>
      </c>
      <c r="BZ68" s="148">
        <v>25729.269999999997</v>
      </c>
      <c r="CA68" s="10">
        <f t="shared" si="65"/>
        <v>1030483.1600000001</v>
      </c>
      <c r="CB68" s="148">
        <v>845360.23476892372</v>
      </c>
      <c r="CC68" s="148">
        <v>16596.930000000004</v>
      </c>
      <c r="CD68" s="148">
        <v>0</v>
      </c>
      <c r="CE68" s="148">
        <v>878.31</v>
      </c>
      <c r="CF68" s="148">
        <v>0</v>
      </c>
      <c r="CG68" s="148">
        <v>13752.03</v>
      </c>
      <c r="CH68" s="10">
        <f t="shared" si="149"/>
        <v>876587.50476892386</v>
      </c>
      <c r="CI68" s="148">
        <f>'[37]CRH MG 2021'!CI12</f>
        <v>980705.23000000021</v>
      </c>
      <c r="CJ68" s="148">
        <f>'[37]CRH MG 2021'!CJ12</f>
        <v>13237.240000000002</v>
      </c>
      <c r="CK68" s="148">
        <f>'[37]CRH MG 2021'!CK12</f>
        <v>0</v>
      </c>
      <c r="CL68" s="148">
        <f>'[37]CRH MG 2021'!CL12</f>
        <v>735.12</v>
      </c>
      <c r="CM68" s="148">
        <f>'[37]CRH MG 2021'!CM12</f>
        <v>0</v>
      </c>
      <c r="CN68" s="148">
        <f>'[37]CRH MG 2021'!CN12</f>
        <v>25843.920000000002</v>
      </c>
      <c r="CO68" s="10">
        <f t="shared" si="154"/>
        <v>1020521.5100000002</v>
      </c>
      <c r="CP68" s="148">
        <f>'[37]CRH MG 2021'!CP12</f>
        <v>781969.76165585662</v>
      </c>
      <c r="CQ68" s="148">
        <f>'[37]CRH MG 2021'!CQ12</f>
        <v>12804.300000000003</v>
      </c>
      <c r="CR68" s="148">
        <f>'[37]CRH MG 2021'!CR12</f>
        <v>0</v>
      </c>
      <c r="CS68" s="148">
        <f>'[37]CRH MG 2021'!CS12</f>
        <v>555.66</v>
      </c>
      <c r="CT68" s="148">
        <f>'[37]CRH MG 2021'!CT12</f>
        <v>0</v>
      </c>
      <c r="CU68" s="148">
        <f>'[37]CRH MG 2021'!CU12</f>
        <v>7976.6100000000006</v>
      </c>
      <c r="CV68" s="10">
        <f t="shared" si="155"/>
        <v>803306.33165585669</v>
      </c>
      <c r="CW68" s="150">
        <f>'[37]CRH MG 2021'!CW12</f>
        <v>858463.46</v>
      </c>
      <c r="CX68" s="150">
        <f>'[37]CRH MG 2021'!CX12</f>
        <v>11582.590000000002</v>
      </c>
      <c r="CY68" s="150">
        <f>'[37]CRH MG 2021'!CY12</f>
        <v>0</v>
      </c>
      <c r="CZ68" s="150">
        <f>'[37]CRH MG 2021'!CZ12</f>
        <v>527.94000000000005</v>
      </c>
      <c r="DA68" s="150">
        <f>'[37]CRH MG 2021'!DA12</f>
        <v>0</v>
      </c>
      <c r="DB68" s="150">
        <f>'[37]CRH MG 2021'!DB12</f>
        <v>21876.190000000002</v>
      </c>
      <c r="DC68" s="150">
        <f>'[37]CRH MG 2021'!DC12</f>
        <v>892450.17999999993</v>
      </c>
      <c r="DD68" s="150">
        <f>'[37]CRH MG 2021'!DD12</f>
        <v>763597.21690816106</v>
      </c>
      <c r="DE68" s="150">
        <f>'[37]CRH MG 2021'!DE12</f>
        <v>11183.9</v>
      </c>
      <c r="DF68" s="150">
        <f>'[37]CRH MG 2021'!DF12</f>
        <v>0</v>
      </c>
      <c r="DG68" s="150">
        <f>'[37]CRH MG 2021'!DG12</f>
        <v>501.9</v>
      </c>
      <c r="DH68" s="150">
        <f>'[37]CRH MG 2021'!DH12</f>
        <v>0</v>
      </c>
      <c r="DI68" s="150">
        <f>'[37]CRH MG 2021'!DI12</f>
        <v>6839.26</v>
      </c>
      <c r="DJ68" s="10">
        <f t="shared" si="156"/>
        <v>782122.27690816112</v>
      </c>
      <c r="DK68" s="10">
        <f>'[37]CRH MG 2021'!DK12</f>
        <v>364242.37000000017</v>
      </c>
      <c r="DL68" s="10">
        <f>'[37]CRH MG 2021'!DL12</f>
        <v>6225.5</v>
      </c>
      <c r="DM68" s="10">
        <f>'[37]CRH MG 2021'!DM12</f>
        <v>0</v>
      </c>
      <c r="DN68" s="10">
        <f>'[37]CRH MG 2021'!DN12</f>
        <v>1151.3899999999999</v>
      </c>
      <c r="DO68" s="10">
        <f>'[37]CRH MG 2021'!DO12</f>
        <v>0</v>
      </c>
      <c r="DP68" s="10">
        <f>'[37]CRH MG 2021'!DP12</f>
        <v>35461.159999999982</v>
      </c>
      <c r="DQ68" s="10">
        <f t="shared" si="157"/>
        <v>407080.42000000016</v>
      </c>
      <c r="DR68" s="10">
        <f>'[37]CRH MG 2021'!DR12</f>
        <v>270835.96230871713</v>
      </c>
      <c r="DS68" s="10">
        <f>'[37]CRH MG 2021'!DS12</f>
        <v>5581.2</v>
      </c>
      <c r="DT68" s="10">
        <f>'[37]CRH MG 2021'!DT12</f>
        <v>0</v>
      </c>
      <c r="DU68" s="10">
        <f>'[37]CRH MG 2021'!DU12</f>
        <v>160.38</v>
      </c>
      <c r="DV68" s="10">
        <f>'[37]CRH MG 2021'!DV12</f>
        <v>0</v>
      </c>
      <c r="DW68" s="10">
        <f>'[37]CRH MG 2021'!DW12</f>
        <v>0</v>
      </c>
      <c r="DX68" s="10">
        <f t="shared" si="158"/>
        <v>276577.54230871715</v>
      </c>
      <c r="DY68" s="10">
        <f>'[38]Pro gestao cobranca tabela 1'!$Q$102</f>
        <v>789169.2899999998</v>
      </c>
      <c r="DZ68" s="10">
        <f>'[38]Pro gestao cobranca tabela 1'!$Q$103</f>
        <v>16014.18</v>
      </c>
      <c r="EA68" s="10">
        <f>'[38]Pro gestao cobranca tabela 1'!$Q$104</f>
        <v>0</v>
      </c>
      <c r="EB68" s="10">
        <f>'[38]Pro gestao cobranca tabela 1'!$Q$105</f>
        <v>2354.15</v>
      </c>
      <c r="EC68" s="10">
        <f>'[38]Pro gestao cobranca tabela 1'!$Q$106</f>
        <v>0</v>
      </c>
      <c r="ED68" s="10">
        <f>'[38]Pro gestao cobranca tabela 1'!$Q$107</f>
        <v>35251.230000000003</v>
      </c>
      <c r="EE68" s="10">
        <f t="shared" si="159"/>
        <v>842788.84999999986</v>
      </c>
      <c r="EF68" s="10">
        <f>'[38]Pro gestao cobranca tabela 1'!$Q$109</f>
        <v>688026.73</v>
      </c>
      <c r="EG68" s="10">
        <f>'[38]Pro gestao cobranca tabela 1'!$Q$110</f>
        <v>6463.6599999999989</v>
      </c>
      <c r="EH68" s="10">
        <f>'[38]Pro gestao cobranca tabela 1'!$Q$111</f>
        <v>0</v>
      </c>
      <c r="EI68" s="10">
        <f>'[38]Pro gestao cobranca tabela 1'!$Q$112</f>
        <v>0</v>
      </c>
      <c r="EJ68" s="10">
        <f>'[38]Pro gestao cobranca tabela 1'!$Q$113</f>
        <v>0</v>
      </c>
      <c r="EK68" s="10">
        <f>'[38]Pro gestao cobranca tabela 1'!$Q$114</f>
        <v>8193.2899999999991</v>
      </c>
      <c r="EL68" s="10">
        <f t="shared" si="160"/>
        <v>702683.68</v>
      </c>
      <c r="EM68" s="10">
        <f>[26]MG!$R$102</f>
        <v>775301.16999999993</v>
      </c>
      <c r="EN68" s="10">
        <f>[26]MG!$R$103</f>
        <v>20813.209999999995</v>
      </c>
      <c r="EO68" s="10">
        <f>[26]MG!$R$104</f>
        <v>456.03</v>
      </c>
      <c r="EP68" s="10">
        <f>[26]MG!$R$105</f>
        <v>5196.7400000000007</v>
      </c>
      <c r="EQ68" s="10">
        <f>[26]MG!$R$106</f>
        <v>0</v>
      </c>
      <c r="ER68" s="10">
        <f>[26]MG!$R$107</f>
        <v>73630.16</v>
      </c>
      <c r="ES68" s="10">
        <f t="shared" si="150"/>
        <v>875397.30999999994</v>
      </c>
      <c r="ET68" s="10">
        <f>[26]MG!$R$109</f>
        <v>798465.42999999935</v>
      </c>
      <c r="EU68" s="10">
        <f>[26]MG!$R$110</f>
        <v>10326.530000000001</v>
      </c>
      <c r="EV68" s="10">
        <f>[26]MG!$R$111</f>
        <v>0</v>
      </c>
      <c r="EW68" s="10">
        <f>[26]MG!$R$112</f>
        <v>3966.4399999999996</v>
      </c>
      <c r="EX68" s="10">
        <f>[26]MG!$R$113</f>
        <v>0</v>
      </c>
      <c r="EY68" s="10">
        <f>[26]MG!$R$114</f>
        <v>71048.739999999991</v>
      </c>
      <c r="EZ68" s="10">
        <f t="shared" si="161"/>
        <v>883807.13999999932</v>
      </c>
      <c r="FA68" s="172">
        <f>[27]MG!$R$28</f>
        <v>932641.53</v>
      </c>
      <c r="FB68" s="172">
        <f>[27]MG!$S$28</f>
        <v>22740.400000000001</v>
      </c>
      <c r="FC68" s="172"/>
      <c r="FD68" s="172">
        <f>[27]MG!$Q$28</f>
        <v>11753.83</v>
      </c>
      <c r="FE68" s="172"/>
      <c r="FF68" s="172">
        <f>[27]MG!$T$28</f>
        <v>72602.710000000006</v>
      </c>
      <c r="FG68" s="10">
        <f t="shared" si="167"/>
        <v>1039738.47</v>
      </c>
      <c r="FH68" s="172">
        <f>[27]MG!$V$28</f>
        <v>855442.4</v>
      </c>
      <c r="FI68" s="172">
        <f>[27]MG!$W$28</f>
        <v>3934.92</v>
      </c>
      <c r="FJ68" s="172"/>
      <c r="FK68" s="172">
        <f>[27]MG!$U$28</f>
        <v>5514.06</v>
      </c>
      <c r="FL68" s="172"/>
      <c r="FM68" s="172">
        <f>[27]MG!$X$28</f>
        <v>23489.64</v>
      </c>
      <c r="FN68" s="10">
        <f t="shared" si="168"/>
        <v>888381.02000000014</v>
      </c>
      <c r="FO68" s="10">
        <f>[28]MG!R18</f>
        <v>785112.98</v>
      </c>
      <c r="FP68" s="10">
        <f>[28]MG!S18</f>
        <v>19903.03</v>
      </c>
      <c r="FQ68" s="10"/>
      <c r="FR68" s="10">
        <f>[28]MG!Q18</f>
        <v>22049.59</v>
      </c>
      <c r="FS68" s="10"/>
      <c r="FT68" s="10">
        <f>[28]MG!T18</f>
        <v>66583.14</v>
      </c>
      <c r="FU68" s="10">
        <f t="shared" si="151"/>
        <v>893648.74</v>
      </c>
      <c r="FV68" s="10">
        <f>[28]MG!V18</f>
        <v>438788.78</v>
      </c>
      <c r="FW68" s="10">
        <f>[28]MG!W18</f>
        <v>13424.75</v>
      </c>
      <c r="FX68" s="10"/>
      <c r="FY68" s="10">
        <f>[28]MG!U18</f>
        <v>11403.38</v>
      </c>
      <c r="FZ68" s="10"/>
      <c r="GA68" s="10">
        <f>[28]MG!X18</f>
        <v>40179.89</v>
      </c>
      <c r="GB68" s="10">
        <f t="shared" si="164"/>
        <v>503796.80000000005</v>
      </c>
      <c r="GC68" s="149">
        <f t="shared" si="165"/>
        <v>13690323.84</v>
      </c>
      <c r="GD68" s="149">
        <f t="shared" si="166"/>
        <v>10101276.945641659</v>
      </c>
      <c r="GE68" s="218"/>
      <c r="GG68" s="36"/>
      <c r="GH68" s="36"/>
      <c r="GI68" s="36"/>
      <c r="GJ68" s="36"/>
    </row>
    <row r="69" spans="1:192" s="5" customFormat="1" ht="12.75" x14ac:dyDescent="0.2">
      <c r="A69" s="247"/>
      <c r="B69" s="15" t="s">
        <v>24</v>
      </c>
      <c r="C69" s="1" t="s">
        <v>14</v>
      </c>
      <c r="D69" s="2">
        <v>40909</v>
      </c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148">
        <v>384992.31999999995</v>
      </c>
      <c r="AL69" s="148">
        <v>456862.24999999994</v>
      </c>
      <c r="AM69" s="148">
        <v>581560.3600000001</v>
      </c>
      <c r="AN69" s="148">
        <v>544320.20999999985</v>
      </c>
      <c r="AO69" s="148">
        <v>802840.54999999935</v>
      </c>
      <c r="AP69" s="148">
        <v>890070.53999999957</v>
      </c>
      <c r="AQ69" s="148">
        <v>874077.77999999991</v>
      </c>
      <c r="AR69" s="148">
        <v>631095.27000000037</v>
      </c>
      <c r="AS69" s="148">
        <v>1009591.8099999999</v>
      </c>
      <c r="AT69" s="148">
        <v>21547.579999999994</v>
      </c>
      <c r="AU69" s="148">
        <v>6644.6100000000006</v>
      </c>
      <c r="AV69" s="148">
        <v>1832.92</v>
      </c>
      <c r="AW69" s="148">
        <v>0</v>
      </c>
      <c r="AX69" s="148">
        <v>8934.9499999999989</v>
      </c>
      <c r="AY69" s="10">
        <f t="shared" si="147"/>
        <v>1048551.8699999999</v>
      </c>
      <c r="AZ69" s="148">
        <v>856723.23999999987</v>
      </c>
      <c r="BA69" s="148">
        <v>15315.769999999995</v>
      </c>
      <c r="BB69" s="148">
        <v>1673.35</v>
      </c>
      <c r="BC69" s="148">
        <v>902.33000000000015</v>
      </c>
      <c r="BD69" s="148">
        <v>0</v>
      </c>
      <c r="BE69" s="148">
        <v>2706.8299999999995</v>
      </c>
      <c r="BF69" s="10">
        <f t="shared" si="148"/>
        <v>877321.51999999979</v>
      </c>
      <c r="BG69" s="148">
        <v>1718316.8699999985</v>
      </c>
      <c r="BH69" s="148">
        <v>23164.740000000005</v>
      </c>
      <c r="BI69" s="148">
        <v>7147.9299999999976</v>
      </c>
      <c r="BJ69" s="148">
        <v>2214.170000000001</v>
      </c>
      <c r="BK69" s="148">
        <v>0</v>
      </c>
      <c r="BL69" s="148">
        <v>7557.050000000002</v>
      </c>
      <c r="BM69" s="10">
        <f>SUM(BG69:BL69)</f>
        <v>1758400.7599999984</v>
      </c>
      <c r="BN69" s="148">
        <v>912981.66000000015</v>
      </c>
      <c r="BO69" s="148">
        <v>16017.18</v>
      </c>
      <c r="BP69" s="148">
        <v>1886.3700000000001</v>
      </c>
      <c r="BQ69" s="148">
        <v>870.36</v>
      </c>
      <c r="BR69" s="148">
        <v>0</v>
      </c>
      <c r="BS69" s="148">
        <v>3262.4599999999996</v>
      </c>
      <c r="BT69" s="10">
        <f t="shared" si="153"/>
        <v>935018.03000000014</v>
      </c>
      <c r="BU69" s="148">
        <v>1182578.6000000003</v>
      </c>
      <c r="BV69" s="148">
        <v>18074.639999999996</v>
      </c>
      <c r="BW69" s="148">
        <v>8076.6799999999976</v>
      </c>
      <c r="BX69" s="148">
        <v>2656.2200000000003</v>
      </c>
      <c r="BY69" s="148">
        <v>0</v>
      </c>
      <c r="BZ69" s="148">
        <v>3597.9799999999996</v>
      </c>
      <c r="CA69" s="10">
        <f t="shared" si="65"/>
        <v>1214984.1200000001</v>
      </c>
      <c r="CB69" s="148">
        <v>1245666.2320000005</v>
      </c>
      <c r="CC69" s="148">
        <v>13447.199999999997</v>
      </c>
      <c r="CD69" s="148">
        <v>4811.46</v>
      </c>
      <c r="CE69" s="148">
        <v>1873.8800000000003</v>
      </c>
      <c r="CF69" s="148">
        <v>0</v>
      </c>
      <c r="CG69" s="148">
        <v>3143.9799999999996</v>
      </c>
      <c r="CH69" s="10">
        <f t="shared" si="149"/>
        <v>1268942.7520000003</v>
      </c>
      <c r="CI69" s="148">
        <f>'[37]CRH MG 2021'!CI13</f>
        <v>1380313.59</v>
      </c>
      <c r="CJ69" s="148">
        <f>'[37]CRH MG 2021'!CJ13</f>
        <v>17977.439999999999</v>
      </c>
      <c r="CK69" s="148">
        <f>'[37]CRH MG 2021'!CK13</f>
        <v>8014.4799999999987</v>
      </c>
      <c r="CL69" s="148">
        <f>'[37]CRH MG 2021'!CL13</f>
        <v>2150.9600000000005</v>
      </c>
      <c r="CM69" s="148">
        <f>'[37]CRH MG 2021'!CM13</f>
        <v>0</v>
      </c>
      <c r="CN69" s="148">
        <f>'[37]CRH MG 2021'!CN13</f>
        <v>3312.5199999999995</v>
      </c>
      <c r="CO69" s="10">
        <f t="shared" si="154"/>
        <v>1411768.99</v>
      </c>
      <c r="CP69" s="148">
        <f>'[37]CRH MG 2021'!CP13</f>
        <v>1108759.106310728</v>
      </c>
      <c r="CQ69" s="148">
        <f>'[37]CRH MG 2021'!CQ13</f>
        <v>12303.749999999998</v>
      </c>
      <c r="CR69" s="148">
        <f>'[37]CRH MG 2021'!CR13</f>
        <v>2157.6499999999992</v>
      </c>
      <c r="CS69" s="148">
        <f>'[37]CRH MG 2021'!CS13</f>
        <v>1301.96</v>
      </c>
      <c r="CT69" s="148">
        <f>'[37]CRH MG 2021'!CT13</f>
        <v>0</v>
      </c>
      <c r="CU69" s="148">
        <f>'[37]CRH MG 2021'!CU13</f>
        <v>18217.65058395336</v>
      </c>
      <c r="CV69" s="10">
        <f t="shared" si="155"/>
        <v>1142740.1168946812</v>
      </c>
      <c r="CW69" s="150">
        <f>'[37]CRH MG 2021'!CW13</f>
        <v>1052530.9699999997</v>
      </c>
      <c r="CX69" s="150">
        <f>'[37]CRH MG 2021'!CX13</f>
        <v>15544.210000000001</v>
      </c>
      <c r="CY69" s="150">
        <f>'[37]CRH MG 2021'!CY13</f>
        <v>6878.71</v>
      </c>
      <c r="CZ69" s="150">
        <f>'[37]CRH MG 2021'!CZ13</f>
        <v>2141.64</v>
      </c>
      <c r="DA69" s="150">
        <f>'[37]CRH MG 2021'!DA13</f>
        <v>0</v>
      </c>
      <c r="DB69" s="150">
        <f>'[37]CRH MG 2021'!DB13</f>
        <v>2689.73</v>
      </c>
      <c r="DC69" s="150">
        <f>'[37]CRH MG 2021'!DC13</f>
        <v>1079785.2599999995</v>
      </c>
      <c r="DD69" s="150">
        <f>'[37]CRH MG 2021'!DD13</f>
        <v>1185925.1416682887</v>
      </c>
      <c r="DE69" s="150">
        <f>'[37]CRH MG 2021'!DE13</f>
        <v>6000.84</v>
      </c>
      <c r="DF69" s="150">
        <f>'[37]CRH MG 2021'!DF13</f>
        <v>586.12</v>
      </c>
      <c r="DG69" s="150">
        <f>'[37]CRH MG 2021'!DG13</f>
        <v>1463.04</v>
      </c>
      <c r="DH69" s="150">
        <f>'[37]CRH MG 2021'!DH13</f>
        <v>0</v>
      </c>
      <c r="DI69" s="150">
        <f>'[37]CRH MG 2021'!DI13</f>
        <v>33401.828961429499</v>
      </c>
      <c r="DJ69" s="10">
        <f t="shared" si="156"/>
        <v>1227376.9706297184</v>
      </c>
      <c r="DK69" s="10">
        <f>'[37]CRH MG 2021'!DK13</f>
        <v>512456.98999999982</v>
      </c>
      <c r="DL69" s="10">
        <f>'[37]CRH MG 2021'!DL13</f>
        <v>28205.64</v>
      </c>
      <c r="DM69" s="10">
        <f>'[37]CRH MG 2021'!DM13</f>
        <v>2871.4700000000003</v>
      </c>
      <c r="DN69" s="10">
        <f>'[37]CRH MG 2021'!DN13</f>
        <v>3483.38</v>
      </c>
      <c r="DO69" s="10">
        <f>'[37]CRH MG 2021'!DO13</f>
        <v>0</v>
      </c>
      <c r="DP69" s="10">
        <f>'[37]CRH MG 2021'!DP13</f>
        <v>150071.31999999995</v>
      </c>
      <c r="DQ69" s="10">
        <f t="shared" si="157"/>
        <v>697088.7999999997</v>
      </c>
      <c r="DR69" s="10">
        <f>'[37]CRH MG 2021'!DR13</f>
        <v>129851.21636814781</v>
      </c>
      <c r="DS69" s="10">
        <f>'[37]CRH MG 2021'!DS13</f>
        <v>20124.939999999995</v>
      </c>
      <c r="DT69" s="10">
        <f>'[37]CRH MG 2021'!DT13</f>
        <v>578.34</v>
      </c>
      <c r="DU69" s="10">
        <f>'[37]CRH MG 2021'!DU13</f>
        <v>292.7</v>
      </c>
      <c r="DV69" s="10">
        <f>'[37]CRH MG 2021'!DV13</f>
        <v>0</v>
      </c>
      <c r="DW69" s="10">
        <f>'[37]CRH MG 2021'!DW13</f>
        <v>4643.0500000000011</v>
      </c>
      <c r="DX69" s="10">
        <f t="shared" si="158"/>
        <v>155490.24636814781</v>
      </c>
      <c r="DY69" s="10">
        <f>'[38]Pro gestao cobranca tabela 1'!$Q$116</f>
        <v>389452.42000000004</v>
      </c>
      <c r="DZ69" s="10">
        <f>'[38]Pro gestao cobranca tabela 1'!$Q$117</f>
        <v>27323.960000000006</v>
      </c>
      <c r="EA69" s="10">
        <f>'[38]Pro gestao cobranca tabela 1'!$Q$118</f>
        <v>412.37</v>
      </c>
      <c r="EB69" s="10">
        <f>'[38]Pro gestao cobranca tabela 1'!$Q$119</f>
        <v>74565.489999999991</v>
      </c>
      <c r="EC69" s="10">
        <f>'[38]Pro gestao cobranca tabela 1'!$Q$120</f>
        <v>0</v>
      </c>
      <c r="ED69" s="10">
        <f>'[38]Pro gestao cobranca tabela 1'!$Q$121</f>
        <v>59916.399999999994</v>
      </c>
      <c r="EE69" s="10">
        <f t="shared" si="159"/>
        <v>551670.64</v>
      </c>
      <c r="EF69" s="10">
        <f>'[38]Pro gestao cobranca tabela 1'!$Q$123</f>
        <v>302647.4499999999</v>
      </c>
      <c r="EG69" s="10">
        <f>'[38]Pro gestao cobranca tabela 1'!$Q$124</f>
        <v>11852.14</v>
      </c>
      <c r="EH69" s="10">
        <f>'[38]Pro gestao cobranca tabela 1'!$Q$125</f>
        <v>0</v>
      </c>
      <c r="EI69" s="10">
        <f>'[38]Pro gestao cobranca tabela 1'!$Q$126</f>
        <v>0</v>
      </c>
      <c r="EJ69" s="10">
        <f>'[38]Pro gestao cobranca tabela 1'!$Q$127</f>
        <v>0</v>
      </c>
      <c r="EK69" s="10">
        <f>'[38]Pro gestao cobranca tabela 1'!$Q$128</f>
        <v>27721.580000000005</v>
      </c>
      <c r="EL69" s="10">
        <f t="shared" si="160"/>
        <v>342221.16999999993</v>
      </c>
      <c r="EM69" s="10">
        <f>[26]MG!$R$116</f>
        <v>626648.43000000017</v>
      </c>
      <c r="EN69" s="10">
        <f>[26]MG!$R$117</f>
        <v>38588.61</v>
      </c>
      <c r="EO69" s="10">
        <f>[26]MG!$R$118</f>
        <v>454.39</v>
      </c>
      <c r="EP69" s="10">
        <f>[26]MG!$R$119</f>
        <v>15576.500000000002</v>
      </c>
      <c r="EQ69" s="10">
        <f>[26]MG!$R$120</f>
        <v>0</v>
      </c>
      <c r="ER69" s="10">
        <f>[26]MG!$R$121</f>
        <v>140430.03000000003</v>
      </c>
      <c r="ES69" s="10">
        <f t="shared" ref="ES69:ES72" si="169">SUM(EM69:ER69)</f>
        <v>821697.9600000002</v>
      </c>
      <c r="ET69" s="10">
        <f>[26]MG!$R$123</f>
        <v>497232.98999999993</v>
      </c>
      <c r="EU69" s="10">
        <f>[26]MG!$R$124</f>
        <v>29258.33</v>
      </c>
      <c r="EV69" s="10">
        <f>[26]MG!$R$125</f>
        <v>0</v>
      </c>
      <c r="EW69" s="10">
        <f>[26]MG!$R$126</f>
        <v>1243.3499999999999</v>
      </c>
      <c r="EX69" s="10">
        <f>[26]MG!$R$127</f>
        <v>0</v>
      </c>
      <c r="EY69" s="10">
        <f>[26]MG!$R$128</f>
        <v>143566.72000000003</v>
      </c>
      <c r="EZ69" s="10">
        <f t="shared" ref="EZ69:EZ77" si="170">SUM(ET69:EY69)</f>
        <v>671301.3899999999</v>
      </c>
      <c r="FA69" s="172">
        <f>[27]MG!$R$29</f>
        <v>777695.89</v>
      </c>
      <c r="FB69" s="172">
        <f>[27]MG!$S$29</f>
        <v>40035.08</v>
      </c>
      <c r="FC69" s="172"/>
      <c r="FD69" s="172">
        <f>[27]MG!$Q$29</f>
        <v>86336.98</v>
      </c>
      <c r="FE69" s="172"/>
      <c r="FF69" s="172">
        <f>[27]MG!$T$29</f>
        <v>132332.60999999999</v>
      </c>
      <c r="FG69" s="10">
        <f t="shared" si="167"/>
        <v>1036400.5599999999</v>
      </c>
      <c r="FH69" s="172">
        <f>[27]MG!$V$29</f>
        <v>624329.34</v>
      </c>
      <c r="FI69" s="172">
        <f>[27]MG!$W$29</f>
        <v>42450.15</v>
      </c>
      <c r="FJ69" s="172"/>
      <c r="FK69" s="172">
        <f>[27]MG!$U$29</f>
        <v>1688.04</v>
      </c>
      <c r="FL69" s="172"/>
      <c r="FM69" s="172">
        <f>[27]MG!$X$29</f>
        <v>82763.740000000005</v>
      </c>
      <c r="FN69" s="10">
        <f t="shared" si="168"/>
        <v>751231.27</v>
      </c>
      <c r="FO69" s="10">
        <f>[28]MG!R19</f>
        <v>823488.72</v>
      </c>
      <c r="FP69" s="10">
        <f>[28]MG!S19</f>
        <v>62610.7</v>
      </c>
      <c r="FQ69" s="10"/>
      <c r="FR69" s="10">
        <f>[28]MG!Q19</f>
        <v>188884.35</v>
      </c>
      <c r="FS69" s="10"/>
      <c r="FT69" s="10">
        <f>[28]MG!T19</f>
        <v>181680.2</v>
      </c>
      <c r="FU69" s="10">
        <f t="shared" si="151"/>
        <v>1256663.97</v>
      </c>
      <c r="FV69" s="10">
        <f>[28]MG!V19</f>
        <v>616421.30000000005</v>
      </c>
      <c r="FW69" s="10">
        <f>[28]MG!W19</f>
        <v>43686.42</v>
      </c>
      <c r="FX69" s="10"/>
      <c r="FY69" s="10">
        <f>[28]MG!U19</f>
        <v>6122.21</v>
      </c>
      <c r="FZ69" s="10"/>
      <c r="GA69" s="10">
        <f>[28]MG!X19</f>
        <v>56131.02</v>
      </c>
      <c r="GB69" s="10">
        <f t="shared" si="164"/>
        <v>722360.95000000007</v>
      </c>
      <c r="GC69" s="149">
        <f t="shared" si="165"/>
        <v>13520483.939999998</v>
      </c>
      <c r="GD69" s="149">
        <f t="shared" si="166"/>
        <v>10616352.685892545</v>
      </c>
      <c r="GE69" s="218"/>
      <c r="GG69" s="36"/>
      <c r="GH69" s="36"/>
      <c r="GI69" s="36"/>
      <c r="GJ69" s="36"/>
    </row>
    <row r="70" spans="1:192" s="5" customFormat="1" ht="12.75" x14ac:dyDescent="0.2">
      <c r="A70" s="248"/>
      <c r="B70" s="15" t="s">
        <v>92</v>
      </c>
      <c r="C70" s="1" t="s">
        <v>14</v>
      </c>
      <c r="D70" s="2">
        <v>41944</v>
      </c>
      <c r="E70" s="50"/>
      <c r="F70" s="50"/>
      <c r="G70" s="50"/>
      <c r="H70" s="50"/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  <c r="AJ70" s="50"/>
      <c r="AK70" s="50"/>
      <c r="AL70" s="50"/>
      <c r="AM70" s="50"/>
      <c r="AN70" s="50"/>
      <c r="AO70" s="148">
        <v>0</v>
      </c>
      <c r="AP70" s="148">
        <v>540.04000000000008</v>
      </c>
      <c r="AQ70" s="148">
        <v>1392202.2300000002</v>
      </c>
      <c r="AR70" s="148">
        <v>1074853.5200000005</v>
      </c>
      <c r="AS70" s="148">
        <v>1103765.1599999999</v>
      </c>
      <c r="AT70" s="148">
        <v>332783.02999999997</v>
      </c>
      <c r="AU70" s="148">
        <v>1309.33</v>
      </c>
      <c r="AV70" s="148">
        <v>52273.460000000028</v>
      </c>
      <c r="AW70" s="148">
        <v>0</v>
      </c>
      <c r="AX70" s="148">
        <v>29201.890000000007</v>
      </c>
      <c r="AY70" s="10">
        <f t="shared" si="147"/>
        <v>1519332.8699999999</v>
      </c>
      <c r="AZ70" s="148">
        <v>1059824.6299999999</v>
      </c>
      <c r="BA70" s="148">
        <v>126561.89000000009</v>
      </c>
      <c r="BB70" s="148">
        <v>1076.7700000000002</v>
      </c>
      <c r="BC70" s="148">
        <v>3252.39</v>
      </c>
      <c r="BD70" s="148">
        <v>0</v>
      </c>
      <c r="BE70" s="148">
        <v>23732.860000000011</v>
      </c>
      <c r="BF70" s="10">
        <f t="shared" si="148"/>
        <v>1214448.54</v>
      </c>
      <c r="BG70" s="148">
        <v>1408975.51</v>
      </c>
      <c r="BH70" s="148">
        <v>352290.80999999976</v>
      </c>
      <c r="BI70" s="148">
        <v>920.75</v>
      </c>
      <c r="BJ70" s="148">
        <v>13620.56</v>
      </c>
      <c r="BK70" s="148">
        <v>0</v>
      </c>
      <c r="BL70" s="148">
        <v>29746.840000000004</v>
      </c>
      <c r="BM70" s="10">
        <f t="shared" si="152"/>
        <v>1805554.47</v>
      </c>
      <c r="BN70" s="148">
        <v>1386110.72</v>
      </c>
      <c r="BO70" s="148">
        <v>136070.80000000005</v>
      </c>
      <c r="BP70" s="148">
        <v>986.10000000000014</v>
      </c>
      <c r="BQ70" s="148">
        <v>3483.07</v>
      </c>
      <c r="BR70" s="148">
        <v>0</v>
      </c>
      <c r="BS70" s="148">
        <v>25085.089999999993</v>
      </c>
      <c r="BT70" s="10">
        <f t="shared" si="153"/>
        <v>1551735.7800000003</v>
      </c>
      <c r="BU70" s="148">
        <v>1302740.95</v>
      </c>
      <c r="BV70" s="148">
        <v>262899.17999999993</v>
      </c>
      <c r="BW70" s="148">
        <v>542.6</v>
      </c>
      <c r="BX70" s="148">
        <v>10399.73</v>
      </c>
      <c r="BY70" s="148">
        <v>0</v>
      </c>
      <c r="BZ70" s="148">
        <v>29705.32</v>
      </c>
      <c r="CA70" s="10">
        <f t="shared" si="65"/>
        <v>1606287.78</v>
      </c>
      <c r="CB70" s="148">
        <v>1309734.13625</v>
      </c>
      <c r="CC70" s="148">
        <v>122131.08</v>
      </c>
      <c r="CD70" s="148">
        <v>283.08</v>
      </c>
      <c r="CE70" s="148">
        <v>2328.9699999999998</v>
      </c>
      <c r="CF70" s="148">
        <v>0</v>
      </c>
      <c r="CG70" s="148">
        <v>24956.899999999991</v>
      </c>
      <c r="CH70" s="10">
        <f t="shared" si="149"/>
        <v>1459434.16625</v>
      </c>
      <c r="CI70" s="148">
        <f>'[37]CRH MG 2021'!CI14</f>
        <v>1301401.8800000001</v>
      </c>
      <c r="CJ70" s="148">
        <f>'[37]CRH MG 2021'!CJ14</f>
        <v>400253.64</v>
      </c>
      <c r="CK70" s="148">
        <f>'[37]CRH MG 2021'!CK14</f>
        <v>542.6</v>
      </c>
      <c r="CL70" s="148">
        <f>'[37]CRH MG 2021'!CL14</f>
        <v>9348.3000000000011</v>
      </c>
      <c r="CM70" s="148">
        <f>'[37]CRH MG 2021'!CM14</f>
        <v>0</v>
      </c>
      <c r="CN70" s="148">
        <f>'[37]CRH MG 2021'!CN14</f>
        <v>29498.179999999997</v>
      </c>
      <c r="CO70" s="10">
        <f t="shared" si="154"/>
        <v>1741044.6</v>
      </c>
      <c r="CP70" s="148">
        <f>'[37]CRH MG 2021'!CP14</f>
        <v>1311112.3903956658</v>
      </c>
      <c r="CQ70" s="148">
        <f>'[37]CRH MG 2021'!CQ14</f>
        <v>81324.260000000009</v>
      </c>
      <c r="CR70" s="148">
        <f>'[37]CRH MG 2021'!CR14</f>
        <v>379.32</v>
      </c>
      <c r="CS70" s="148">
        <f>'[37]CRH MG 2021'!CS14</f>
        <v>3203.6800000000007</v>
      </c>
      <c r="CT70" s="148">
        <f>'[37]CRH MG 2021'!CT14</f>
        <v>0</v>
      </c>
      <c r="CU70" s="148">
        <f>'[37]CRH MG 2021'!CU14</f>
        <v>26365.53</v>
      </c>
      <c r="CV70" s="10">
        <f t="shared" si="155"/>
        <v>1422385.1803956658</v>
      </c>
      <c r="CW70" s="150">
        <f>'[37]CRH MG 2021'!CW14</f>
        <v>1420314.74</v>
      </c>
      <c r="CX70" s="150">
        <f>'[37]CRH MG 2021'!CX14</f>
        <v>197876.82000000004</v>
      </c>
      <c r="CY70" s="150">
        <f>'[37]CRH MG 2021'!CY14</f>
        <v>412.84000000000003</v>
      </c>
      <c r="CZ70" s="150">
        <f>'[37]CRH MG 2021'!CZ14</f>
        <v>6343.7599999999993</v>
      </c>
      <c r="DA70" s="150">
        <f>'[37]CRH MG 2021'!DA14</f>
        <v>0</v>
      </c>
      <c r="DB70" s="150">
        <f>'[37]CRH MG 2021'!DB14</f>
        <v>39970.289999999986</v>
      </c>
      <c r="DC70" s="150">
        <f>'[37]CRH MG 2021'!DC14</f>
        <v>1664918.4500000002</v>
      </c>
      <c r="DD70" s="150">
        <f>'[37]CRH MG 2021'!DD14</f>
        <v>1038599.8869488067</v>
      </c>
      <c r="DE70" s="150">
        <f>'[37]CRH MG 2021'!DE14</f>
        <v>481460.92999999988</v>
      </c>
      <c r="DF70" s="150">
        <f>'[37]CRH MG 2021'!DF14</f>
        <v>343.27</v>
      </c>
      <c r="DG70" s="150">
        <f>'[37]CRH MG 2021'!DG14</f>
        <v>1492.39</v>
      </c>
      <c r="DH70" s="150">
        <f>'[37]CRH MG 2021'!DH14</f>
        <v>0</v>
      </c>
      <c r="DI70" s="150">
        <f>'[37]CRH MG 2021'!DI14</f>
        <v>19956.619999999995</v>
      </c>
      <c r="DJ70" s="10">
        <f t="shared" si="156"/>
        <v>1541853.0969488067</v>
      </c>
      <c r="DK70" s="10">
        <f>'[37]CRH MG 2021'!DK14</f>
        <v>630531.58000000019</v>
      </c>
      <c r="DL70" s="10">
        <f>'[37]CRH MG 2021'!DL14</f>
        <v>118739.06</v>
      </c>
      <c r="DM70" s="10">
        <f>'[37]CRH MG 2021'!DM14</f>
        <v>141.54</v>
      </c>
      <c r="DN70" s="10">
        <f>'[37]CRH MG 2021'!DN14</f>
        <v>5223.08</v>
      </c>
      <c r="DO70" s="10">
        <f>'[37]CRH MG 2021'!DO14</f>
        <v>0</v>
      </c>
      <c r="DP70" s="10">
        <f>'[37]CRH MG 2021'!DP14</f>
        <v>64485.219999999994</v>
      </c>
      <c r="DQ70" s="10">
        <f t="shared" si="157"/>
        <v>819120.4800000001</v>
      </c>
      <c r="DR70" s="10">
        <f>'[37]CRH MG 2021'!DR14</f>
        <v>604802.42536018905</v>
      </c>
      <c r="DS70" s="10">
        <f>'[37]CRH MG 2021'!DS14</f>
        <v>70681.98</v>
      </c>
      <c r="DT70" s="10">
        <f>'[37]CRH MG 2021'!DT14</f>
        <v>141.54</v>
      </c>
      <c r="DU70" s="10">
        <f>'[37]CRH MG 2021'!DU14</f>
        <v>3208.0600000000004</v>
      </c>
      <c r="DV70" s="10">
        <f>'[37]CRH MG 2021'!DV14</f>
        <v>0</v>
      </c>
      <c r="DW70" s="10">
        <f>'[37]CRH MG 2021'!DW14</f>
        <v>7292.7799999999988</v>
      </c>
      <c r="DX70" s="10">
        <f t="shared" si="158"/>
        <v>686126.78536018915</v>
      </c>
      <c r="DY70" s="10">
        <f>'[38]Pro gestao cobranca tabela 1'!$Q$130</f>
        <v>564178.80999999982</v>
      </c>
      <c r="DZ70" s="10">
        <f>'[38]Pro gestao cobranca tabela 1'!$Q$131</f>
        <v>227963.79999999996</v>
      </c>
      <c r="EA70" s="10">
        <f>'[38]Pro gestao cobranca tabela 1'!$Q$132</f>
        <v>0</v>
      </c>
      <c r="EB70" s="10">
        <f>'[38]Pro gestao cobranca tabela 1'!$Q$133</f>
        <v>10291.27</v>
      </c>
      <c r="EC70" s="10">
        <f>'[38]Pro gestao cobranca tabela 1'!$Q$134</f>
        <v>0</v>
      </c>
      <c r="ED70" s="10">
        <f>'[38]Pro gestao cobranca tabela 1'!$Q$135</f>
        <v>40390.460000000014</v>
      </c>
      <c r="EE70" s="10">
        <f t="shared" si="159"/>
        <v>842824.33999999973</v>
      </c>
      <c r="EF70" s="10">
        <f>'[38]Pro gestao cobranca tabela 1'!$Q$137</f>
        <v>527040.79999999993</v>
      </c>
      <c r="EG70" s="10">
        <f>'[38]Pro gestao cobranca tabela 1'!$Q$138</f>
        <v>92791.23000000001</v>
      </c>
      <c r="EH70" s="10">
        <f>'[38]Pro gestao cobranca tabela 1'!$Q$139</f>
        <v>0</v>
      </c>
      <c r="EI70" s="10">
        <f>'[38]Pro gestao cobranca tabela 1'!$Q$140</f>
        <v>7395.98</v>
      </c>
      <c r="EJ70" s="10">
        <f>'[38]Pro gestao cobranca tabela 1'!$Q$141</f>
        <v>0</v>
      </c>
      <c r="EK70" s="10">
        <f>'[38]Pro gestao cobranca tabela 1'!$Q$142</f>
        <v>12958.710000000001</v>
      </c>
      <c r="EL70" s="10">
        <f t="shared" si="160"/>
        <v>640186.71999999986</v>
      </c>
      <c r="EM70" s="10">
        <f>[26]MG!$R$130</f>
        <v>320651.56999999989</v>
      </c>
      <c r="EN70" s="10">
        <f>[26]MG!$R$131</f>
        <v>304312.05000000022</v>
      </c>
      <c r="EO70" s="10">
        <f>[26]MG!$R$132</f>
        <v>87244.659999999989</v>
      </c>
      <c r="EP70" s="10">
        <f>[26]MG!$R$133</f>
        <v>16021.62</v>
      </c>
      <c r="EQ70" s="10">
        <f>[26]MG!$R$134</f>
        <v>0</v>
      </c>
      <c r="ER70" s="10">
        <f>[26]MG!$R$135</f>
        <v>32082.21</v>
      </c>
      <c r="ES70" s="10">
        <f t="shared" si="169"/>
        <v>760312.1100000001</v>
      </c>
      <c r="ET70" s="10">
        <f>[26]MG!$R$137</f>
        <v>339308.53000000009</v>
      </c>
      <c r="EU70" s="10">
        <f>[26]MG!$R$138</f>
        <v>273608.50000000006</v>
      </c>
      <c r="EV70" s="10">
        <f>[26]MG!$R$139</f>
        <v>0</v>
      </c>
      <c r="EW70" s="10">
        <f>[26]MG!$R$140</f>
        <v>9027.4399999999987</v>
      </c>
      <c r="EX70" s="10">
        <f>[26]MG!$R$141</f>
        <v>0</v>
      </c>
      <c r="EY70" s="10">
        <f>[26]MG!$R$142</f>
        <v>9141.510000000002</v>
      </c>
      <c r="EZ70" s="10">
        <f t="shared" si="170"/>
        <v>631085.9800000001</v>
      </c>
      <c r="FA70" s="172">
        <f>[27]MG!$R$41</f>
        <v>662920.43000000005</v>
      </c>
      <c r="FB70" s="172">
        <f>[27]MG!$S$41</f>
        <v>256856.4</v>
      </c>
      <c r="FC70" s="172"/>
      <c r="FD70" s="172">
        <f>[27]MG!$Q$41</f>
        <v>22918.12</v>
      </c>
      <c r="FE70" s="172"/>
      <c r="FF70" s="172">
        <f>[27]MG!$T$41</f>
        <v>266012.90000000002</v>
      </c>
      <c r="FG70" s="10">
        <f t="shared" si="167"/>
        <v>1208707.8500000001</v>
      </c>
      <c r="FH70" s="172">
        <f>[27]MG!$V$41</f>
        <v>657153.38</v>
      </c>
      <c r="FI70" s="172">
        <f>[27]MG!$W$41</f>
        <v>142884.13</v>
      </c>
      <c r="FJ70" s="172"/>
      <c r="FK70" s="172">
        <f>[27]MG!$U$41</f>
        <v>12056.87</v>
      </c>
      <c r="FL70" s="172"/>
      <c r="FM70" s="172">
        <f>[27]MG!$X$41</f>
        <v>23403.75</v>
      </c>
      <c r="FN70" s="10">
        <f t="shared" si="168"/>
        <v>835498.13</v>
      </c>
      <c r="FO70" s="10">
        <f>[28]MG!R37</f>
        <v>1694190.73</v>
      </c>
      <c r="FP70" s="10">
        <f>[28]MG!S37</f>
        <v>353436.04</v>
      </c>
      <c r="FQ70" s="10"/>
      <c r="FR70" s="10">
        <f>[28]MG!Q37</f>
        <v>80999.05</v>
      </c>
      <c r="FS70" s="10"/>
      <c r="FT70" s="10">
        <f>[28]MG!T37</f>
        <v>115416.2</v>
      </c>
      <c r="FU70" s="10">
        <f t="shared" si="151"/>
        <v>2244042.02</v>
      </c>
      <c r="FV70" s="10">
        <f>[28]MG!V37</f>
        <v>1415127.86</v>
      </c>
      <c r="FW70" s="10">
        <f>[28]MG!W37</f>
        <v>229034.94</v>
      </c>
      <c r="FX70" s="10"/>
      <c r="FY70" s="10">
        <f>[28]MG!U37</f>
        <v>12966.51</v>
      </c>
      <c r="FZ70" s="10"/>
      <c r="GA70" s="10">
        <f>[28]MG!X37</f>
        <v>59443.68</v>
      </c>
      <c r="GB70" s="10">
        <f t="shared" si="164"/>
        <v>1716572.99</v>
      </c>
      <c r="GC70" s="149">
        <f t="shared" si="165"/>
        <v>15604347.200000001</v>
      </c>
      <c r="GD70" s="149">
        <f t="shared" si="166"/>
        <v>12774720.928954665</v>
      </c>
      <c r="GE70" s="218"/>
      <c r="GG70" s="36"/>
      <c r="GH70" s="36"/>
      <c r="GI70" s="36"/>
      <c r="GJ70" s="36"/>
    </row>
    <row r="71" spans="1:192" s="5" customFormat="1" ht="12.75" x14ac:dyDescent="0.2">
      <c r="A71" s="248"/>
      <c r="B71" s="15" t="s">
        <v>93</v>
      </c>
      <c r="C71" s="1" t="s">
        <v>14</v>
      </c>
      <c r="D71" s="2">
        <v>41944</v>
      </c>
      <c r="E71" s="50"/>
      <c r="F71" s="50"/>
      <c r="G71" s="50"/>
      <c r="H71" s="50"/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  <c r="AJ71" s="50"/>
      <c r="AK71" s="50"/>
      <c r="AL71" s="50"/>
      <c r="AM71" s="50"/>
      <c r="AN71" s="50"/>
      <c r="AO71" s="148">
        <v>0</v>
      </c>
      <c r="AP71" s="148">
        <v>0</v>
      </c>
      <c r="AQ71" s="148">
        <v>1379728.2800000003</v>
      </c>
      <c r="AR71" s="148">
        <v>933341.69000000029</v>
      </c>
      <c r="AS71" s="148">
        <v>1573719.6300000024</v>
      </c>
      <c r="AT71" s="148">
        <v>144893.41</v>
      </c>
      <c r="AU71" s="148">
        <v>78479.039999999994</v>
      </c>
      <c r="AV71" s="148">
        <v>19906.370000000003</v>
      </c>
      <c r="AW71" s="148">
        <v>0</v>
      </c>
      <c r="AX71" s="148">
        <v>22365.030000000006</v>
      </c>
      <c r="AY71" s="10">
        <f t="shared" si="147"/>
        <v>1839363.4800000025</v>
      </c>
      <c r="AZ71" s="148">
        <v>1082699.9900000012</v>
      </c>
      <c r="BA71" s="148">
        <v>104073.94999999998</v>
      </c>
      <c r="BB71" s="148">
        <v>77579.430000000008</v>
      </c>
      <c r="BC71" s="148">
        <v>9312.8599999999951</v>
      </c>
      <c r="BD71" s="148">
        <v>0</v>
      </c>
      <c r="BE71" s="148">
        <v>20146.970000000008</v>
      </c>
      <c r="BF71" s="10">
        <f t="shared" si="148"/>
        <v>1293813.2000000011</v>
      </c>
      <c r="BG71" s="148">
        <v>1771069.2399999995</v>
      </c>
      <c r="BH71" s="148">
        <v>140844.45000000001</v>
      </c>
      <c r="BI71" s="148">
        <v>76232.189999999973</v>
      </c>
      <c r="BJ71" s="148">
        <v>15295.189999999999</v>
      </c>
      <c r="BK71" s="148">
        <v>0</v>
      </c>
      <c r="BL71" s="148">
        <v>22381.969999999994</v>
      </c>
      <c r="BM71" s="10">
        <f>SUM(BG71:BL71)</f>
        <v>2025823.0399999993</v>
      </c>
      <c r="BN71" s="148">
        <v>1667299.3400000003</v>
      </c>
      <c r="BO71" s="148">
        <v>111292.62000000005</v>
      </c>
      <c r="BP71" s="148">
        <v>78078.739999999991</v>
      </c>
      <c r="BQ71" s="148">
        <v>7988.51</v>
      </c>
      <c r="BR71" s="148">
        <v>0</v>
      </c>
      <c r="BS71" s="148">
        <v>17832.979999999992</v>
      </c>
      <c r="BT71" s="10">
        <f t="shared" si="153"/>
        <v>1882492.1900000004</v>
      </c>
      <c r="BU71" s="148">
        <v>1062040.9699999993</v>
      </c>
      <c r="BV71" s="148">
        <v>145831.62000000002</v>
      </c>
      <c r="BW71" s="148">
        <v>69340.490000000005</v>
      </c>
      <c r="BX71" s="148">
        <v>19365.670000000006</v>
      </c>
      <c r="BY71" s="148">
        <v>0</v>
      </c>
      <c r="BZ71" s="148">
        <v>22050.240000000002</v>
      </c>
      <c r="CA71" s="10">
        <f t="shared" si="65"/>
        <v>1318628.9899999993</v>
      </c>
      <c r="CB71" s="148">
        <v>989305.77046536037</v>
      </c>
      <c r="CC71" s="148">
        <v>121714.63000000006</v>
      </c>
      <c r="CD71" s="148">
        <v>73762.289999999994</v>
      </c>
      <c r="CE71" s="148">
        <v>18747.199999999997</v>
      </c>
      <c r="CF71" s="148">
        <v>0</v>
      </c>
      <c r="CG71" s="148">
        <v>24994.049999999992</v>
      </c>
      <c r="CH71" s="10">
        <f t="shared" si="149"/>
        <v>1228523.9404653604</v>
      </c>
      <c r="CI71" s="148">
        <f>'[37]CRH MG 2021'!CI15</f>
        <v>1088991.0299999989</v>
      </c>
      <c r="CJ71" s="148">
        <f>'[37]CRH MG 2021'!CJ15</f>
        <v>183883.02999999997</v>
      </c>
      <c r="CK71" s="148">
        <f>'[37]CRH MG 2021'!CK15</f>
        <v>115239.54</v>
      </c>
      <c r="CL71" s="148">
        <f>'[37]CRH MG 2021'!CL15</f>
        <v>22620.48000000001</v>
      </c>
      <c r="CM71" s="148">
        <f>'[37]CRH MG 2021'!CM15</f>
        <v>0</v>
      </c>
      <c r="CN71" s="148">
        <f>'[37]CRH MG 2021'!CN15</f>
        <v>19415.98</v>
      </c>
      <c r="CO71" s="10">
        <f t="shared" si="154"/>
        <v>1430150.0599999989</v>
      </c>
      <c r="CP71" s="148">
        <f>'[37]CRH MG 2021'!CP15</f>
        <v>1057523.5306025883</v>
      </c>
      <c r="CQ71" s="148">
        <f>'[37]CRH MG 2021'!CQ15</f>
        <v>129511.01000000007</v>
      </c>
      <c r="CR71" s="148">
        <f>'[37]CRH MG 2021'!CR15</f>
        <v>145585.60999999999</v>
      </c>
      <c r="CS71" s="148">
        <f>'[37]CRH MG 2021'!CS15</f>
        <v>22929.040000000001</v>
      </c>
      <c r="CT71" s="148">
        <f>'[37]CRH MG 2021'!CT15</f>
        <v>0</v>
      </c>
      <c r="CU71" s="148">
        <f>'[37]CRH MG 2021'!CU15</f>
        <v>17399.289999999997</v>
      </c>
      <c r="CV71" s="10">
        <f t="shared" si="155"/>
        <v>1372948.4806025885</v>
      </c>
      <c r="CW71" s="150">
        <f>'[37]CRH MG 2021'!CW15</f>
        <v>1013083.92</v>
      </c>
      <c r="CX71" s="150">
        <f>'[37]CRH MG 2021'!CX15</f>
        <v>146647.66000000006</v>
      </c>
      <c r="CY71" s="150">
        <f>'[37]CRH MG 2021'!CY15</f>
        <v>92050.55</v>
      </c>
      <c r="CZ71" s="150">
        <f>'[37]CRH MG 2021'!CZ15</f>
        <v>25936.549999999988</v>
      </c>
      <c r="DA71" s="150">
        <f>'[37]CRH MG 2021'!DA15</f>
        <v>0</v>
      </c>
      <c r="DB71" s="150">
        <f>'[37]CRH MG 2021'!DB15</f>
        <v>15999.120000000004</v>
      </c>
      <c r="DC71" s="150">
        <f>'[37]CRH MG 2021'!DC15</f>
        <v>1293717.8000000003</v>
      </c>
      <c r="DD71" s="150">
        <f>'[37]CRH MG 2021'!DD15</f>
        <v>974454.53224162885</v>
      </c>
      <c r="DE71" s="150">
        <f>'[37]CRH MG 2021'!DE15</f>
        <v>119054.9304117844</v>
      </c>
      <c r="DF71" s="150">
        <f>'[37]CRH MG 2021'!DF15</f>
        <v>58417.7</v>
      </c>
      <c r="DG71" s="150">
        <f>'[37]CRH MG 2021'!DG15</f>
        <v>20006.7</v>
      </c>
      <c r="DH71" s="150">
        <f>'[37]CRH MG 2021'!DH15</f>
        <v>0</v>
      </c>
      <c r="DI71" s="150">
        <f>'[37]CRH MG 2021'!DI15</f>
        <v>11037.820000000002</v>
      </c>
      <c r="DJ71" s="10">
        <f t="shared" si="156"/>
        <v>1182971.6826534132</v>
      </c>
      <c r="DK71" s="10">
        <f>'[37]CRH MG 2021'!DK15</f>
        <v>406228.7199999998</v>
      </c>
      <c r="DL71" s="10">
        <f>'[37]CRH MG 2021'!DL15</f>
        <v>74312.489999999932</v>
      </c>
      <c r="DM71" s="10">
        <f>'[37]CRH MG 2021'!DM15</f>
        <v>32873.869999999995</v>
      </c>
      <c r="DN71" s="10">
        <f>'[37]CRH MG 2021'!DN15</f>
        <v>7623.8100000000013</v>
      </c>
      <c r="DO71" s="10">
        <f>'[37]CRH MG 2021'!DO15</f>
        <v>0</v>
      </c>
      <c r="DP71" s="10">
        <f>'[37]CRH MG 2021'!DP15</f>
        <v>41333.610000000022</v>
      </c>
      <c r="DQ71" s="10">
        <f t="shared" si="157"/>
        <v>562372.49999999977</v>
      </c>
      <c r="DR71" s="10">
        <f>'[37]CRH MG 2021'!DR15</f>
        <v>259941.77066960212</v>
      </c>
      <c r="DS71" s="10">
        <f>'[37]CRH MG 2021'!DS15</f>
        <v>34510.19999999999</v>
      </c>
      <c r="DT71" s="10">
        <f>'[37]CRH MG 2021'!DT15</f>
        <v>32976.239999999998</v>
      </c>
      <c r="DU71" s="10">
        <f>'[37]CRH MG 2021'!DU15</f>
        <v>5108.12</v>
      </c>
      <c r="DV71" s="10">
        <f>'[37]CRH MG 2021'!DV15</f>
        <v>0</v>
      </c>
      <c r="DW71" s="10">
        <f>'[37]CRH MG 2021'!DW15</f>
        <v>7802.5700000000006</v>
      </c>
      <c r="DX71" s="10">
        <f t="shared" si="158"/>
        <v>340338.9006696021</v>
      </c>
      <c r="DY71" s="10">
        <f>'[38]Pro gestao cobranca tabela 1'!$Q$144</f>
        <v>665675.44999999984</v>
      </c>
      <c r="DZ71" s="10">
        <f>'[38]Pro gestao cobranca tabela 1'!$Q$145</f>
        <v>332407.66000000003</v>
      </c>
      <c r="EA71" s="10">
        <f>'[38]Pro gestao cobranca tabela 1'!$Q$146</f>
        <v>0</v>
      </c>
      <c r="EB71" s="10">
        <f>'[38]Pro gestao cobranca tabela 1'!$Q$147</f>
        <v>13430.019999999999</v>
      </c>
      <c r="EC71" s="10">
        <f>'[38]Pro gestao cobranca tabela 1'!$Q$148</f>
        <v>0</v>
      </c>
      <c r="ED71" s="10">
        <f>'[38]Pro gestao cobranca tabela 1'!$Q$149</f>
        <v>165061.91999999998</v>
      </c>
      <c r="EE71" s="10">
        <f t="shared" si="159"/>
        <v>1176575.0499999998</v>
      </c>
      <c r="EF71" s="10">
        <f>'[38]Pro gestao cobranca tabela 1'!$Q$151</f>
        <v>623492.56000000006</v>
      </c>
      <c r="EG71" s="10">
        <f>'[38]Pro gestao cobranca tabela 1'!$Q$152</f>
        <v>244971.88000000018</v>
      </c>
      <c r="EH71" s="10">
        <f>'[38]Pro gestao cobranca tabela 1'!$Q$153</f>
        <v>0</v>
      </c>
      <c r="EI71" s="10">
        <f>'[38]Pro gestao cobranca tabela 1'!$Q$154</f>
        <v>603.54</v>
      </c>
      <c r="EJ71" s="10">
        <f>'[38]Pro gestao cobranca tabela 1'!$Q$155</f>
        <v>0</v>
      </c>
      <c r="EK71" s="10">
        <f>'[38]Pro gestao cobranca tabela 1'!$Q$156</f>
        <v>138870.97</v>
      </c>
      <c r="EL71" s="10">
        <f t="shared" si="160"/>
        <v>1007938.9500000002</v>
      </c>
      <c r="EM71" s="10">
        <f>[26]MG!$R$144</f>
        <v>928163.11999999988</v>
      </c>
      <c r="EN71" s="10">
        <f>[26]MG!$R$145</f>
        <v>235692.96000000011</v>
      </c>
      <c r="EO71" s="10">
        <f>[26]MG!$R$146</f>
        <v>155340.05999999997</v>
      </c>
      <c r="EP71" s="10">
        <f>[26]MG!$R$147</f>
        <v>28139.120000000003</v>
      </c>
      <c r="EQ71" s="10">
        <f>[26]MG!$R$148</f>
        <v>0</v>
      </c>
      <c r="ER71" s="10">
        <f>[26]MG!$R$149</f>
        <v>58807.710000000006</v>
      </c>
      <c r="ES71" s="10">
        <f t="shared" si="169"/>
        <v>1406142.9700000002</v>
      </c>
      <c r="ET71" s="10">
        <f>[26]MG!$R$151</f>
        <v>1031707.1800000005</v>
      </c>
      <c r="EU71" s="10">
        <f>[26]MG!$R$152</f>
        <v>146518.9</v>
      </c>
      <c r="EV71" s="10">
        <f>[26]MG!$R$153</f>
        <v>1863.05</v>
      </c>
      <c r="EW71" s="10">
        <f>[26]MG!$R$154</f>
        <v>2971.16</v>
      </c>
      <c r="EX71" s="10">
        <f>[26]MG!$R$155</f>
        <v>0</v>
      </c>
      <c r="EY71" s="10">
        <f>[26]MG!$R$156</f>
        <v>15948.59</v>
      </c>
      <c r="EZ71" s="10">
        <f t="shared" si="170"/>
        <v>1199008.8800000006</v>
      </c>
      <c r="FA71" s="172">
        <f>[27]MG!$R$42</f>
        <v>1223037.56</v>
      </c>
      <c r="FB71" s="172">
        <f>[27]MG!$S$42</f>
        <v>302930.49</v>
      </c>
      <c r="FC71" s="172"/>
      <c r="FD71" s="172">
        <f>[27]MG!$Q$42</f>
        <v>33549.81</v>
      </c>
      <c r="FE71" s="172"/>
      <c r="FF71" s="172">
        <f>[27]MG!$T$42</f>
        <v>66905.240000000005</v>
      </c>
      <c r="FG71" s="10">
        <f t="shared" si="167"/>
        <v>1626423.1</v>
      </c>
      <c r="FH71" s="172">
        <f>[27]MG!$V$42</f>
        <v>1005676.79</v>
      </c>
      <c r="FI71" s="172">
        <f>[27]MG!$W$42</f>
        <v>228454.72</v>
      </c>
      <c r="FJ71" s="172"/>
      <c r="FK71" s="172">
        <f>[27]MG!$U$42</f>
        <v>4448.5600000000004</v>
      </c>
      <c r="FL71" s="172"/>
      <c r="FM71" s="172">
        <f>[27]MG!$X$42</f>
        <v>23740.78</v>
      </c>
      <c r="FN71" s="10">
        <f t="shared" si="168"/>
        <v>1262320.8500000001</v>
      </c>
      <c r="FO71" s="10">
        <f>[28]MG!R38</f>
        <v>2557870.5499999998</v>
      </c>
      <c r="FP71" s="10">
        <f>[28]MG!S38</f>
        <v>2111596.75</v>
      </c>
      <c r="FQ71" s="10"/>
      <c r="FR71" s="10">
        <f>[28]MG!Q38</f>
        <v>34880.65</v>
      </c>
      <c r="FS71" s="10"/>
      <c r="FT71" s="10">
        <f>[28]MG!T38</f>
        <v>151083.16</v>
      </c>
      <c r="FU71" s="10">
        <f t="shared" si="151"/>
        <v>4855431.1100000003</v>
      </c>
      <c r="FV71" s="10">
        <f>[28]MG!V38</f>
        <v>1010809.07</v>
      </c>
      <c r="FW71" s="10">
        <f>[28]MG!W38</f>
        <v>470186.45</v>
      </c>
      <c r="FX71" s="10"/>
      <c r="FY71" s="10">
        <f>[28]MG!U38</f>
        <v>10748.47</v>
      </c>
      <c r="FZ71" s="10"/>
      <c r="GA71" s="10">
        <f>[28]MG!X38</f>
        <v>74135.789999999994</v>
      </c>
      <c r="GB71" s="10">
        <f t="shared" si="164"/>
        <v>1565879.78</v>
      </c>
      <c r="GC71" s="149">
        <f t="shared" si="165"/>
        <v>18914356.379999999</v>
      </c>
      <c r="GD71" s="149">
        <f t="shared" si="166"/>
        <v>13269578.544390967</v>
      </c>
      <c r="GE71" s="218"/>
      <c r="GG71" s="36"/>
      <c r="GH71" s="36"/>
      <c r="GI71" s="36"/>
      <c r="GJ71" s="36"/>
    </row>
    <row r="72" spans="1:192" s="5" customFormat="1" ht="12.75" x14ac:dyDescent="0.2">
      <c r="A72" s="248"/>
      <c r="B72" s="15" t="s">
        <v>133</v>
      </c>
      <c r="C72" s="1" t="s">
        <v>14</v>
      </c>
      <c r="D72" s="2">
        <v>42736</v>
      </c>
      <c r="E72" s="50"/>
      <c r="F72" s="50"/>
      <c r="G72" s="50"/>
      <c r="H72" s="50"/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  <c r="AJ72" s="50"/>
      <c r="AK72" s="50"/>
      <c r="AL72" s="50"/>
      <c r="AM72" s="50"/>
      <c r="AN72" s="50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148">
        <v>1675794.5599999994</v>
      </c>
      <c r="BH72" s="148">
        <v>306180.03999999992</v>
      </c>
      <c r="BI72" s="148">
        <v>47136.24</v>
      </c>
      <c r="BJ72" s="148">
        <v>184817.32000000007</v>
      </c>
      <c r="BK72" s="148">
        <v>0</v>
      </c>
      <c r="BL72" s="148">
        <v>28906.020000000015</v>
      </c>
      <c r="BM72" s="10">
        <f t="shared" si="152"/>
        <v>2242834.1799999992</v>
      </c>
      <c r="BN72" s="148">
        <v>1488504.5299999991</v>
      </c>
      <c r="BO72" s="148">
        <v>268576.42999999988</v>
      </c>
      <c r="BP72" s="148">
        <v>22290.329999999998</v>
      </c>
      <c r="BQ72" s="148">
        <v>109090.54</v>
      </c>
      <c r="BR72" s="148">
        <v>0</v>
      </c>
      <c r="BS72" s="148">
        <v>24686.760000000002</v>
      </c>
      <c r="BT72" s="10">
        <f t="shared" si="153"/>
        <v>1913148.5899999992</v>
      </c>
      <c r="BU72" s="148">
        <v>2062405.6799999985</v>
      </c>
      <c r="BV72" s="148">
        <v>389251.59999999969</v>
      </c>
      <c r="BW72" s="148">
        <v>99227.809999999969</v>
      </c>
      <c r="BX72" s="148">
        <v>221756.9800000001</v>
      </c>
      <c r="BY72" s="148">
        <v>0</v>
      </c>
      <c r="BZ72" s="148">
        <v>38510.48000000001</v>
      </c>
      <c r="CA72" s="10">
        <f t="shared" si="65"/>
        <v>2811152.5499999984</v>
      </c>
      <c r="CB72" s="148">
        <v>2014681.4099999992</v>
      </c>
      <c r="CC72" s="148">
        <v>363981.53999999969</v>
      </c>
      <c r="CD72" s="148">
        <v>61628.859999999993</v>
      </c>
      <c r="CE72" s="148">
        <v>146119.92999999996</v>
      </c>
      <c r="CF72" s="148">
        <v>0</v>
      </c>
      <c r="CG72" s="148">
        <v>33190.180000000015</v>
      </c>
      <c r="CH72" s="10">
        <f t="shared" si="149"/>
        <v>2619601.919999999</v>
      </c>
      <c r="CI72" s="148">
        <f>'[37]CRH MG 2021'!CI16</f>
        <v>2012223.4099999992</v>
      </c>
      <c r="CJ72" s="148">
        <f>'[37]CRH MG 2021'!CJ16</f>
        <v>386373.8499999998</v>
      </c>
      <c r="CK72" s="148">
        <f>'[37]CRH MG 2021'!CK16</f>
        <v>212875.85000000009</v>
      </c>
      <c r="CL72" s="148">
        <f>'[37]CRH MG 2021'!CL16</f>
        <v>213178.17000000019</v>
      </c>
      <c r="CM72" s="148">
        <f>'[37]CRH MG 2021'!CM16</f>
        <v>0</v>
      </c>
      <c r="CN72" s="148">
        <f>'[37]CRH MG 2021'!CN16</f>
        <v>38075.230000000003</v>
      </c>
      <c r="CO72" s="10">
        <f t="shared" si="154"/>
        <v>2862726.5099999993</v>
      </c>
      <c r="CP72" s="148">
        <f>'[37]CRH MG 2021'!CP16</f>
        <v>1832254.5299999989</v>
      </c>
      <c r="CQ72" s="148">
        <f>'[37]CRH MG 2021'!CQ16</f>
        <v>351021.01999999967</v>
      </c>
      <c r="CR72" s="148">
        <f>'[37]CRH MG 2021'!CR16</f>
        <v>144000.89000000004</v>
      </c>
      <c r="CS72" s="148">
        <f>'[37]CRH MG 2021'!CS16</f>
        <v>147691.82000000004</v>
      </c>
      <c r="CT72" s="148">
        <f>'[37]CRH MG 2021'!CT16</f>
        <v>0</v>
      </c>
      <c r="CU72" s="148">
        <f>'[37]CRH MG 2021'!CU16</f>
        <v>30476.000000000022</v>
      </c>
      <c r="CV72" s="10">
        <f t="shared" si="155"/>
        <v>2505444.2599999984</v>
      </c>
      <c r="CW72" s="150">
        <f>'[37]CRH MG 2021'!CW16</f>
        <v>1738375.1899999995</v>
      </c>
      <c r="CX72" s="150">
        <f>'[37]CRH MG 2021'!CX16</f>
        <v>296696.58000000007</v>
      </c>
      <c r="CY72" s="150">
        <f>'[37]CRH MG 2021'!CY16</f>
        <v>102220.89999999998</v>
      </c>
      <c r="CZ72" s="150">
        <f>'[37]CRH MG 2021'!CZ16</f>
        <v>178314.08999999997</v>
      </c>
      <c r="DA72" s="150">
        <f>'[37]CRH MG 2021'!DA16</f>
        <v>0</v>
      </c>
      <c r="DB72" s="150">
        <f>'[37]CRH MG 2021'!DB16</f>
        <v>27046.440000000006</v>
      </c>
      <c r="DC72" s="150">
        <f>'[37]CRH MG 2021'!DC16</f>
        <v>2342653.1999999993</v>
      </c>
      <c r="DD72" s="150">
        <f>'[37]CRH MG 2021'!DD16</f>
        <v>1901080.0508124728</v>
      </c>
      <c r="DE72" s="150">
        <f>'[37]CRH MG 2021'!DE16</f>
        <v>256890.28000000017</v>
      </c>
      <c r="DF72" s="150">
        <f>'[37]CRH MG 2021'!DF16</f>
        <v>74413.040000000008</v>
      </c>
      <c r="DG72" s="150">
        <f>'[37]CRH MG 2021'!DG16</f>
        <v>123741.94499999989</v>
      </c>
      <c r="DH72" s="150">
        <f>'[37]CRH MG 2021'!DH16</f>
        <v>0</v>
      </c>
      <c r="DI72" s="150">
        <f>'[37]CRH MG 2021'!DI16</f>
        <v>16236.599999999999</v>
      </c>
      <c r="DJ72" s="10">
        <f t="shared" si="156"/>
        <v>2372361.9158124728</v>
      </c>
      <c r="DK72" s="10">
        <f>'[37]CRH MG 2021'!DK16</f>
        <v>2448186.4499999997</v>
      </c>
      <c r="DL72" s="10">
        <f>'[37]CRH MG 2021'!DL16</f>
        <v>266900.45999999996</v>
      </c>
      <c r="DM72" s="10">
        <f>'[37]CRH MG 2021'!DM16</f>
        <v>42847.25</v>
      </c>
      <c r="DN72" s="10">
        <f>'[37]CRH MG 2021'!DN16</f>
        <v>139113.72999999989</v>
      </c>
      <c r="DO72" s="10">
        <f>'[37]CRH MG 2021'!DO16</f>
        <v>0</v>
      </c>
      <c r="DP72" s="10">
        <f>'[37]CRH MG 2021'!DP16</f>
        <v>303397.62000000029</v>
      </c>
      <c r="DQ72" s="10">
        <f t="shared" si="157"/>
        <v>3200445.51</v>
      </c>
      <c r="DR72" s="10">
        <f>'[37]CRH MG 2021'!DR16</f>
        <v>2351723.0709396908</v>
      </c>
      <c r="DS72" s="10">
        <f>'[37]CRH MG 2021'!DS16</f>
        <v>197443.90000000014</v>
      </c>
      <c r="DT72" s="10">
        <f>'[37]CRH MG 2021'!DT16</f>
        <v>9344.2999999999993</v>
      </c>
      <c r="DU72" s="10">
        <f>'[37]CRH MG 2021'!DU16</f>
        <v>50606.219999999994</v>
      </c>
      <c r="DV72" s="10">
        <f>'[37]CRH MG 2021'!DV16</f>
        <v>0</v>
      </c>
      <c r="DW72" s="10">
        <f>'[37]CRH MG 2021'!DW16</f>
        <v>72089.540000000023</v>
      </c>
      <c r="DX72" s="10">
        <f t="shared" si="158"/>
        <v>2681207.0309396912</v>
      </c>
      <c r="DY72" s="10">
        <f>'[38]Pro gestao cobranca tabela 1'!$Q$158</f>
        <v>1576286.9600000004</v>
      </c>
      <c r="DZ72" s="10">
        <f>'[38]Pro gestao cobranca tabela 1'!$Q$159</f>
        <v>630178.48999999987</v>
      </c>
      <c r="EA72" s="10">
        <f>'[38]Pro gestao cobranca tabela 1'!$Q$160</f>
        <v>86624.9</v>
      </c>
      <c r="EB72" s="10">
        <f>'[38]Pro gestao cobranca tabela 1'!$Q$161</f>
        <v>392262.16</v>
      </c>
      <c r="EC72" s="10">
        <f>'[38]Pro gestao cobranca tabela 1'!$Q$162</f>
        <v>0</v>
      </c>
      <c r="ED72" s="10">
        <f>'[38]Pro gestao cobranca tabela 1'!$Q$163</f>
        <v>124587.42000000003</v>
      </c>
      <c r="EE72" s="10">
        <f t="shared" si="159"/>
        <v>2809939.93</v>
      </c>
      <c r="EF72" s="10">
        <f>'[38]Pro gestao cobranca tabela 1'!$Q$165</f>
        <v>1212595.0799999996</v>
      </c>
      <c r="EG72" s="10">
        <f>'[38]Pro gestao cobranca tabela 1'!$Q$166</f>
        <v>435531.50000000035</v>
      </c>
      <c r="EH72" s="10">
        <f>'[38]Pro gestao cobranca tabela 1'!$Q$167</f>
        <v>80089.799999999988</v>
      </c>
      <c r="EI72" s="10">
        <f>'[38]Pro gestao cobranca tabela 1'!$Q$168</f>
        <v>135186.29</v>
      </c>
      <c r="EJ72" s="10">
        <f>'[38]Pro gestao cobranca tabela 1'!$Q$169</f>
        <v>0</v>
      </c>
      <c r="EK72" s="10">
        <f>'[38]Pro gestao cobranca tabela 1'!$Q$170</f>
        <v>43528.759999999987</v>
      </c>
      <c r="EL72" s="10">
        <f t="shared" si="160"/>
        <v>1906931.4300000002</v>
      </c>
      <c r="EM72" s="10">
        <f>[26]MG!$R$158</f>
        <v>2290557.8599999985</v>
      </c>
      <c r="EN72" s="10">
        <f>[26]MG!$R$159</f>
        <v>931153.77999999968</v>
      </c>
      <c r="EO72" s="10">
        <f>[26]MG!$R$160</f>
        <v>577249.65999999968</v>
      </c>
      <c r="EP72" s="10">
        <f>[26]MG!$R$161</f>
        <v>959665.60999999987</v>
      </c>
      <c r="EQ72" s="10">
        <f>[26]MG!$R$162</f>
        <v>0</v>
      </c>
      <c r="ER72" s="10">
        <f>[26]MG!$R$163</f>
        <v>170747.25000000009</v>
      </c>
      <c r="ES72" s="10">
        <f t="shared" si="169"/>
        <v>4929374.1599999983</v>
      </c>
      <c r="ET72" s="10">
        <f>[26]MG!$R$165</f>
        <v>2173331.1700000023</v>
      </c>
      <c r="EU72" s="10">
        <f>[26]MG!$R$166</f>
        <v>636878.4500000003</v>
      </c>
      <c r="EV72" s="10">
        <f>[26]MG!$R$167</f>
        <v>130960.25000000001</v>
      </c>
      <c r="EW72" s="10">
        <f>[26]MG!$R$168</f>
        <v>380084.33</v>
      </c>
      <c r="EX72" s="10">
        <f>[26]MG!$R$169</f>
        <v>0</v>
      </c>
      <c r="EY72" s="10">
        <f>[26]MG!$R$170</f>
        <v>79292.189999999973</v>
      </c>
      <c r="EZ72" s="10">
        <f t="shared" si="170"/>
        <v>3400546.3900000025</v>
      </c>
      <c r="FA72" s="172">
        <v>2958852.04</v>
      </c>
      <c r="FB72" s="172">
        <v>1643753.84</v>
      </c>
      <c r="FC72" s="172"/>
      <c r="FD72" s="172">
        <v>1375938.51</v>
      </c>
      <c r="FE72" s="172"/>
      <c r="FF72" s="172">
        <f>[27]MG!$T$15</f>
        <v>367638.64</v>
      </c>
      <c r="FG72" s="10">
        <f t="shared" ref="FG72:FG76" si="171">SUM(FA72:FF72)</f>
        <v>6346183.0299999993</v>
      </c>
      <c r="FH72" s="172">
        <f>[27]MG!$V$15</f>
        <v>2706754.89</v>
      </c>
      <c r="FI72" s="172">
        <f>[27]MG!$W$15</f>
        <v>1229107.21</v>
      </c>
      <c r="FJ72" s="172"/>
      <c r="FK72" s="172">
        <f>[27]MG!$U$15</f>
        <v>483402.22</v>
      </c>
      <c r="FL72" s="172"/>
      <c r="FM72" s="172">
        <f>[27]MG!$X$15</f>
        <v>190097.43</v>
      </c>
      <c r="FN72" s="10">
        <f t="shared" ref="FN72:FN76" si="172">SUM(FH72:FM72)</f>
        <v>4609361.75</v>
      </c>
      <c r="FO72" s="10">
        <f>[28]MG!R40</f>
        <v>4299823.91</v>
      </c>
      <c r="FP72" s="10">
        <f>[28]MG!S40</f>
        <v>1262501.8899999999</v>
      </c>
      <c r="FQ72" s="10"/>
      <c r="FR72" s="10">
        <f>[28]MG!Q40</f>
        <v>1049401.1599999999</v>
      </c>
      <c r="FS72" s="10"/>
      <c r="FT72" s="10">
        <f>[28]MG!T40</f>
        <v>254301.89</v>
      </c>
      <c r="FU72" s="10">
        <f t="shared" si="151"/>
        <v>6866028.8499999996</v>
      </c>
      <c r="FV72" s="10">
        <f>[28]MG!V40</f>
        <v>3544872.78</v>
      </c>
      <c r="FW72" s="10">
        <f>[28]MG!W40</f>
        <v>1023461.56</v>
      </c>
      <c r="FX72" s="10"/>
      <c r="FY72" s="10">
        <f>[28]MG!U40</f>
        <v>389351.38</v>
      </c>
      <c r="FZ72" s="10"/>
      <c r="GA72" s="10">
        <f>[28]MG!X40</f>
        <v>183838.49</v>
      </c>
      <c r="GB72" s="10">
        <f t="shared" si="164"/>
        <v>5141524.21</v>
      </c>
      <c r="GC72" s="149">
        <f t="shared" si="165"/>
        <v>34411337.919999994</v>
      </c>
      <c r="GD72" s="149">
        <f t="shared" si="166"/>
        <v>27150127.496752165</v>
      </c>
      <c r="GE72" s="218"/>
      <c r="GG72" s="36"/>
      <c r="GH72" s="36"/>
      <c r="GI72" s="36"/>
      <c r="GJ72" s="36"/>
    </row>
    <row r="73" spans="1:192" s="5" customFormat="1" ht="12.75" x14ac:dyDescent="0.2">
      <c r="A73" s="248"/>
      <c r="B73" s="15" t="s">
        <v>167</v>
      </c>
      <c r="C73" s="1" t="s">
        <v>14</v>
      </c>
      <c r="D73" s="2">
        <v>44562</v>
      </c>
      <c r="E73" s="50"/>
      <c r="F73" s="50"/>
      <c r="G73" s="50"/>
      <c r="H73" s="50"/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  <c r="AJ73" s="50"/>
      <c r="AK73" s="50"/>
      <c r="AL73" s="50"/>
      <c r="AM73" s="50"/>
      <c r="AN73" s="50"/>
      <c r="AO73" s="50"/>
      <c r="AP73" s="50"/>
      <c r="AQ73" s="50"/>
      <c r="AR73" s="50"/>
      <c r="AS73" s="50"/>
      <c r="AT73" s="50"/>
      <c r="AU73" s="50"/>
      <c r="AV73" s="50"/>
      <c r="AW73" s="50"/>
      <c r="AX73" s="50"/>
      <c r="AY73" s="50"/>
      <c r="AZ73" s="50"/>
      <c r="BA73" s="50"/>
      <c r="BB73" s="50"/>
      <c r="BC73" s="50"/>
      <c r="BD73" s="50"/>
      <c r="BE73" s="50"/>
      <c r="BF73" s="82"/>
      <c r="BG73" s="82"/>
      <c r="BH73" s="82"/>
      <c r="BI73" s="82"/>
      <c r="BJ73" s="82"/>
      <c r="BK73" s="82"/>
      <c r="BL73" s="82"/>
      <c r="BM73" s="82"/>
      <c r="BN73" s="82"/>
      <c r="BO73" s="82"/>
      <c r="BP73" s="82"/>
      <c r="BQ73" s="82"/>
      <c r="BR73" s="82"/>
      <c r="BS73" s="82"/>
      <c r="BT73" s="82"/>
      <c r="BU73" s="82"/>
      <c r="BV73" s="82"/>
      <c r="BW73" s="82"/>
      <c r="BX73" s="82"/>
      <c r="BY73" s="82"/>
      <c r="BZ73" s="82"/>
      <c r="CA73" s="82"/>
      <c r="CB73" s="82"/>
      <c r="CC73" s="82"/>
      <c r="CD73" s="82"/>
      <c r="CE73" s="82"/>
      <c r="CF73" s="82"/>
      <c r="CG73" s="82"/>
      <c r="CH73" s="82"/>
      <c r="CI73" s="82"/>
      <c r="CJ73" s="82"/>
      <c r="CK73" s="82"/>
      <c r="CL73" s="82"/>
      <c r="CM73" s="82"/>
      <c r="CN73" s="82"/>
      <c r="CO73" s="82"/>
      <c r="CP73" s="82"/>
      <c r="CQ73" s="82"/>
      <c r="CR73" s="82"/>
      <c r="CS73" s="82"/>
      <c r="CT73" s="82"/>
      <c r="CU73" s="82"/>
      <c r="CV73" s="82"/>
      <c r="CW73" s="82"/>
      <c r="CX73" s="82"/>
      <c r="CY73" s="82"/>
      <c r="CZ73" s="82"/>
      <c r="DA73" s="82"/>
      <c r="DB73" s="82"/>
      <c r="DC73" s="82"/>
      <c r="DD73" s="82"/>
      <c r="DE73" s="82"/>
      <c r="DF73" s="82"/>
      <c r="DG73" s="82"/>
      <c r="DH73" s="82"/>
      <c r="DI73" s="82"/>
      <c r="DJ73" s="82"/>
      <c r="DK73" s="82"/>
      <c r="DL73" s="82"/>
      <c r="DM73" s="82"/>
      <c r="DN73" s="82"/>
      <c r="DO73" s="82"/>
      <c r="DP73" s="82"/>
      <c r="DQ73" s="82"/>
      <c r="DR73" s="82"/>
      <c r="DS73" s="82"/>
      <c r="DT73" s="82"/>
      <c r="DU73" s="82"/>
      <c r="DV73" s="82"/>
      <c r="DW73" s="82"/>
      <c r="DX73" s="82"/>
      <c r="DY73" s="82"/>
      <c r="DZ73" s="82"/>
      <c r="EA73" s="82"/>
      <c r="EB73" s="82"/>
      <c r="EC73" s="82"/>
      <c r="ED73" s="82"/>
      <c r="EE73" s="244" t="s">
        <v>187</v>
      </c>
      <c r="EF73" s="245"/>
      <c r="EG73" s="245"/>
      <c r="EH73" s="245"/>
      <c r="EI73" s="245"/>
      <c r="EJ73" s="245"/>
      <c r="EK73" s="245"/>
      <c r="EL73" s="246"/>
      <c r="EM73" s="10">
        <f>[26]MG!$R$172</f>
        <v>10833420.920000002</v>
      </c>
      <c r="EN73" s="10">
        <f>[26]MG!$R$173</f>
        <v>6008748.469999996</v>
      </c>
      <c r="EO73" s="10">
        <f>[26]MG!$R$174</f>
        <v>686180.69</v>
      </c>
      <c r="EP73" s="10">
        <f>[26]MG!$R$175</f>
        <v>271008.75000000012</v>
      </c>
      <c r="EQ73" s="10">
        <f>[26]MG!$R$176</f>
        <v>0</v>
      </c>
      <c r="ER73" s="10">
        <f>[26]MG!$R$177</f>
        <v>556699.54000000015</v>
      </c>
      <c r="ES73" s="10">
        <f t="shared" ref="ES73:ES74" si="173">SUM(EM73:ER73)</f>
        <v>18356058.369999997</v>
      </c>
      <c r="ET73" s="10">
        <f>[26]MG!$R$179</f>
        <v>10681000.960000003</v>
      </c>
      <c r="EU73" s="10">
        <f>[26]MG!$R$180</f>
        <v>4729577.1599999974</v>
      </c>
      <c r="EV73" s="10">
        <f>[26]MG!$R$181</f>
        <v>284853.08000000007</v>
      </c>
      <c r="EW73" s="10">
        <f>[26]MG!$R$182</f>
        <v>66316.11</v>
      </c>
      <c r="EX73" s="10">
        <f>[26]MG!$R$183</f>
        <v>0</v>
      </c>
      <c r="EY73" s="10">
        <f>[26]MG!$R$184</f>
        <v>330730.02999999985</v>
      </c>
      <c r="EZ73" s="10">
        <f t="shared" si="170"/>
        <v>16092477.34</v>
      </c>
      <c r="FA73" s="172">
        <f>[27]MG!$R$16</f>
        <v>10767815.42</v>
      </c>
      <c r="FB73" s="172">
        <f>[27]MG!$S$16</f>
        <v>7846909.6500000004</v>
      </c>
      <c r="FC73" s="172"/>
      <c r="FD73" s="172">
        <f>[27]MG!$Q$16</f>
        <v>411088.65</v>
      </c>
      <c r="FE73" s="172"/>
      <c r="FF73" s="172">
        <f>[27]MG!$T$16</f>
        <v>1009337.82</v>
      </c>
      <c r="FG73" s="10">
        <f t="shared" si="171"/>
        <v>20035151.539999999</v>
      </c>
      <c r="FH73" s="172">
        <f>[27]MG!$V$16</f>
        <v>10672074.26</v>
      </c>
      <c r="FI73" s="172">
        <f>[27]MG!$W$16</f>
        <v>8113869.5599999996</v>
      </c>
      <c r="FJ73" s="172"/>
      <c r="FK73" s="172">
        <f>[27]MG!$U$16</f>
        <v>258756.58</v>
      </c>
      <c r="FL73" s="172"/>
      <c r="FM73" s="172">
        <f>[27]MG!$X$16</f>
        <v>631233.88</v>
      </c>
      <c r="FN73" s="10">
        <f t="shared" si="172"/>
        <v>19675934.279999997</v>
      </c>
      <c r="FO73" s="10">
        <f>[28]MG!R41</f>
        <v>17032216.09</v>
      </c>
      <c r="FP73" s="10">
        <f>[28]MG!S41</f>
        <v>7688644.8099999996</v>
      </c>
      <c r="FQ73" s="10"/>
      <c r="FR73" s="10">
        <f>[28]MG!Q41</f>
        <v>582574.9</v>
      </c>
      <c r="FS73" s="10"/>
      <c r="FT73" s="10">
        <f>[28]MG!T41</f>
        <v>1340784.8700000001</v>
      </c>
      <c r="FU73" s="10">
        <f t="shared" si="151"/>
        <v>26644220.669999998</v>
      </c>
      <c r="FV73" s="10">
        <f>[28]MG!V41</f>
        <v>12152248.800000001</v>
      </c>
      <c r="FW73" s="10">
        <f>[28]MG!W41</f>
        <v>6792698.2300000004</v>
      </c>
      <c r="FX73" s="10"/>
      <c r="FY73" s="10">
        <f>[28]MG!U41</f>
        <v>363965.27</v>
      </c>
      <c r="FZ73" s="10"/>
      <c r="GA73" s="10">
        <f>[28]MG!X41</f>
        <v>1190743.6200000001</v>
      </c>
      <c r="GB73" s="10">
        <f t="shared" si="164"/>
        <v>20499655.920000002</v>
      </c>
      <c r="GC73" s="149">
        <f>ES73+FG73+FU73</f>
        <v>65035430.579999998</v>
      </c>
      <c r="GD73" s="149">
        <f t="shared" si="166"/>
        <v>56268067.539999999</v>
      </c>
      <c r="GE73" s="218"/>
      <c r="GG73" s="36"/>
      <c r="GH73" s="36"/>
      <c r="GI73" s="36"/>
      <c r="GJ73" s="36"/>
    </row>
    <row r="74" spans="1:192" s="5" customFormat="1" ht="12.75" x14ac:dyDescent="0.2">
      <c r="A74" s="248"/>
      <c r="B74" s="15" t="s">
        <v>168</v>
      </c>
      <c r="C74" s="1" t="s">
        <v>14</v>
      </c>
      <c r="D74" s="2">
        <v>44562</v>
      </c>
      <c r="E74" s="50"/>
      <c r="F74" s="50"/>
      <c r="G74" s="50"/>
      <c r="H74" s="50"/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  <c r="AJ74" s="50"/>
      <c r="AK74" s="50"/>
      <c r="AL74" s="50"/>
      <c r="AM74" s="50"/>
      <c r="AN74" s="50"/>
      <c r="AO74" s="50"/>
      <c r="AP74" s="50"/>
      <c r="AQ74" s="50"/>
      <c r="AR74" s="50"/>
      <c r="AS74" s="50"/>
      <c r="AT74" s="50"/>
      <c r="AU74" s="50"/>
      <c r="AV74" s="50"/>
      <c r="AW74" s="50"/>
      <c r="AX74" s="50"/>
      <c r="AY74" s="50"/>
      <c r="AZ74" s="50"/>
      <c r="BA74" s="50"/>
      <c r="BB74" s="50"/>
      <c r="BC74" s="50"/>
      <c r="BD74" s="50"/>
      <c r="BE74" s="50"/>
      <c r="BF74" s="82"/>
      <c r="BG74" s="82"/>
      <c r="BH74" s="82"/>
      <c r="BI74" s="82"/>
      <c r="BJ74" s="82"/>
      <c r="BK74" s="82"/>
      <c r="BL74" s="82"/>
      <c r="BM74" s="82"/>
      <c r="BN74" s="82"/>
      <c r="BO74" s="82"/>
      <c r="BP74" s="82"/>
      <c r="BQ74" s="82"/>
      <c r="BR74" s="82"/>
      <c r="BS74" s="82"/>
      <c r="BT74" s="82"/>
      <c r="BU74" s="82"/>
      <c r="BV74" s="82"/>
      <c r="BW74" s="82"/>
      <c r="BX74" s="82"/>
      <c r="BY74" s="82"/>
      <c r="BZ74" s="82"/>
      <c r="CA74" s="82"/>
      <c r="CB74" s="82"/>
      <c r="CC74" s="82"/>
      <c r="CD74" s="82"/>
      <c r="CE74" s="82"/>
      <c r="CF74" s="82"/>
      <c r="CG74" s="82"/>
      <c r="CH74" s="82"/>
      <c r="CI74" s="82"/>
      <c r="CJ74" s="82"/>
      <c r="CK74" s="82"/>
      <c r="CL74" s="82"/>
      <c r="CM74" s="82"/>
      <c r="CN74" s="82"/>
      <c r="CO74" s="82"/>
      <c r="CP74" s="82"/>
      <c r="CQ74" s="82"/>
      <c r="CR74" s="82"/>
      <c r="CS74" s="82"/>
      <c r="CT74" s="82"/>
      <c r="CU74" s="82"/>
      <c r="CV74" s="82"/>
      <c r="CW74" s="82"/>
      <c r="CX74" s="82"/>
      <c r="CY74" s="82"/>
      <c r="CZ74" s="82"/>
      <c r="DA74" s="82"/>
      <c r="DB74" s="82"/>
      <c r="DC74" s="82"/>
      <c r="DD74" s="82"/>
      <c r="DE74" s="82"/>
      <c r="DF74" s="82"/>
      <c r="DG74" s="82"/>
      <c r="DH74" s="82"/>
      <c r="DI74" s="82"/>
      <c r="DJ74" s="82"/>
      <c r="DK74" s="82"/>
      <c r="DL74" s="82"/>
      <c r="DM74" s="82"/>
      <c r="DN74" s="82"/>
      <c r="DO74" s="82"/>
      <c r="DP74" s="82"/>
      <c r="DQ74" s="82"/>
      <c r="DR74" s="82"/>
      <c r="DS74" s="82"/>
      <c r="DT74" s="82"/>
      <c r="DU74" s="82"/>
      <c r="DV74" s="82"/>
      <c r="DW74" s="82"/>
      <c r="DX74" s="82"/>
      <c r="DY74" s="82"/>
      <c r="DZ74" s="82"/>
      <c r="EA74" s="82"/>
      <c r="EB74" s="82"/>
      <c r="EC74" s="82"/>
      <c r="ED74" s="82"/>
      <c r="EE74" s="244" t="s">
        <v>187</v>
      </c>
      <c r="EF74" s="245"/>
      <c r="EG74" s="245"/>
      <c r="EH74" s="245"/>
      <c r="EI74" s="245"/>
      <c r="EJ74" s="245"/>
      <c r="EK74" s="245"/>
      <c r="EL74" s="246"/>
      <c r="EM74" s="10">
        <f>[26]MG!$R$186</f>
        <v>1069615.46</v>
      </c>
      <c r="EN74" s="10">
        <f>[26]MG!$R$187</f>
        <v>1080351.2900000005</v>
      </c>
      <c r="EO74" s="10">
        <f>[26]MG!$R$188</f>
        <v>287667.49999999994</v>
      </c>
      <c r="EP74" s="10">
        <f>[26]MG!$R$189</f>
        <v>5240268.5100000044</v>
      </c>
      <c r="EQ74" s="10">
        <f>[26]MG!$R$190</f>
        <v>0</v>
      </c>
      <c r="ER74" s="10">
        <f>[26]MG!$R$191</f>
        <v>287659.55</v>
      </c>
      <c r="ES74" s="10">
        <f t="shared" si="173"/>
        <v>7965562.3100000052</v>
      </c>
      <c r="ET74" s="10">
        <f>[26]MG!$R$193</f>
        <v>719166.47000000009</v>
      </c>
      <c r="EU74" s="10">
        <f>[26]MG!$R$194</f>
        <v>550733.80999999982</v>
      </c>
      <c r="EV74" s="10">
        <f>[26]MG!$R$195</f>
        <v>188877.82</v>
      </c>
      <c r="EW74" s="10">
        <f>[26]MG!$R$196</f>
        <v>2566031.2099999948</v>
      </c>
      <c r="EX74" s="10">
        <f>[26]MG!$R$197</f>
        <v>0</v>
      </c>
      <c r="EY74" s="10">
        <f>[26]MG!$R$198</f>
        <v>86902.069999999978</v>
      </c>
      <c r="EZ74" s="10">
        <f t="shared" si="170"/>
        <v>4111711.3799999948</v>
      </c>
      <c r="FA74" s="172">
        <f>[27]MG!$R$30</f>
        <v>960884.95</v>
      </c>
      <c r="FB74" s="172">
        <f>[27]MG!$S$30</f>
        <v>1301198.52</v>
      </c>
      <c r="FC74" s="172"/>
      <c r="FD74" s="172">
        <f>[27]MG!$Q$30</f>
        <v>5882425.7000000002</v>
      </c>
      <c r="FE74" s="172"/>
      <c r="FF74" s="172">
        <f>[27]MG!$T$30</f>
        <v>431132.69</v>
      </c>
      <c r="FG74" s="10">
        <f t="shared" si="171"/>
        <v>8575641.8599999994</v>
      </c>
      <c r="FH74" s="172">
        <f>[27]MG!$V$30</f>
        <v>824045.44</v>
      </c>
      <c r="FI74" s="172">
        <f>[27]MG!$W$30</f>
        <v>941276.05</v>
      </c>
      <c r="FJ74" s="172"/>
      <c r="FK74" s="172">
        <f>[27]MG!$U$30</f>
        <v>3619614.79</v>
      </c>
      <c r="FL74" s="172"/>
      <c r="FM74" s="172">
        <f>[27]MG!$X$30</f>
        <v>184043.75</v>
      </c>
      <c r="FN74" s="10">
        <f t="shared" si="172"/>
        <v>5568980.0300000003</v>
      </c>
      <c r="FO74" s="10">
        <f>[28]MG!R34</f>
        <v>861684.07</v>
      </c>
      <c r="FP74" s="10">
        <f>[28]MG!S34</f>
        <v>1467175.52</v>
      </c>
      <c r="FQ74" s="10"/>
      <c r="FR74" s="10">
        <f>[28]MG!Q34</f>
        <v>5469293.0899999999</v>
      </c>
      <c r="FS74" s="10"/>
      <c r="FT74" s="10">
        <f>[28]MG!T34</f>
        <v>483318.27</v>
      </c>
      <c r="FU74" s="10">
        <f t="shared" si="151"/>
        <v>8281470.9499999993</v>
      </c>
      <c r="FV74" s="10">
        <f>[28]MG!V34</f>
        <v>461225.47</v>
      </c>
      <c r="FW74" s="10">
        <f>[28]MG!W34</f>
        <v>1145419.94</v>
      </c>
      <c r="FX74" s="10"/>
      <c r="FY74" s="10">
        <f>[28]MG!U34</f>
        <v>3022701.97</v>
      </c>
      <c r="FZ74" s="10"/>
      <c r="GA74" s="10">
        <f>[28]MG!X34</f>
        <v>241344.52</v>
      </c>
      <c r="GB74" s="10">
        <f t="shared" si="164"/>
        <v>4870691.8999999994</v>
      </c>
      <c r="GC74" s="149">
        <f t="shared" ref="GC74:GC77" si="174">ES74+FG74+FU74</f>
        <v>24822675.120000005</v>
      </c>
      <c r="GD74" s="149">
        <f t="shared" si="166"/>
        <v>14551383.309999995</v>
      </c>
      <c r="GE74" s="218"/>
      <c r="GG74" s="36"/>
      <c r="GH74" s="36"/>
      <c r="GI74" s="36"/>
      <c r="GJ74" s="36"/>
    </row>
    <row r="75" spans="1:192" s="5" customFormat="1" ht="12.75" x14ac:dyDescent="0.2">
      <c r="A75" s="248"/>
      <c r="B75" s="15" t="s">
        <v>169</v>
      </c>
      <c r="C75" s="1" t="s">
        <v>14</v>
      </c>
      <c r="D75" s="2">
        <v>44562</v>
      </c>
      <c r="E75" s="50"/>
      <c r="F75" s="50"/>
      <c r="G75" s="50"/>
      <c r="H75" s="50"/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  <c r="AJ75" s="50"/>
      <c r="AK75" s="50"/>
      <c r="AL75" s="50"/>
      <c r="AM75" s="50"/>
      <c r="AN75" s="50"/>
      <c r="AO75" s="50"/>
      <c r="AP75" s="50"/>
      <c r="AQ75" s="50"/>
      <c r="AR75" s="50"/>
      <c r="AS75" s="50"/>
      <c r="AT75" s="50"/>
      <c r="AU75" s="50"/>
      <c r="AV75" s="50"/>
      <c r="AW75" s="50"/>
      <c r="AX75" s="50"/>
      <c r="AY75" s="50"/>
      <c r="AZ75" s="50"/>
      <c r="BA75" s="50"/>
      <c r="BB75" s="50"/>
      <c r="BC75" s="50"/>
      <c r="BD75" s="50"/>
      <c r="BE75" s="50"/>
      <c r="BF75" s="82"/>
      <c r="BG75" s="82"/>
      <c r="BH75" s="82"/>
      <c r="BI75" s="82"/>
      <c r="BJ75" s="82"/>
      <c r="BK75" s="82"/>
      <c r="BL75" s="82"/>
      <c r="BM75" s="82"/>
      <c r="BN75" s="82"/>
      <c r="BO75" s="82"/>
      <c r="BP75" s="82"/>
      <c r="BQ75" s="82"/>
      <c r="BR75" s="82"/>
      <c r="BS75" s="82"/>
      <c r="BT75" s="82"/>
      <c r="BU75" s="82"/>
      <c r="BV75" s="82"/>
      <c r="BW75" s="82"/>
      <c r="BX75" s="82"/>
      <c r="BY75" s="82"/>
      <c r="BZ75" s="82"/>
      <c r="CA75" s="82"/>
      <c r="CB75" s="82"/>
      <c r="CC75" s="82"/>
      <c r="CD75" s="82"/>
      <c r="CE75" s="82"/>
      <c r="CF75" s="82"/>
      <c r="CG75" s="82"/>
      <c r="CH75" s="82"/>
      <c r="CI75" s="82"/>
      <c r="CJ75" s="82"/>
      <c r="CK75" s="82"/>
      <c r="CL75" s="82"/>
      <c r="CM75" s="82"/>
      <c r="CN75" s="82"/>
      <c r="CO75" s="82"/>
      <c r="CP75" s="82"/>
      <c r="CQ75" s="82"/>
      <c r="CR75" s="82"/>
      <c r="CS75" s="82"/>
      <c r="CT75" s="82"/>
      <c r="CU75" s="82"/>
      <c r="CV75" s="82"/>
      <c r="CW75" s="82"/>
      <c r="CX75" s="82"/>
      <c r="CY75" s="82"/>
      <c r="CZ75" s="82"/>
      <c r="DA75" s="82"/>
      <c r="DB75" s="82"/>
      <c r="DC75" s="82"/>
      <c r="DD75" s="82"/>
      <c r="DE75" s="82"/>
      <c r="DF75" s="82"/>
      <c r="DG75" s="82"/>
      <c r="DH75" s="82"/>
      <c r="DI75" s="82"/>
      <c r="DJ75" s="82"/>
      <c r="DK75" s="82"/>
      <c r="DL75" s="82"/>
      <c r="DM75" s="82"/>
      <c r="DN75" s="82"/>
      <c r="DO75" s="82"/>
      <c r="DP75" s="82"/>
      <c r="DQ75" s="82"/>
      <c r="DR75" s="82"/>
      <c r="DS75" s="82"/>
      <c r="DT75" s="82"/>
      <c r="DU75" s="82"/>
      <c r="DV75" s="82"/>
      <c r="DW75" s="82"/>
      <c r="DX75" s="82"/>
      <c r="DY75" s="82"/>
      <c r="DZ75" s="82"/>
      <c r="EA75" s="82"/>
      <c r="EB75" s="82"/>
      <c r="EC75" s="82"/>
      <c r="ED75" s="82"/>
      <c r="EE75" s="244" t="s">
        <v>187</v>
      </c>
      <c r="EF75" s="245"/>
      <c r="EG75" s="245"/>
      <c r="EH75" s="245"/>
      <c r="EI75" s="245"/>
      <c r="EJ75" s="245"/>
      <c r="EK75" s="245"/>
      <c r="EL75" s="246"/>
      <c r="EM75" s="10">
        <f>[26]MG!$R$200</f>
        <v>882684.55</v>
      </c>
      <c r="EN75" s="10">
        <f>[26]MG!$R$201</f>
        <v>2218098.4800000004</v>
      </c>
      <c r="EO75" s="10">
        <f>[26]MG!$R$202</f>
        <v>0</v>
      </c>
      <c r="EP75" s="10">
        <f>[26]MG!$R$203</f>
        <v>3134176.7099999981</v>
      </c>
      <c r="EQ75" s="10">
        <f>[26]MG!$R$204</f>
        <v>0</v>
      </c>
      <c r="ER75" s="10">
        <f>[26]MG!$R$205</f>
        <v>214901.91999999998</v>
      </c>
      <c r="ES75" s="10">
        <f>SUM(EM75:ER75)</f>
        <v>6449861.6599999983</v>
      </c>
      <c r="ET75" s="10">
        <f>[26]MG!$R$207</f>
        <v>218433.60000000006</v>
      </c>
      <c r="EU75" s="10">
        <f>[26]MG!$R$208</f>
        <v>1484539.73</v>
      </c>
      <c r="EV75" s="10">
        <f>[26]MG!$R$209</f>
        <v>0</v>
      </c>
      <c r="EW75" s="10">
        <f>[26]MG!$R$210</f>
        <v>1146322.32</v>
      </c>
      <c r="EX75" s="10">
        <f>[26]MG!$R$211</f>
        <v>0</v>
      </c>
      <c r="EY75" s="10">
        <f>[26]MG!$R$212</f>
        <v>51591.869999999995</v>
      </c>
      <c r="EZ75" s="10">
        <f t="shared" si="170"/>
        <v>2900887.5200000005</v>
      </c>
      <c r="FA75" s="172">
        <f>[27]MG!$R$32</f>
        <v>1470720.06</v>
      </c>
      <c r="FB75" s="172">
        <f>[27]MG!$S$32</f>
        <v>2356145.12</v>
      </c>
      <c r="FC75" s="172"/>
      <c r="FD75" s="172">
        <f>[27]MG!$Q$32</f>
        <v>4363573.1399999997</v>
      </c>
      <c r="FE75" s="172"/>
      <c r="FF75" s="172">
        <f>[27]MG!$T$32</f>
        <v>763426.7</v>
      </c>
      <c r="FG75" s="10">
        <f t="shared" si="171"/>
        <v>8953865.0199999996</v>
      </c>
      <c r="FH75" s="172">
        <f>[27]MG!$V$32</f>
        <v>374345</v>
      </c>
      <c r="FI75" s="172">
        <f>[27]MG!$W$32</f>
        <v>2158001.17</v>
      </c>
      <c r="FJ75" s="172"/>
      <c r="FK75" s="172">
        <f>[27]MG!$U$32</f>
        <v>2126735</v>
      </c>
      <c r="FL75" s="172"/>
      <c r="FM75" s="172">
        <f>[27]MG!$X$32</f>
        <v>185952.32</v>
      </c>
      <c r="FN75" s="10">
        <f t="shared" si="172"/>
        <v>4845033.49</v>
      </c>
      <c r="FO75" s="10">
        <f>[28]MG!R36</f>
        <v>1067986.72</v>
      </c>
      <c r="FP75" s="10">
        <f>[28]MG!S36</f>
        <v>2113578.77</v>
      </c>
      <c r="FQ75" s="10"/>
      <c r="FR75" s="10">
        <f>[28]MG!Q36</f>
        <v>4736978.97</v>
      </c>
      <c r="FS75" s="10"/>
      <c r="FT75" s="10">
        <f>[28]MG!T36</f>
        <v>425949.64</v>
      </c>
      <c r="FU75" s="10">
        <f t="shared" si="151"/>
        <v>8344494.0999999996</v>
      </c>
      <c r="FV75" s="10">
        <f>[28]MG!V36</f>
        <v>942626.51</v>
      </c>
      <c r="FW75" s="10">
        <f>[28]MG!W36</f>
        <v>2536552.17</v>
      </c>
      <c r="FX75" s="10"/>
      <c r="FY75" s="10">
        <f>[28]MG!U36</f>
        <v>3390113.21</v>
      </c>
      <c r="FZ75" s="10"/>
      <c r="GA75" s="10">
        <f>[28]MG!X36</f>
        <v>180550.5</v>
      </c>
      <c r="GB75" s="10">
        <f t="shared" si="164"/>
        <v>7049842.3899999997</v>
      </c>
      <c r="GC75" s="149">
        <f t="shared" si="174"/>
        <v>23748220.779999997</v>
      </c>
      <c r="GD75" s="149">
        <f t="shared" si="166"/>
        <v>14795763.4</v>
      </c>
      <c r="GE75" s="218"/>
      <c r="GG75" s="36"/>
      <c r="GH75" s="36"/>
      <c r="GI75" s="36"/>
      <c r="GJ75" s="36"/>
    </row>
    <row r="76" spans="1:192" s="5" customFormat="1" ht="12.75" x14ac:dyDescent="0.2">
      <c r="A76" s="248"/>
      <c r="B76" s="15" t="s">
        <v>192</v>
      </c>
      <c r="C76" s="1" t="s">
        <v>14</v>
      </c>
      <c r="D76" s="2">
        <v>44562</v>
      </c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0"/>
      <c r="BD76" s="50"/>
      <c r="BE76" s="50"/>
      <c r="BF76" s="82"/>
      <c r="BG76" s="82"/>
      <c r="BH76" s="82"/>
      <c r="BI76" s="82"/>
      <c r="BJ76" s="82"/>
      <c r="BK76" s="82"/>
      <c r="BL76" s="82"/>
      <c r="BM76" s="82"/>
      <c r="BN76" s="82"/>
      <c r="BO76" s="82"/>
      <c r="BP76" s="82"/>
      <c r="BQ76" s="82"/>
      <c r="BR76" s="82"/>
      <c r="BS76" s="82"/>
      <c r="BT76" s="82"/>
      <c r="BU76" s="82"/>
      <c r="BV76" s="82"/>
      <c r="BW76" s="82"/>
      <c r="BX76" s="82"/>
      <c r="BY76" s="82"/>
      <c r="BZ76" s="82"/>
      <c r="CA76" s="82"/>
      <c r="CB76" s="82"/>
      <c r="CC76" s="82"/>
      <c r="CD76" s="82"/>
      <c r="CE76" s="82"/>
      <c r="CF76" s="82"/>
      <c r="CG76" s="82"/>
      <c r="CH76" s="82"/>
      <c r="CI76" s="82"/>
      <c r="CJ76" s="82"/>
      <c r="CK76" s="82"/>
      <c r="CL76" s="82"/>
      <c r="CM76" s="82"/>
      <c r="CN76" s="82"/>
      <c r="CO76" s="82"/>
      <c r="CP76" s="82"/>
      <c r="CQ76" s="82"/>
      <c r="CR76" s="82"/>
      <c r="CS76" s="82"/>
      <c r="CT76" s="82"/>
      <c r="CU76" s="82"/>
      <c r="CV76" s="82"/>
      <c r="CW76" s="82"/>
      <c r="CX76" s="82"/>
      <c r="CY76" s="82"/>
      <c r="CZ76" s="82"/>
      <c r="DA76" s="82"/>
      <c r="DB76" s="82"/>
      <c r="DC76" s="82"/>
      <c r="DD76" s="82"/>
      <c r="DE76" s="82"/>
      <c r="DF76" s="82"/>
      <c r="DG76" s="82"/>
      <c r="DH76" s="82"/>
      <c r="DI76" s="82"/>
      <c r="DJ76" s="82"/>
      <c r="DK76" s="82"/>
      <c r="DL76" s="82"/>
      <c r="DM76" s="82"/>
      <c r="DN76" s="82"/>
      <c r="DO76" s="82"/>
      <c r="DP76" s="82"/>
      <c r="DQ76" s="82"/>
      <c r="DR76" s="82"/>
      <c r="DS76" s="82"/>
      <c r="DT76" s="82"/>
      <c r="DU76" s="82"/>
      <c r="DV76" s="82"/>
      <c r="DW76" s="82"/>
      <c r="DX76" s="82"/>
      <c r="DY76" s="82"/>
      <c r="DZ76" s="82"/>
      <c r="EA76" s="82"/>
      <c r="EB76" s="82"/>
      <c r="EC76" s="82"/>
      <c r="ED76" s="82"/>
      <c r="EE76" s="244" t="s">
        <v>187</v>
      </c>
      <c r="EF76" s="245"/>
      <c r="EG76" s="245"/>
      <c r="EH76" s="245"/>
      <c r="EI76" s="245"/>
      <c r="EJ76" s="245"/>
      <c r="EK76" s="245"/>
      <c r="EL76" s="246"/>
      <c r="EM76" s="10">
        <f>[26]MG!$R$214</f>
        <v>1256926.57</v>
      </c>
      <c r="EN76" s="10">
        <f>[26]MG!$R$215</f>
        <v>531253.37</v>
      </c>
      <c r="EO76" s="10">
        <f>[26]MG!$R$216</f>
        <v>62562.78</v>
      </c>
      <c r="EP76" s="10">
        <f>[26]MG!$R$217</f>
        <v>95153.530000000028</v>
      </c>
      <c r="EQ76" s="10">
        <f>[26]MG!$R$218</f>
        <v>0</v>
      </c>
      <c r="ER76" s="10">
        <f>[26]MG!$R$219</f>
        <v>187101.72999999998</v>
      </c>
      <c r="ES76" s="10">
        <f>SUM(EM76:ER76)</f>
        <v>2132997.98</v>
      </c>
      <c r="ET76" s="10">
        <f>[26]MG!$R$221</f>
        <v>452434.68000000028</v>
      </c>
      <c r="EU76" s="10">
        <f>[26]MG!$R$222</f>
        <v>337903.06000000006</v>
      </c>
      <c r="EV76" s="10">
        <f>[26]MG!$R$223</f>
        <v>4682.49</v>
      </c>
      <c r="EW76" s="10">
        <f>[26]MG!$R$224</f>
        <v>7028.49</v>
      </c>
      <c r="EX76" s="10">
        <f>[26]MG!$R$225</f>
        <v>0</v>
      </c>
      <c r="EY76" s="10">
        <f>[26]MG!$R$226</f>
        <v>11300.130000000001</v>
      </c>
      <c r="EZ76" s="10">
        <f t="shared" si="170"/>
        <v>813348.85000000033</v>
      </c>
      <c r="FA76" s="172">
        <f>[27]MG!$R$34</f>
        <v>1371308.7</v>
      </c>
      <c r="FB76" s="172">
        <f>[27]MG!$S$34</f>
        <v>540568.76</v>
      </c>
      <c r="FC76" s="172"/>
      <c r="FD76" s="172">
        <f>[27]MG!$Q$34</f>
        <v>148576.82999999999</v>
      </c>
      <c r="FE76" s="172"/>
      <c r="FF76" s="172">
        <f>[27]MG!$T$34</f>
        <v>388952.07</v>
      </c>
      <c r="FG76" s="10">
        <f t="shared" si="171"/>
        <v>2449406.36</v>
      </c>
      <c r="FH76" s="172">
        <f>[27]MG!$V$34</f>
        <v>641767.69999999995</v>
      </c>
      <c r="FI76" s="172">
        <f>[27]MG!$W$34</f>
        <v>616867.93000000005</v>
      </c>
      <c r="FJ76" s="172"/>
      <c r="FK76" s="172">
        <f>[27]MG!$U$34</f>
        <v>19739.5</v>
      </c>
      <c r="FL76" s="172"/>
      <c r="FM76" s="172">
        <f>[27]MG!$X$34</f>
        <v>342688.74</v>
      </c>
      <c r="FN76" s="10">
        <f t="shared" si="172"/>
        <v>1621063.8699999999</v>
      </c>
      <c r="FO76" s="10">
        <f>[28]MG!R21</f>
        <v>1860369.54</v>
      </c>
      <c r="FP76" s="10">
        <f>[28]MG!S21</f>
        <v>559260.52</v>
      </c>
      <c r="FQ76" s="10"/>
      <c r="FR76" s="10">
        <f>[28]MG!Q21</f>
        <v>213576.32000000001</v>
      </c>
      <c r="FS76" s="10"/>
      <c r="FT76" s="10">
        <f>[28]MG!T21</f>
        <v>116748.34</v>
      </c>
      <c r="FU76" s="10">
        <f t="shared" si="151"/>
        <v>2749954.7199999997</v>
      </c>
      <c r="FV76" s="10">
        <f>[28]MG!V21</f>
        <v>1627360.74</v>
      </c>
      <c r="FW76" s="10">
        <f>[28]MG!W21</f>
        <v>505678.52</v>
      </c>
      <c r="FX76" s="10"/>
      <c r="FY76" s="10">
        <f>[28]MG!U21</f>
        <v>98977.36</v>
      </c>
      <c r="FZ76" s="10"/>
      <c r="GA76" s="10">
        <f>[28]MG!X21</f>
        <v>99798.399999999994</v>
      </c>
      <c r="GB76" s="10">
        <f t="shared" si="164"/>
        <v>2331815.0199999996</v>
      </c>
      <c r="GC76" s="149">
        <f t="shared" si="174"/>
        <v>7332359.0599999996</v>
      </c>
      <c r="GD76" s="149">
        <f t="shared" si="166"/>
        <v>4766227.74</v>
      </c>
      <c r="GE76" s="218"/>
      <c r="GG76" s="36"/>
      <c r="GH76" s="36"/>
      <c r="GI76" s="36"/>
      <c r="GJ76" s="36"/>
    </row>
    <row r="77" spans="1:192" s="5" customFormat="1" ht="12.75" x14ac:dyDescent="0.2">
      <c r="A77" s="248"/>
      <c r="B77" s="15" t="s">
        <v>170</v>
      </c>
      <c r="C77" s="1" t="s">
        <v>14</v>
      </c>
      <c r="D77" s="2">
        <v>44562</v>
      </c>
      <c r="E77" s="50"/>
      <c r="F77" s="50"/>
      <c r="G77" s="50"/>
      <c r="H77" s="50"/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  <c r="AJ77" s="50"/>
      <c r="AK77" s="50"/>
      <c r="AL77" s="50"/>
      <c r="AM77" s="50"/>
      <c r="AN77" s="50"/>
      <c r="AO77" s="50"/>
      <c r="AP77" s="50"/>
      <c r="AQ77" s="50"/>
      <c r="AR77" s="50"/>
      <c r="AS77" s="50"/>
      <c r="AT77" s="50"/>
      <c r="AU77" s="50"/>
      <c r="AV77" s="50"/>
      <c r="AW77" s="50"/>
      <c r="AX77" s="50"/>
      <c r="AY77" s="50"/>
      <c r="AZ77" s="50"/>
      <c r="BA77" s="50"/>
      <c r="BB77" s="50"/>
      <c r="BC77" s="50"/>
      <c r="BD77" s="50"/>
      <c r="BE77" s="50"/>
      <c r="BF77" s="82"/>
      <c r="BG77" s="82"/>
      <c r="BH77" s="82"/>
      <c r="BI77" s="82"/>
      <c r="BJ77" s="82"/>
      <c r="BK77" s="82"/>
      <c r="BL77" s="82"/>
      <c r="BM77" s="82"/>
      <c r="BN77" s="82"/>
      <c r="BO77" s="82"/>
      <c r="BP77" s="82"/>
      <c r="BQ77" s="82"/>
      <c r="BR77" s="82"/>
      <c r="BS77" s="82"/>
      <c r="BT77" s="82"/>
      <c r="BU77" s="82"/>
      <c r="BV77" s="82"/>
      <c r="BW77" s="82"/>
      <c r="BX77" s="82"/>
      <c r="BY77" s="82"/>
      <c r="BZ77" s="82"/>
      <c r="CA77" s="82"/>
      <c r="CB77" s="82"/>
      <c r="CC77" s="82"/>
      <c r="CD77" s="82"/>
      <c r="CE77" s="82"/>
      <c r="CF77" s="82"/>
      <c r="CG77" s="82"/>
      <c r="CH77" s="82"/>
      <c r="CI77" s="82"/>
      <c r="CJ77" s="82"/>
      <c r="CK77" s="82"/>
      <c r="CL77" s="82"/>
      <c r="CM77" s="82"/>
      <c r="CN77" s="82"/>
      <c r="CO77" s="82"/>
      <c r="CP77" s="82"/>
      <c r="CQ77" s="82"/>
      <c r="CR77" s="82"/>
      <c r="CS77" s="82"/>
      <c r="CT77" s="82"/>
      <c r="CU77" s="82"/>
      <c r="CV77" s="82"/>
      <c r="CW77" s="82"/>
      <c r="CX77" s="82"/>
      <c r="CY77" s="82"/>
      <c r="CZ77" s="82"/>
      <c r="DA77" s="82"/>
      <c r="DB77" s="82"/>
      <c r="DC77" s="82"/>
      <c r="DD77" s="82"/>
      <c r="DE77" s="82"/>
      <c r="DF77" s="82"/>
      <c r="DG77" s="82"/>
      <c r="DH77" s="82"/>
      <c r="DI77" s="82"/>
      <c r="DJ77" s="82"/>
      <c r="DK77" s="82"/>
      <c r="DL77" s="82"/>
      <c r="DM77" s="82"/>
      <c r="DN77" s="82"/>
      <c r="DO77" s="82"/>
      <c r="DP77" s="82"/>
      <c r="DQ77" s="82"/>
      <c r="DR77" s="82"/>
      <c r="DS77" s="82"/>
      <c r="DT77" s="82"/>
      <c r="DU77" s="82"/>
      <c r="DV77" s="82"/>
      <c r="DW77" s="82"/>
      <c r="DX77" s="82"/>
      <c r="DY77" s="82"/>
      <c r="DZ77" s="82"/>
      <c r="EA77" s="82"/>
      <c r="EB77" s="82"/>
      <c r="EC77" s="82"/>
      <c r="ED77" s="82"/>
      <c r="EE77" s="244" t="s">
        <v>187</v>
      </c>
      <c r="EF77" s="245"/>
      <c r="EG77" s="245"/>
      <c r="EH77" s="245"/>
      <c r="EI77" s="245"/>
      <c r="EJ77" s="245"/>
      <c r="EK77" s="245"/>
      <c r="EL77" s="246"/>
      <c r="EM77" s="10">
        <f>[26]MG!$R$228</f>
        <v>1083229.29</v>
      </c>
      <c r="EN77" s="10">
        <f>[26]MG!$R$229</f>
        <v>215664.09999999992</v>
      </c>
      <c r="EO77" s="10">
        <f>[26]MG!$R$230</f>
        <v>2099.9</v>
      </c>
      <c r="EP77" s="10">
        <f>[26]MG!$R$231</f>
        <v>253350.07999999993</v>
      </c>
      <c r="EQ77" s="10">
        <f>[26]MG!$R$232</f>
        <v>0</v>
      </c>
      <c r="ER77" s="10">
        <f>[26]MG!$R$233</f>
        <v>85655.280000000013</v>
      </c>
      <c r="ES77" s="10">
        <f>SUM(EM77:ER77)</f>
        <v>1639998.6499999997</v>
      </c>
      <c r="ET77" s="10">
        <f>[26]MG!$R$235</f>
        <v>533384.41</v>
      </c>
      <c r="EU77" s="10">
        <f>[26]MG!$R$236</f>
        <v>107230.99000000003</v>
      </c>
      <c r="EV77" s="10">
        <f>[26]MG!$R$237</f>
        <v>1162.28</v>
      </c>
      <c r="EW77" s="10">
        <f>[26]MG!$R$238</f>
        <v>66654.959999999992</v>
      </c>
      <c r="EX77" s="10">
        <f>[26]MG!$R$239</f>
        <v>0</v>
      </c>
      <c r="EY77" s="10">
        <f>[26]MG!$R$240</f>
        <v>10648.769999999997</v>
      </c>
      <c r="EZ77" s="10">
        <f t="shared" si="170"/>
        <v>719081.41</v>
      </c>
      <c r="FA77" s="172">
        <f>[27]MG!$R$35</f>
        <v>1355947.4</v>
      </c>
      <c r="FB77" s="172">
        <f>[27]MG!$S$35</f>
        <v>249058.24</v>
      </c>
      <c r="FC77" s="172"/>
      <c r="FD77" s="172">
        <f>[27]MG!$Q$35</f>
        <v>334887.92</v>
      </c>
      <c r="FE77" s="172"/>
      <c r="FF77" s="172">
        <f>[27]MG!$T$35</f>
        <v>359597.19</v>
      </c>
      <c r="FG77" s="10">
        <f t="shared" ref="FG77" si="175">SUM(FA77:FF77)</f>
        <v>2299490.75</v>
      </c>
      <c r="FH77" s="172">
        <f>[27]MG!$V$35</f>
        <v>1423661.22</v>
      </c>
      <c r="FI77" s="172">
        <f>[27]MG!$W$35</f>
        <v>196403.1</v>
      </c>
      <c r="FJ77" s="172"/>
      <c r="FK77" s="172">
        <f>[27]MG!$U$35</f>
        <v>96078.5</v>
      </c>
      <c r="FL77" s="172"/>
      <c r="FM77" s="172">
        <f>[27]MG!$X$35</f>
        <v>60859.18</v>
      </c>
      <c r="FN77" s="10">
        <f t="shared" ref="FN77" si="176">SUM(FH77:FM77)</f>
        <v>1777002</v>
      </c>
      <c r="FO77" s="10">
        <f>[28]MG!R22</f>
        <v>1578887.28</v>
      </c>
      <c r="FP77" s="10">
        <f>[28]MG!S22</f>
        <v>328345.51</v>
      </c>
      <c r="FQ77" s="10"/>
      <c r="FR77" s="10">
        <f>[28]MG!Q22</f>
        <v>365803.1</v>
      </c>
      <c r="FS77" s="10"/>
      <c r="FT77" s="10">
        <f>[28]MG!T22</f>
        <v>126861.99</v>
      </c>
      <c r="FU77" s="10">
        <f t="shared" si="151"/>
        <v>2399897.8800000004</v>
      </c>
      <c r="FV77" s="10">
        <f>[28]MG!V22</f>
        <v>1205620.3799999999</v>
      </c>
      <c r="FW77" s="10">
        <f>[28]MG!W22</f>
        <v>215136.84</v>
      </c>
      <c r="FX77" s="10"/>
      <c r="FY77" s="10">
        <f>[28]MG!U22</f>
        <v>201859.35</v>
      </c>
      <c r="FZ77" s="10"/>
      <c r="GA77" s="10">
        <f>[28]MG!X22</f>
        <v>45805.99</v>
      </c>
      <c r="GB77" s="10">
        <f t="shared" si="164"/>
        <v>1668422.56</v>
      </c>
      <c r="GC77" s="149">
        <f t="shared" si="174"/>
        <v>6339387.2799999993</v>
      </c>
      <c r="GD77" s="149">
        <f t="shared" si="166"/>
        <v>4164505.97</v>
      </c>
      <c r="GE77" s="218"/>
      <c r="GG77" s="36"/>
      <c r="GH77" s="36"/>
      <c r="GI77" s="36"/>
      <c r="GJ77" s="36"/>
    </row>
    <row r="78" spans="1:192" s="5" customFormat="1" ht="12.75" x14ac:dyDescent="0.2">
      <c r="A78" s="248"/>
      <c r="B78" s="15" t="s">
        <v>189</v>
      </c>
      <c r="C78" s="1" t="s">
        <v>14</v>
      </c>
      <c r="D78" s="2">
        <v>44927</v>
      </c>
      <c r="E78" s="50"/>
      <c r="F78" s="50"/>
      <c r="G78" s="50"/>
      <c r="H78" s="50"/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  <c r="AJ78" s="50"/>
      <c r="AK78" s="50"/>
      <c r="AL78" s="50"/>
      <c r="AM78" s="50"/>
      <c r="AN78" s="50"/>
      <c r="AO78" s="50"/>
      <c r="AP78" s="50"/>
      <c r="AQ78" s="50"/>
      <c r="AR78" s="50"/>
      <c r="AS78" s="50"/>
      <c r="AT78" s="50"/>
      <c r="AU78" s="50"/>
      <c r="AV78" s="50"/>
      <c r="AW78" s="50"/>
      <c r="AX78" s="50"/>
      <c r="AY78" s="50"/>
      <c r="AZ78" s="50"/>
      <c r="BA78" s="50"/>
      <c r="BB78" s="50"/>
      <c r="BC78" s="50"/>
      <c r="BD78" s="50"/>
      <c r="BE78" s="50"/>
      <c r="BF78" s="82"/>
      <c r="BG78" s="82"/>
      <c r="BH78" s="82"/>
      <c r="BI78" s="82"/>
      <c r="BJ78" s="82"/>
      <c r="BK78" s="82"/>
      <c r="BL78" s="82"/>
      <c r="BM78" s="82"/>
      <c r="BN78" s="82"/>
      <c r="BO78" s="82"/>
      <c r="BP78" s="82"/>
      <c r="BQ78" s="82"/>
      <c r="BR78" s="82"/>
      <c r="BS78" s="82"/>
      <c r="BT78" s="82"/>
      <c r="BU78" s="82"/>
      <c r="BV78" s="82"/>
      <c r="BW78" s="82"/>
      <c r="BX78" s="82"/>
      <c r="BY78" s="82"/>
      <c r="BZ78" s="82"/>
      <c r="CA78" s="82"/>
      <c r="CB78" s="82"/>
      <c r="CC78" s="82"/>
      <c r="CD78" s="82"/>
      <c r="CE78" s="82"/>
      <c r="CF78" s="82"/>
      <c r="CG78" s="82"/>
      <c r="CH78" s="82"/>
      <c r="CI78" s="82"/>
      <c r="CJ78" s="82"/>
      <c r="CK78" s="82"/>
      <c r="CL78" s="82"/>
      <c r="CM78" s="82"/>
      <c r="CN78" s="82"/>
      <c r="CO78" s="82"/>
      <c r="CP78" s="82"/>
      <c r="CQ78" s="82"/>
      <c r="CR78" s="82"/>
      <c r="CS78" s="82"/>
      <c r="CT78" s="82"/>
      <c r="CU78" s="82"/>
      <c r="CV78" s="82"/>
      <c r="CW78" s="82"/>
      <c r="CX78" s="82"/>
      <c r="CY78" s="82"/>
      <c r="CZ78" s="82"/>
      <c r="DA78" s="82"/>
      <c r="DB78" s="82"/>
      <c r="DC78" s="82"/>
      <c r="DD78" s="82"/>
      <c r="DE78" s="82"/>
      <c r="DF78" s="82"/>
      <c r="DG78" s="82"/>
      <c r="DH78" s="82"/>
      <c r="DI78" s="82"/>
      <c r="DJ78" s="82"/>
      <c r="DK78" s="82"/>
      <c r="DL78" s="82"/>
      <c r="DM78" s="82"/>
      <c r="DN78" s="82"/>
      <c r="DO78" s="82"/>
      <c r="DP78" s="82"/>
      <c r="DQ78" s="82"/>
      <c r="DR78" s="82"/>
      <c r="DS78" s="82"/>
      <c r="DT78" s="82"/>
      <c r="DU78" s="82"/>
      <c r="DV78" s="82"/>
      <c r="DW78" s="82"/>
      <c r="DX78" s="82"/>
      <c r="DY78" s="82"/>
      <c r="DZ78" s="82"/>
      <c r="EA78" s="82"/>
      <c r="EB78" s="82"/>
      <c r="EC78" s="82"/>
      <c r="ED78" s="82"/>
      <c r="EE78" s="82"/>
      <c r="EF78" s="82"/>
      <c r="EG78" s="82"/>
      <c r="EH78" s="82"/>
      <c r="EI78" s="82"/>
      <c r="EJ78" s="82"/>
      <c r="EK78" s="82"/>
      <c r="EL78" s="82"/>
      <c r="EM78" s="10"/>
      <c r="EN78" s="10"/>
      <c r="EO78" s="10"/>
      <c r="EP78" s="10"/>
      <c r="EQ78" s="10"/>
      <c r="ER78" s="10"/>
      <c r="ES78" s="244" t="s">
        <v>188</v>
      </c>
      <c r="ET78" s="245"/>
      <c r="EU78" s="245"/>
      <c r="EV78" s="245"/>
      <c r="EW78" s="245"/>
      <c r="EX78" s="245"/>
      <c r="EY78" s="245"/>
      <c r="EZ78" s="246"/>
      <c r="FA78" s="172">
        <f>[27]MG!$R$23</f>
        <v>939177.08</v>
      </c>
      <c r="FB78" s="172">
        <f>[27]MG!$S$23</f>
        <v>307970.96000000002</v>
      </c>
      <c r="FC78" s="172"/>
      <c r="FD78" s="172">
        <f>[27]MG!$Q$23</f>
        <v>601706.17000000004</v>
      </c>
      <c r="FE78" s="172"/>
      <c r="FF78" s="172">
        <f>[27]MG!$T$23</f>
        <v>1295918.67</v>
      </c>
      <c r="FG78" s="10">
        <f t="shared" ref="FG78" si="177">SUM(FA78:FF78)</f>
        <v>3144772.88</v>
      </c>
      <c r="FH78" s="172">
        <f>[27]MG!$V$23</f>
        <v>902260.69</v>
      </c>
      <c r="FI78" s="172">
        <f>[27]MG!$W$23</f>
        <v>177005.49</v>
      </c>
      <c r="FJ78" s="172"/>
      <c r="FK78" s="172">
        <f>[27]MG!$U$23</f>
        <v>221796.39</v>
      </c>
      <c r="FL78" s="172"/>
      <c r="FM78" s="172">
        <f>[27]MG!$X$23</f>
        <v>65083.13</v>
      </c>
      <c r="FN78" s="10">
        <f t="shared" ref="FN78" si="178">SUM(FH78:FM78)</f>
        <v>1366145.6999999997</v>
      </c>
      <c r="FO78" s="10">
        <f>[28]MG!R48</f>
        <v>1155224.92</v>
      </c>
      <c r="FP78" s="10">
        <f>[28]MG!S48</f>
        <v>349130.48</v>
      </c>
      <c r="FQ78" s="10"/>
      <c r="FR78" s="10">
        <f>[28]MG!Q48</f>
        <v>783699.16</v>
      </c>
      <c r="FS78" s="10"/>
      <c r="FT78" s="10">
        <f>[28]MG!T48</f>
        <v>275311.98</v>
      </c>
      <c r="FU78" s="10">
        <f t="shared" si="151"/>
        <v>2563366.54</v>
      </c>
      <c r="FV78" s="10">
        <f>[28]MG!V48</f>
        <v>1048887.54</v>
      </c>
      <c r="FW78" s="10">
        <f>[28]MG!W48</f>
        <v>230944.75</v>
      </c>
      <c r="FX78" s="10"/>
      <c r="FY78" s="10">
        <f>[28]MG!U48</f>
        <v>461671.16</v>
      </c>
      <c r="FZ78" s="10"/>
      <c r="GA78" s="10">
        <f>[28]MG!X48</f>
        <v>59185.7</v>
      </c>
      <c r="GB78" s="10">
        <f t="shared" si="164"/>
        <v>1800689.15</v>
      </c>
      <c r="GC78" s="149">
        <f>FG78+FU78</f>
        <v>5708139.4199999999</v>
      </c>
      <c r="GD78" s="149">
        <f t="shared" si="166"/>
        <v>3166834.8499999996</v>
      </c>
      <c r="GE78" s="218"/>
      <c r="GG78" s="36"/>
      <c r="GH78" s="36"/>
      <c r="GI78" s="36"/>
      <c r="GJ78" s="36"/>
    </row>
    <row r="79" spans="1:192" s="5" customFormat="1" ht="12.75" x14ac:dyDescent="0.2">
      <c r="A79" s="248"/>
      <c r="B79" s="15" t="s">
        <v>173</v>
      </c>
      <c r="C79" s="1" t="s">
        <v>14</v>
      </c>
      <c r="D79" s="2">
        <v>44927</v>
      </c>
      <c r="E79" s="50"/>
      <c r="F79" s="50"/>
      <c r="G79" s="50"/>
      <c r="H79" s="50"/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82"/>
      <c r="BG79" s="82"/>
      <c r="BH79" s="82"/>
      <c r="BI79" s="82"/>
      <c r="BJ79" s="82"/>
      <c r="BK79" s="82"/>
      <c r="BL79" s="82"/>
      <c r="BM79" s="82"/>
      <c r="BN79" s="82"/>
      <c r="BO79" s="82"/>
      <c r="BP79" s="82"/>
      <c r="BQ79" s="82"/>
      <c r="BR79" s="82"/>
      <c r="BS79" s="82"/>
      <c r="BT79" s="82"/>
      <c r="BU79" s="82"/>
      <c r="BV79" s="82"/>
      <c r="BW79" s="82"/>
      <c r="BX79" s="82"/>
      <c r="BY79" s="82"/>
      <c r="BZ79" s="82"/>
      <c r="CA79" s="82"/>
      <c r="CB79" s="82"/>
      <c r="CC79" s="82"/>
      <c r="CD79" s="82"/>
      <c r="CE79" s="82"/>
      <c r="CF79" s="82"/>
      <c r="CG79" s="82"/>
      <c r="CH79" s="82"/>
      <c r="CI79" s="82"/>
      <c r="CJ79" s="82"/>
      <c r="CK79" s="82"/>
      <c r="CL79" s="82"/>
      <c r="CM79" s="82"/>
      <c r="CN79" s="82"/>
      <c r="CO79" s="82"/>
      <c r="CP79" s="82"/>
      <c r="CQ79" s="82"/>
      <c r="CR79" s="82"/>
      <c r="CS79" s="82"/>
      <c r="CT79" s="82"/>
      <c r="CU79" s="82"/>
      <c r="CV79" s="82"/>
      <c r="CW79" s="82"/>
      <c r="CX79" s="82"/>
      <c r="CY79" s="82"/>
      <c r="CZ79" s="82"/>
      <c r="DA79" s="82"/>
      <c r="DB79" s="82"/>
      <c r="DC79" s="82"/>
      <c r="DD79" s="82"/>
      <c r="DE79" s="82"/>
      <c r="DF79" s="82"/>
      <c r="DG79" s="82"/>
      <c r="DH79" s="82"/>
      <c r="DI79" s="82"/>
      <c r="DJ79" s="82"/>
      <c r="DK79" s="82"/>
      <c r="DL79" s="82"/>
      <c r="DM79" s="82"/>
      <c r="DN79" s="82"/>
      <c r="DO79" s="82"/>
      <c r="DP79" s="82"/>
      <c r="DQ79" s="82"/>
      <c r="DR79" s="82"/>
      <c r="DS79" s="82"/>
      <c r="DT79" s="82"/>
      <c r="DU79" s="82"/>
      <c r="DV79" s="82"/>
      <c r="DW79" s="82"/>
      <c r="DX79" s="82"/>
      <c r="DY79" s="82"/>
      <c r="DZ79" s="82"/>
      <c r="EA79" s="82"/>
      <c r="EB79" s="82"/>
      <c r="EC79" s="82"/>
      <c r="ED79" s="82"/>
      <c r="EE79" s="82"/>
      <c r="EF79" s="82"/>
      <c r="EG79" s="82"/>
      <c r="EH79" s="82"/>
      <c r="EI79" s="82"/>
      <c r="EJ79" s="82"/>
      <c r="EK79" s="82"/>
      <c r="EL79" s="82"/>
      <c r="EM79" s="10"/>
      <c r="EN79" s="10"/>
      <c r="EO79" s="10"/>
      <c r="EP79" s="10"/>
      <c r="EQ79" s="10"/>
      <c r="ER79" s="10"/>
      <c r="ES79" s="244" t="s">
        <v>188</v>
      </c>
      <c r="ET79" s="245"/>
      <c r="EU79" s="245"/>
      <c r="EV79" s="245"/>
      <c r="EW79" s="245"/>
      <c r="EX79" s="245"/>
      <c r="EY79" s="245"/>
      <c r="EZ79" s="246"/>
      <c r="FA79" s="172">
        <f>[27]MG!$R$20</f>
        <v>611916.28</v>
      </c>
      <c r="FB79" s="172">
        <f>[27]MG!$S$20</f>
        <v>2394246.02</v>
      </c>
      <c r="FC79" s="172"/>
      <c r="FD79" s="172">
        <f>[27]MG!$Q$20</f>
        <v>6930158.9500000002</v>
      </c>
      <c r="FE79" s="172"/>
      <c r="FF79" s="172">
        <f>[27]MG!$T$20</f>
        <v>1571512.66</v>
      </c>
      <c r="FG79" s="10">
        <f t="shared" ref="FG79" si="179">SUM(FA79:FF79)</f>
        <v>11507833.91</v>
      </c>
      <c r="FH79" s="172">
        <f>[27]MG!$V$20</f>
        <v>583290.67000000004</v>
      </c>
      <c r="FI79" s="172">
        <f>[27]MG!$W$20</f>
        <v>2172791.67</v>
      </c>
      <c r="FJ79" s="172"/>
      <c r="FK79" s="172">
        <f>[27]MG!$U$20</f>
        <v>4510697.5999999996</v>
      </c>
      <c r="FL79" s="172"/>
      <c r="FM79" s="172">
        <f>[27]MG!$X$20</f>
        <v>518340.24</v>
      </c>
      <c r="FN79" s="10">
        <f t="shared" ref="FN79" si="180">SUM(FH79:FM79)</f>
        <v>7785120.1799999997</v>
      </c>
      <c r="FO79" s="10">
        <f>[28]MG!R45</f>
        <v>632509.32999999996</v>
      </c>
      <c r="FP79" s="10">
        <f>[28]MG!S45</f>
        <v>1213548.46</v>
      </c>
      <c r="FQ79" s="10"/>
      <c r="FR79" s="10">
        <f>[28]MG!Q45</f>
        <v>20972933.550000001</v>
      </c>
      <c r="FS79" s="10"/>
      <c r="FT79" s="10">
        <f>[28]MG!T45</f>
        <v>560727.55000000005</v>
      </c>
      <c r="FU79" s="10">
        <f t="shared" si="151"/>
        <v>23379718.890000001</v>
      </c>
      <c r="FV79" s="10">
        <f>[28]MG!V45</f>
        <v>413005.82</v>
      </c>
      <c r="FW79" s="10">
        <f>[28]MG!W45</f>
        <v>1086518.05</v>
      </c>
      <c r="FX79" s="10"/>
      <c r="FY79" s="10">
        <f>[28]MG!U45</f>
        <v>4097262.13</v>
      </c>
      <c r="FZ79" s="10"/>
      <c r="GA79" s="10">
        <f>[28]MG!X45</f>
        <v>370958.83</v>
      </c>
      <c r="GB79" s="10">
        <f t="shared" si="164"/>
        <v>5967744.8300000001</v>
      </c>
      <c r="GC79" s="149">
        <f t="shared" ref="GC79:GC94" si="181">FG79+FU79</f>
        <v>34887552.799999997</v>
      </c>
      <c r="GD79" s="149">
        <f t="shared" si="166"/>
        <v>13752865.01</v>
      </c>
      <c r="GE79" s="218"/>
      <c r="GG79" s="36"/>
      <c r="GH79" s="36"/>
      <c r="GI79" s="36"/>
      <c r="GJ79" s="36"/>
    </row>
    <row r="80" spans="1:192" s="5" customFormat="1" ht="12.75" x14ac:dyDescent="0.2">
      <c r="A80" s="248"/>
      <c r="B80" s="15" t="s">
        <v>174</v>
      </c>
      <c r="C80" s="1" t="s">
        <v>14</v>
      </c>
      <c r="D80" s="2">
        <v>44927</v>
      </c>
      <c r="E80" s="50"/>
      <c r="F80" s="50"/>
      <c r="G80" s="50"/>
      <c r="H80" s="50"/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82"/>
      <c r="BG80" s="82"/>
      <c r="BH80" s="82"/>
      <c r="BI80" s="82"/>
      <c r="BJ80" s="82"/>
      <c r="BK80" s="82"/>
      <c r="BL80" s="82"/>
      <c r="BM80" s="82"/>
      <c r="BN80" s="82"/>
      <c r="BO80" s="82"/>
      <c r="BP80" s="82"/>
      <c r="BQ80" s="82"/>
      <c r="BR80" s="82"/>
      <c r="BS80" s="82"/>
      <c r="BT80" s="82"/>
      <c r="BU80" s="82"/>
      <c r="BV80" s="82"/>
      <c r="BW80" s="82"/>
      <c r="BX80" s="82"/>
      <c r="BY80" s="82"/>
      <c r="BZ80" s="82"/>
      <c r="CA80" s="82"/>
      <c r="CB80" s="82"/>
      <c r="CC80" s="82"/>
      <c r="CD80" s="82"/>
      <c r="CE80" s="82"/>
      <c r="CF80" s="82"/>
      <c r="CG80" s="82"/>
      <c r="CH80" s="82"/>
      <c r="CI80" s="82"/>
      <c r="CJ80" s="82"/>
      <c r="CK80" s="82"/>
      <c r="CL80" s="82"/>
      <c r="CM80" s="82"/>
      <c r="CN80" s="82"/>
      <c r="CO80" s="82"/>
      <c r="CP80" s="82"/>
      <c r="CQ80" s="82"/>
      <c r="CR80" s="82"/>
      <c r="CS80" s="82"/>
      <c r="CT80" s="82"/>
      <c r="CU80" s="82"/>
      <c r="CV80" s="82"/>
      <c r="CW80" s="82"/>
      <c r="CX80" s="82"/>
      <c r="CY80" s="82"/>
      <c r="CZ80" s="82"/>
      <c r="DA80" s="82"/>
      <c r="DB80" s="82"/>
      <c r="DC80" s="82"/>
      <c r="DD80" s="82"/>
      <c r="DE80" s="82"/>
      <c r="DF80" s="82"/>
      <c r="DG80" s="82"/>
      <c r="DH80" s="82"/>
      <c r="DI80" s="82"/>
      <c r="DJ80" s="82"/>
      <c r="DK80" s="82"/>
      <c r="DL80" s="82"/>
      <c r="DM80" s="82"/>
      <c r="DN80" s="82"/>
      <c r="DO80" s="82"/>
      <c r="DP80" s="82"/>
      <c r="DQ80" s="82"/>
      <c r="DR80" s="82"/>
      <c r="DS80" s="82"/>
      <c r="DT80" s="82"/>
      <c r="DU80" s="82"/>
      <c r="DV80" s="82"/>
      <c r="DW80" s="82"/>
      <c r="DX80" s="82"/>
      <c r="DY80" s="82"/>
      <c r="DZ80" s="82"/>
      <c r="EA80" s="82"/>
      <c r="EB80" s="82"/>
      <c r="EC80" s="82"/>
      <c r="ED80" s="82"/>
      <c r="EE80" s="82"/>
      <c r="EF80" s="82"/>
      <c r="EG80" s="82"/>
      <c r="EH80" s="82"/>
      <c r="EI80" s="82"/>
      <c r="EJ80" s="82"/>
      <c r="EK80" s="82"/>
      <c r="EL80" s="82"/>
      <c r="EM80" s="10"/>
      <c r="EN80" s="10"/>
      <c r="EO80" s="10"/>
      <c r="EP80" s="10"/>
      <c r="EQ80" s="10"/>
      <c r="ER80" s="10"/>
      <c r="ES80" s="244" t="s">
        <v>188</v>
      </c>
      <c r="ET80" s="245"/>
      <c r="EU80" s="245"/>
      <c r="EV80" s="245"/>
      <c r="EW80" s="245"/>
      <c r="EX80" s="245"/>
      <c r="EY80" s="245"/>
      <c r="EZ80" s="246"/>
      <c r="FA80" s="172">
        <f>[27]MG!$R$14</f>
        <v>686559.62</v>
      </c>
      <c r="FB80" s="172">
        <f>[27]MG!$S$14</f>
        <v>486871.03999999998</v>
      </c>
      <c r="FC80" s="172"/>
      <c r="FD80" s="172">
        <f>[27]MG!$Q$14</f>
        <v>454619.67</v>
      </c>
      <c r="FE80" s="172"/>
      <c r="FF80" s="172">
        <f>[27]MG!$T$14</f>
        <v>225967.62</v>
      </c>
      <c r="FG80" s="10">
        <f t="shared" si="128"/>
        <v>1854017.9499999997</v>
      </c>
      <c r="FH80" s="172">
        <f>[27]MG!$V$14</f>
        <v>384149.79</v>
      </c>
      <c r="FI80" s="172">
        <f>[27]MG!$W$14</f>
        <v>353697.5</v>
      </c>
      <c r="FJ80" s="172"/>
      <c r="FK80" s="172">
        <f>[27]MG!$U$14</f>
        <v>162452.68</v>
      </c>
      <c r="FL80" s="172"/>
      <c r="FM80" s="172">
        <f>[27]MG!$X$14</f>
        <v>122357.65</v>
      </c>
      <c r="FN80" s="10">
        <f t="shared" si="116"/>
        <v>1022657.62</v>
      </c>
      <c r="FO80" s="10">
        <f>[28]MG!R39</f>
        <v>660749.38</v>
      </c>
      <c r="FP80" s="10">
        <f>[28]MG!S39</f>
        <v>565797.23</v>
      </c>
      <c r="FQ80" s="10"/>
      <c r="FR80" s="10">
        <f>[28]MG!Q39</f>
        <v>525303.62</v>
      </c>
      <c r="FS80" s="10"/>
      <c r="FT80" s="10">
        <f>[28]MG!T39</f>
        <v>194520.27</v>
      </c>
      <c r="FU80" s="10">
        <f t="shared" si="151"/>
        <v>1946370.5</v>
      </c>
      <c r="FV80" s="10">
        <f>[28]MG!V39</f>
        <v>584161.85</v>
      </c>
      <c r="FW80" s="10">
        <f>[28]MG!W39</f>
        <v>312588.52</v>
      </c>
      <c r="FX80" s="10"/>
      <c r="FY80" s="10">
        <f>[28]MG!U39</f>
        <v>200722.67</v>
      </c>
      <c r="FZ80" s="10"/>
      <c r="GA80" s="10">
        <f>[28]MG!X39</f>
        <v>163476.5</v>
      </c>
      <c r="GB80" s="10">
        <f t="shared" si="164"/>
        <v>1260949.54</v>
      </c>
      <c r="GC80" s="149">
        <f t="shared" si="181"/>
        <v>3800388.4499999997</v>
      </c>
      <c r="GD80" s="149">
        <f t="shared" si="166"/>
        <v>2283607.16</v>
      </c>
      <c r="GE80" s="218"/>
      <c r="GG80" s="36"/>
      <c r="GH80" s="36"/>
      <c r="GI80" s="36"/>
      <c r="GJ80" s="36"/>
    </row>
    <row r="81" spans="1:192" s="5" customFormat="1" ht="12.75" x14ac:dyDescent="0.2">
      <c r="A81" s="248"/>
      <c r="B81" s="15" t="s">
        <v>175</v>
      </c>
      <c r="C81" s="1" t="s">
        <v>14</v>
      </c>
      <c r="D81" s="2">
        <v>44927</v>
      </c>
      <c r="E81" s="50"/>
      <c r="F81" s="50"/>
      <c r="G81" s="50"/>
      <c r="H81" s="50"/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  <c r="AJ81" s="50"/>
      <c r="AK81" s="50"/>
      <c r="AL81" s="50"/>
      <c r="AM81" s="50"/>
      <c r="AN81" s="50"/>
      <c r="AO81" s="50"/>
      <c r="AP81" s="50"/>
      <c r="AQ81" s="50"/>
      <c r="AR81" s="50"/>
      <c r="AS81" s="50"/>
      <c r="AT81" s="50"/>
      <c r="AU81" s="50"/>
      <c r="AV81" s="50"/>
      <c r="AW81" s="50"/>
      <c r="AX81" s="50"/>
      <c r="AY81" s="50"/>
      <c r="AZ81" s="50"/>
      <c r="BA81" s="50"/>
      <c r="BB81" s="50"/>
      <c r="BC81" s="50"/>
      <c r="BD81" s="50"/>
      <c r="BE81" s="50"/>
      <c r="BF81" s="82"/>
      <c r="BG81" s="82"/>
      <c r="BH81" s="82"/>
      <c r="BI81" s="82"/>
      <c r="BJ81" s="82"/>
      <c r="BK81" s="82"/>
      <c r="BL81" s="82"/>
      <c r="BM81" s="82"/>
      <c r="BN81" s="82"/>
      <c r="BO81" s="82"/>
      <c r="BP81" s="82"/>
      <c r="BQ81" s="82"/>
      <c r="BR81" s="82"/>
      <c r="BS81" s="82"/>
      <c r="BT81" s="82"/>
      <c r="BU81" s="82"/>
      <c r="BV81" s="82"/>
      <c r="BW81" s="82"/>
      <c r="BX81" s="82"/>
      <c r="BY81" s="82"/>
      <c r="BZ81" s="82"/>
      <c r="CA81" s="82"/>
      <c r="CB81" s="82"/>
      <c r="CC81" s="82"/>
      <c r="CD81" s="82"/>
      <c r="CE81" s="82"/>
      <c r="CF81" s="82"/>
      <c r="CG81" s="82"/>
      <c r="CH81" s="82"/>
      <c r="CI81" s="82"/>
      <c r="CJ81" s="82"/>
      <c r="CK81" s="82"/>
      <c r="CL81" s="82"/>
      <c r="CM81" s="82"/>
      <c r="CN81" s="82"/>
      <c r="CO81" s="82"/>
      <c r="CP81" s="82"/>
      <c r="CQ81" s="82"/>
      <c r="CR81" s="82"/>
      <c r="CS81" s="82"/>
      <c r="CT81" s="82"/>
      <c r="CU81" s="82"/>
      <c r="CV81" s="82"/>
      <c r="CW81" s="82"/>
      <c r="CX81" s="82"/>
      <c r="CY81" s="82"/>
      <c r="CZ81" s="82"/>
      <c r="DA81" s="82"/>
      <c r="DB81" s="82"/>
      <c r="DC81" s="82"/>
      <c r="DD81" s="82"/>
      <c r="DE81" s="82"/>
      <c r="DF81" s="82"/>
      <c r="DG81" s="82"/>
      <c r="DH81" s="82"/>
      <c r="DI81" s="82"/>
      <c r="DJ81" s="82"/>
      <c r="DK81" s="82"/>
      <c r="DL81" s="82"/>
      <c r="DM81" s="82"/>
      <c r="DN81" s="82"/>
      <c r="DO81" s="82"/>
      <c r="DP81" s="82"/>
      <c r="DQ81" s="82"/>
      <c r="DR81" s="82"/>
      <c r="DS81" s="82"/>
      <c r="DT81" s="82"/>
      <c r="DU81" s="82"/>
      <c r="DV81" s="82"/>
      <c r="DW81" s="82"/>
      <c r="DX81" s="82"/>
      <c r="DY81" s="82"/>
      <c r="DZ81" s="82"/>
      <c r="EA81" s="82"/>
      <c r="EB81" s="82"/>
      <c r="EC81" s="82"/>
      <c r="ED81" s="82"/>
      <c r="EE81" s="82"/>
      <c r="EF81" s="82"/>
      <c r="EG81" s="82"/>
      <c r="EH81" s="82"/>
      <c r="EI81" s="82"/>
      <c r="EJ81" s="82"/>
      <c r="EK81" s="82"/>
      <c r="EL81" s="82"/>
      <c r="EM81" s="10"/>
      <c r="EN81" s="10"/>
      <c r="EO81" s="10"/>
      <c r="EP81" s="10"/>
      <c r="EQ81" s="10"/>
      <c r="ER81" s="10"/>
      <c r="ES81" s="244" t="s">
        <v>188</v>
      </c>
      <c r="ET81" s="245"/>
      <c r="EU81" s="245"/>
      <c r="EV81" s="245"/>
      <c r="EW81" s="245"/>
      <c r="EX81" s="245"/>
      <c r="EY81" s="245"/>
      <c r="EZ81" s="246"/>
      <c r="FA81" s="172">
        <f>[27]MG!$R$22</f>
        <v>122133.81</v>
      </c>
      <c r="FB81" s="172">
        <f>[27]MG!$S$22</f>
        <v>7084.14</v>
      </c>
      <c r="FC81" s="172"/>
      <c r="FD81" s="172">
        <f>[27]MG!$Q$22</f>
        <v>294430.84999999998</v>
      </c>
      <c r="FE81" s="172"/>
      <c r="FF81" s="172">
        <f>[27]MG!$T$22</f>
        <v>515062.95</v>
      </c>
      <c r="FG81" s="10">
        <f t="shared" ref="FG81" si="182">SUM(FA81:FF81)</f>
        <v>938711.75</v>
      </c>
      <c r="FH81" s="172">
        <f>[27]MG!$V$22</f>
        <v>60496.59</v>
      </c>
      <c r="FI81" s="172">
        <f>[27]MG!$W$22</f>
        <v>2121.7399999999998</v>
      </c>
      <c r="FJ81" s="172"/>
      <c r="FK81" s="172">
        <f>[27]MG!$U$22</f>
        <v>55048.02</v>
      </c>
      <c r="FL81" s="172"/>
      <c r="FM81" s="172">
        <f>[27]MG!$X$22</f>
        <v>2078.36</v>
      </c>
      <c r="FN81" s="10">
        <f t="shared" ref="FN81" si="183">SUM(FH81:FM81)</f>
        <v>119744.70999999999</v>
      </c>
      <c r="FO81" s="10">
        <f>[28]MG!R47</f>
        <v>173127.29</v>
      </c>
      <c r="FP81" s="10">
        <f>[28]MG!S47</f>
        <v>6568.45</v>
      </c>
      <c r="FQ81" s="10"/>
      <c r="FR81" s="10">
        <f>[28]MG!Q47</f>
        <v>409777.52</v>
      </c>
      <c r="FS81" s="10"/>
      <c r="FT81" s="10">
        <f>[28]MG!T47</f>
        <v>7955.89</v>
      </c>
      <c r="FU81" s="10">
        <f t="shared" si="151"/>
        <v>597429.15</v>
      </c>
      <c r="FV81" s="10">
        <f>[28]MG!V47</f>
        <v>93235.58</v>
      </c>
      <c r="FW81" s="10">
        <f>[28]MG!W47</f>
        <v>9610.9500000000007</v>
      </c>
      <c r="FX81" s="10"/>
      <c r="FY81" s="10">
        <f>[28]MG!U47</f>
        <v>62856.78</v>
      </c>
      <c r="FZ81" s="10"/>
      <c r="GA81" s="10">
        <f>[28]MG!X47</f>
        <v>11208.95</v>
      </c>
      <c r="GB81" s="10">
        <f t="shared" si="164"/>
        <v>176912.26</v>
      </c>
      <c r="GC81" s="149">
        <f t="shared" si="181"/>
        <v>1536140.9</v>
      </c>
      <c r="GD81" s="149">
        <f t="shared" si="166"/>
        <v>296656.96999999997</v>
      </c>
      <c r="GE81" s="218"/>
      <c r="GG81" s="36"/>
      <c r="GH81" s="36"/>
      <c r="GI81" s="36"/>
      <c r="GJ81" s="36"/>
    </row>
    <row r="82" spans="1:192" s="5" customFormat="1" ht="12.75" x14ac:dyDescent="0.2">
      <c r="A82" s="248"/>
      <c r="B82" s="15" t="s">
        <v>176</v>
      </c>
      <c r="C82" s="1" t="s">
        <v>14</v>
      </c>
      <c r="D82" s="2">
        <v>44927</v>
      </c>
      <c r="E82" s="50"/>
      <c r="F82" s="50"/>
      <c r="G82" s="50"/>
      <c r="H82" s="50"/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  <c r="AJ82" s="50"/>
      <c r="AK82" s="50"/>
      <c r="AL82" s="50"/>
      <c r="AM82" s="50"/>
      <c r="AN82" s="50"/>
      <c r="AO82" s="50"/>
      <c r="AP82" s="50"/>
      <c r="AQ82" s="50"/>
      <c r="AR82" s="50"/>
      <c r="AS82" s="50"/>
      <c r="AT82" s="50"/>
      <c r="AU82" s="50"/>
      <c r="AV82" s="50"/>
      <c r="AW82" s="50"/>
      <c r="AX82" s="50"/>
      <c r="AY82" s="50"/>
      <c r="AZ82" s="50"/>
      <c r="BA82" s="50"/>
      <c r="BB82" s="50"/>
      <c r="BC82" s="50"/>
      <c r="BD82" s="50"/>
      <c r="BE82" s="50"/>
      <c r="BF82" s="82"/>
      <c r="BG82" s="82"/>
      <c r="BH82" s="82"/>
      <c r="BI82" s="82"/>
      <c r="BJ82" s="82"/>
      <c r="BK82" s="82"/>
      <c r="BL82" s="82"/>
      <c r="BM82" s="82"/>
      <c r="BN82" s="82"/>
      <c r="BO82" s="82"/>
      <c r="BP82" s="82"/>
      <c r="BQ82" s="82"/>
      <c r="BR82" s="82"/>
      <c r="BS82" s="82"/>
      <c r="BT82" s="82"/>
      <c r="BU82" s="82"/>
      <c r="BV82" s="82"/>
      <c r="BW82" s="82"/>
      <c r="BX82" s="82"/>
      <c r="BY82" s="82"/>
      <c r="BZ82" s="82"/>
      <c r="CA82" s="82"/>
      <c r="CB82" s="82"/>
      <c r="CC82" s="82"/>
      <c r="CD82" s="82"/>
      <c r="CE82" s="82"/>
      <c r="CF82" s="82"/>
      <c r="CG82" s="82"/>
      <c r="CH82" s="82"/>
      <c r="CI82" s="82"/>
      <c r="CJ82" s="82"/>
      <c r="CK82" s="82"/>
      <c r="CL82" s="82"/>
      <c r="CM82" s="82"/>
      <c r="CN82" s="82"/>
      <c r="CO82" s="82"/>
      <c r="CP82" s="82"/>
      <c r="CQ82" s="82"/>
      <c r="CR82" s="82"/>
      <c r="CS82" s="82"/>
      <c r="CT82" s="82"/>
      <c r="CU82" s="82"/>
      <c r="CV82" s="82"/>
      <c r="CW82" s="82"/>
      <c r="CX82" s="82"/>
      <c r="CY82" s="82"/>
      <c r="CZ82" s="82"/>
      <c r="DA82" s="82"/>
      <c r="DB82" s="82"/>
      <c r="DC82" s="82"/>
      <c r="DD82" s="82"/>
      <c r="DE82" s="82"/>
      <c r="DF82" s="82"/>
      <c r="DG82" s="82"/>
      <c r="DH82" s="82"/>
      <c r="DI82" s="82"/>
      <c r="DJ82" s="82"/>
      <c r="DK82" s="82"/>
      <c r="DL82" s="82"/>
      <c r="DM82" s="82"/>
      <c r="DN82" s="82"/>
      <c r="DO82" s="82"/>
      <c r="DP82" s="82"/>
      <c r="DQ82" s="82"/>
      <c r="DR82" s="82"/>
      <c r="DS82" s="82"/>
      <c r="DT82" s="82"/>
      <c r="DU82" s="82"/>
      <c r="DV82" s="82"/>
      <c r="DW82" s="82"/>
      <c r="DX82" s="82"/>
      <c r="DY82" s="82"/>
      <c r="DZ82" s="82"/>
      <c r="EA82" s="82"/>
      <c r="EB82" s="82"/>
      <c r="EC82" s="82"/>
      <c r="ED82" s="82"/>
      <c r="EE82" s="82"/>
      <c r="EF82" s="82"/>
      <c r="EG82" s="82"/>
      <c r="EH82" s="82"/>
      <c r="EI82" s="82"/>
      <c r="EJ82" s="82"/>
      <c r="EK82" s="82"/>
      <c r="EL82" s="82"/>
      <c r="EM82" s="10"/>
      <c r="EN82" s="10"/>
      <c r="EO82" s="10"/>
      <c r="EP82" s="10"/>
      <c r="EQ82" s="10"/>
      <c r="ER82" s="10"/>
      <c r="ES82" s="244" t="s">
        <v>188</v>
      </c>
      <c r="ET82" s="245"/>
      <c r="EU82" s="245"/>
      <c r="EV82" s="245"/>
      <c r="EW82" s="245"/>
      <c r="EX82" s="245"/>
      <c r="EY82" s="245"/>
      <c r="EZ82" s="246"/>
      <c r="FA82" s="172">
        <f>[27]MG!$R$19</f>
        <v>472960.04</v>
      </c>
      <c r="FB82" s="172">
        <f>[27]MG!$S$19</f>
        <v>51283.56</v>
      </c>
      <c r="FC82" s="172"/>
      <c r="FD82" s="172">
        <f>[27]MG!$Q$19</f>
        <v>540013.18000000005</v>
      </c>
      <c r="FE82" s="172"/>
      <c r="FF82" s="172">
        <f>[27]MG!$T$19</f>
        <v>343511.78</v>
      </c>
      <c r="FG82" s="10">
        <f t="shared" ref="FG82" si="184">SUM(FA82:FF82)</f>
        <v>1407768.56</v>
      </c>
      <c r="FH82" s="172">
        <f>[27]MG!$V$19</f>
        <v>452011.55</v>
      </c>
      <c r="FI82" s="172">
        <f>[27]MG!$W$19</f>
        <v>42757.26</v>
      </c>
      <c r="FJ82" s="172"/>
      <c r="FK82" s="172">
        <f>[27]MG!$U$19</f>
        <v>195469.45</v>
      </c>
      <c r="FL82" s="172"/>
      <c r="FM82" s="172">
        <f>[27]MG!$X$19</f>
        <v>54253.1</v>
      </c>
      <c r="FN82" s="10">
        <f t="shared" ref="FN82" si="185">SUM(FH82:FM82)</f>
        <v>744491.36</v>
      </c>
      <c r="FO82" s="10">
        <f>[28]MG!R44</f>
        <v>445311.5</v>
      </c>
      <c r="FP82" s="10">
        <f>[28]MG!S44</f>
        <v>38814.660000000003</v>
      </c>
      <c r="FQ82" s="10"/>
      <c r="FR82" s="10">
        <f>[28]MG!Q44</f>
        <v>514799.38</v>
      </c>
      <c r="FS82" s="10"/>
      <c r="FT82" s="10">
        <f>[28]MG!T44</f>
        <v>580088.22</v>
      </c>
      <c r="FU82" s="10">
        <f t="shared" si="151"/>
        <v>1579013.76</v>
      </c>
      <c r="FV82" s="10">
        <f>[28]MG!V44</f>
        <v>399994.23</v>
      </c>
      <c r="FW82" s="10">
        <f>[28]MG!W44</f>
        <v>35250.339999999997</v>
      </c>
      <c r="FX82" s="10"/>
      <c r="FY82" s="10">
        <f>[28]MG!U44</f>
        <v>261925.68</v>
      </c>
      <c r="FZ82" s="10"/>
      <c r="GA82" s="10">
        <f>[28]MG!X44</f>
        <v>26467.18</v>
      </c>
      <c r="GB82" s="10">
        <f t="shared" si="164"/>
        <v>723637.43</v>
      </c>
      <c r="GC82" s="149">
        <f t="shared" si="181"/>
        <v>2986782.3200000003</v>
      </c>
      <c r="GD82" s="149">
        <f t="shared" si="166"/>
        <v>1468128.79</v>
      </c>
      <c r="GE82" s="218"/>
      <c r="GG82" s="36"/>
      <c r="GH82" s="36"/>
      <c r="GI82" s="36"/>
      <c r="GJ82" s="36"/>
    </row>
    <row r="83" spans="1:192" s="5" customFormat="1" ht="12.75" x14ac:dyDescent="0.2">
      <c r="A83" s="248"/>
      <c r="B83" s="15" t="s">
        <v>177</v>
      </c>
      <c r="C83" s="1" t="s">
        <v>14</v>
      </c>
      <c r="D83" s="2">
        <v>44927</v>
      </c>
      <c r="E83" s="50"/>
      <c r="F83" s="50"/>
      <c r="G83" s="50"/>
      <c r="H83" s="50"/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82"/>
      <c r="BG83" s="82"/>
      <c r="BH83" s="82"/>
      <c r="BI83" s="82"/>
      <c r="BJ83" s="82"/>
      <c r="BK83" s="82"/>
      <c r="BL83" s="82"/>
      <c r="BM83" s="82"/>
      <c r="BN83" s="82"/>
      <c r="BO83" s="82"/>
      <c r="BP83" s="82"/>
      <c r="BQ83" s="82"/>
      <c r="BR83" s="82"/>
      <c r="BS83" s="82"/>
      <c r="BT83" s="82"/>
      <c r="BU83" s="82"/>
      <c r="BV83" s="82"/>
      <c r="BW83" s="82"/>
      <c r="BX83" s="82"/>
      <c r="BY83" s="82"/>
      <c r="BZ83" s="82"/>
      <c r="CA83" s="82"/>
      <c r="CB83" s="82"/>
      <c r="CC83" s="82"/>
      <c r="CD83" s="82"/>
      <c r="CE83" s="82"/>
      <c r="CF83" s="82"/>
      <c r="CG83" s="82"/>
      <c r="CH83" s="82"/>
      <c r="CI83" s="82"/>
      <c r="CJ83" s="82"/>
      <c r="CK83" s="82"/>
      <c r="CL83" s="82"/>
      <c r="CM83" s="82"/>
      <c r="CN83" s="82"/>
      <c r="CO83" s="82"/>
      <c r="CP83" s="82"/>
      <c r="CQ83" s="82"/>
      <c r="CR83" s="82"/>
      <c r="CS83" s="82"/>
      <c r="CT83" s="82"/>
      <c r="CU83" s="82"/>
      <c r="CV83" s="82"/>
      <c r="CW83" s="82"/>
      <c r="CX83" s="82"/>
      <c r="CY83" s="82"/>
      <c r="CZ83" s="82"/>
      <c r="DA83" s="82"/>
      <c r="DB83" s="82"/>
      <c r="DC83" s="82"/>
      <c r="DD83" s="82"/>
      <c r="DE83" s="82"/>
      <c r="DF83" s="82"/>
      <c r="DG83" s="82"/>
      <c r="DH83" s="82"/>
      <c r="DI83" s="82"/>
      <c r="DJ83" s="82"/>
      <c r="DK83" s="82"/>
      <c r="DL83" s="82"/>
      <c r="DM83" s="82"/>
      <c r="DN83" s="82"/>
      <c r="DO83" s="82"/>
      <c r="DP83" s="82"/>
      <c r="DQ83" s="82"/>
      <c r="DR83" s="82"/>
      <c r="DS83" s="82"/>
      <c r="DT83" s="82"/>
      <c r="DU83" s="82"/>
      <c r="DV83" s="82"/>
      <c r="DW83" s="82"/>
      <c r="DX83" s="82"/>
      <c r="DY83" s="82"/>
      <c r="DZ83" s="82"/>
      <c r="EA83" s="82"/>
      <c r="EB83" s="82"/>
      <c r="EC83" s="82"/>
      <c r="ED83" s="82"/>
      <c r="EE83" s="82"/>
      <c r="EF83" s="82"/>
      <c r="EG83" s="82"/>
      <c r="EH83" s="82"/>
      <c r="EI83" s="82"/>
      <c r="EJ83" s="82"/>
      <c r="EK83" s="82"/>
      <c r="EL83" s="82"/>
      <c r="EM83" s="10"/>
      <c r="EN83" s="10"/>
      <c r="EO83" s="10"/>
      <c r="EP83" s="10"/>
      <c r="EQ83" s="10"/>
      <c r="ER83" s="10"/>
      <c r="ES83" s="244" t="s">
        <v>188</v>
      </c>
      <c r="ET83" s="245"/>
      <c r="EU83" s="245"/>
      <c r="EV83" s="245"/>
      <c r="EW83" s="245"/>
      <c r="EX83" s="245"/>
      <c r="EY83" s="245"/>
      <c r="EZ83" s="246"/>
      <c r="FA83" s="172">
        <f>[27]MG!$R$17</f>
        <v>355727.28</v>
      </c>
      <c r="FB83" s="172">
        <f>[27]MG!$S$17</f>
        <v>122302.88</v>
      </c>
      <c r="FC83" s="172"/>
      <c r="FD83" s="172">
        <f>[27]MG!$Q$17</f>
        <v>572344.25</v>
      </c>
      <c r="FE83" s="172"/>
      <c r="FF83" s="172">
        <f>[27]MG!$T$17</f>
        <v>165866.76</v>
      </c>
      <c r="FG83" s="10">
        <f t="shared" ref="FG83:FG87" si="186">SUM(FA83:FF83)</f>
        <v>1216241.1700000002</v>
      </c>
      <c r="FH83" s="172">
        <f>[27]MG!$V$17</f>
        <v>326584.59000000003</v>
      </c>
      <c r="FI83" s="172">
        <f>[27]MG!$W$17</f>
        <v>44097.54</v>
      </c>
      <c r="FJ83" s="172"/>
      <c r="FK83" s="172">
        <f>[27]MG!$U$17</f>
        <v>132991.31</v>
      </c>
      <c r="FL83" s="172"/>
      <c r="FM83" s="172">
        <f>[27]MG!$X$17</f>
        <v>16539.78</v>
      </c>
      <c r="FN83" s="10">
        <f t="shared" ref="FN83:FN87" si="187">SUM(FH83:FM83)</f>
        <v>520213.22</v>
      </c>
      <c r="FO83" s="10">
        <f>[28]MG!R42</f>
        <v>259307.64</v>
      </c>
      <c r="FP83" s="10">
        <f>[28]MG!S42</f>
        <v>119061.99</v>
      </c>
      <c r="FQ83" s="10"/>
      <c r="FR83" s="10">
        <f>[28]MG!Q42</f>
        <v>777411.61</v>
      </c>
      <c r="FS83" s="10"/>
      <c r="FT83" s="10">
        <f>[28]MG!T42</f>
        <v>314408.76</v>
      </c>
      <c r="FU83" s="10">
        <f t="shared" si="151"/>
        <v>1470190</v>
      </c>
      <c r="FV83" s="10">
        <f>[28]MG!V42</f>
        <v>136942.31</v>
      </c>
      <c r="FW83" s="10">
        <f>[28]MG!W42</f>
        <v>88484.39</v>
      </c>
      <c r="FX83" s="10"/>
      <c r="FY83" s="10">
        <f>[28]MG!U42</f>
        <v>356091.71</v>
      </c>
      <c r="FZ83" s="10"/>
      <c r="GA83" s="10">
        <f>[28]MG!X42</f>
        <v>27129.34</v>
      </c>
      <c r="GB83" s="10">
        <f t="shared" si="164"/>
        <v>608647.75</v>
      </c>
      <c r="GC83" s="149">
        <f t="shared" si="181"/>
        <v>2686431.17</v>
      </c>
      <c r="GD83" s="149">
        <f t="shared" si="166"/>
        <v>1128860.97</v>
      </c>
      <c r="GE83" s="218"/>
      <c r="GG83" s="36"/>
      <c r="GH83" s="36"/>
      <c r="GI83" s="36"/>
      <c r="GJ83" s="36"/>
    </row>
    <row r="84" spans="1:192" s="5" customFormat="1" ht="12.75" x14ac:dyDescent="0.2">
      <c r="A84" s="248"/>
      <c r="B84" s="15" t="s">
        <v>178</v>
      </c>
      <c r="C84" s="1" t="s">
        <v>14</v>
      </c>
      <c r="D84" s="2">
        <v>44927</v>
      </c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82"/>
      <c r="BG84" s="82"/>
      <c r="BH84" s="82"/>
      <c r="BI84" s="82"/>
      <c r="BJ84" s="82"/>
      <c r="BK84" s="82"/>
      <c r="BL84" s="82"/>
      <c r="BM84" s="82"/>
      <c r="BN84" s="82"/>
      <c r="BO84" s="82"/>
      <c r="BP84" s="82"/>
      <c r="BQ84" s="82"/>
      <c r="BR84" s="82"/>
      <c r="BS84" s="82"/>
      <c r="BT84" s="82"/>
      <c r="BU84" s="82"/>
      <c r="BV84" s="82"/>
      <c r="BW84" s="82"/>
      <c r="BX84" s="82"/>
      <c r="BY84" s="82"/>
      <c r="BZ84" s="82"/>
      <c r="CA84" s="82"/>
      <c r="CB84" s="82"/>
      <c r="CC84" s="82"/>
      <c r="CD84" s="82"/>
      <c r="CE84" s="82"/>
      <c r="CF84" s="82"/>
      <c r="CG84" s="82"/>
      <c r="CH84" s="82"/>
      <c r="CI84" s="82"/>
      <c r="CJ84" s="82"/>
      <c r="CK84" s="82"/>
      <c r="CL84" s="82"/>
      <c r="CM84" s="82"/>
      <c r="CN84" s="82"/>
      <c r="CO84" s="82"/>
      <c r="CP84" s="82"/>
      <c r="CQ84" s="82"/>
      <c r="CR84" s="82"/>
      <c r="CS84" s="82"/>
      <c r="CT84" s="82"/>
      <c r="CU84" s="82"/>
      <c r="CV84" s="82"/>
      <c r="CW84" s="82"/>
      <c r="CX84" s="82"/>
      <c r="CY84" s="82"/>
      <c r="CZ84" s="82"/>
      <c r="DA84" s="82"/>
      <c r="DB84" s="82"/>
      <c r="DC84" s="82"/>
      <c r="DD84" s="82"/>
      <c r="DE84" s="82"/>
      <c r="DF84" s="82"/>
      <c r="DG84" s="82"/>
      <c r="DH84" s="82"/>
      <c r="DI84" s="82"/>
      <c r="DJ84" s="82"/>
      <c r="DK84" s="82"/>
      <c r="DL84" s="82"/>
      <c r="DM84" s="82"/>
      <c r="DN84" s="82"/>
      <c r="DO84" s="82"/>
      <c r="DP84" s="82"/>
      <c r="DQ84" s="82"/>
      <c r="DR84" s="82"/>
      <c r="DS84" s="82"/>
      <c r="DT84" s="82"/>
      <c r="DU84" s="82"/>
      <c r="DV84" s="82"/>
      <c r="DW84" s="82"/>
      <c r="DX84" s="82"/>
      <c r="DY84" s="82"/>
      <c r="DZ84" s="82"/>
      <c r="EA84" s="82"/>
      <c r="EB84" s="82"/>
      <c r="EC84" s="82"/>
      <c r="ED84" s="82"/>
      <c r="EE84" s="82"/>
      <c r="EF84" s="82"/>
      <c r="EG84" s="82"/>
      <c r="EH84" s="82"/>
      <c r="EI84" s="82"/>
      <c r="EJ84" s="82"/>
      <c r="EK84" s="82"/>
      <c r="EL84" s="82"/>
      <c r="EM84" s="10"/>
      <c r="EN84" s="10"/>
      <c r="EO84" s="10"/>
      <c r="EP84" s="10"/>
      <c r="EQ84" s="10"/>
      <c r="ER84" s="10"/>
      <c r="ES84" s="244" t="s">
        <v>188</v>
      </c>
      <c r="ET84" s="245"/>
      <c r="EU84" s="245"/>
      <c r="EV84" s="245"/>
      <c r="EW84" s="245"/>
      <c r="EX84" s="245"/>
      <c r="EY84" s="245"/>
      <c r="EZ84" s="246"/>
      <c r="FA84" s="172">
        <f>[27]MG!$R$21</f>
        <v>43643.79</v>
      </c>
      <c r="FB84" s="172">
        <f>[27]MG!$S$21</f>
        <v>14001.94</v>
      </c>
      <c r="FC84" s="172"/>
      <c r="FD84" s="172">
        <f>[27]MG!$Q$21</f>
        <v>1590276.44</v>
      </c>
      <c r="FE84" s="172"/>
      <c r="FF84" s="172">
        <f>[27]MG!$T$21</f>
        <v>500474.95</v>
      </c>
      <c r="FG84" s="10">
        <f t="shared" si="186"/>
        <v>2148397.12</v>
      </c>
      <c r="FH84" s="172">
        <f>[27]MG!$V$21</f>
        <v>34570.519999999997</v>
      </c>
      <c r="FI84" s="172">
        <f>[27]MG!$W$21</f>
        <v>6905.27</v>
      </c>
      <c r="FJ84" s="172"/>
      <c r="FK84" s="172">
        <f>[27]MG!$U$21</f>
        <v>846819.6</v>
      </c>
      <c r="FL84" s="172"/>
      <c r="FM84" s="172">
        <f>[27]MG!$X$21</f>
        <v>52921.96</v>
      </c>
      <c r="FN84" s="10">
        <f t="shared" si="187"/>
        <v>941217.35</v>
      </c>
      <c r="FO84" s="10">
        <f>[28]MG!R46</f>
        <v>45736.78</v>
      </c>
      <c r="FP84" s="10">
        <f>[28]MG!S46</f>
        <v>21019.99</v>
      </c>
      <c r="FQ84" s="10"/>
      <c r="FR84" s="10">
        <f>[28]MG!Q46</f>
        <v>2237197.54</v>
      </c>
      <c r="FS84" s="10"/>
      <c r="FT84" s="10">
        <f>[28]MG!T46</f>
        <v>71583.520000000004</v>
      </c>
      <c r="FU84" s="10">
        <f t="shared" si="151"/>
        <v>2375537.83</v>
      </c>
      <c r="FV84" s="10">
        <f>[28]MG!V46</f>
        <v>18798.650000000001</v>
      </c>
      <c r="FW84" s="10">
        <f>[28]MG!W46</f>
        <v>17500.490000000002</v>
      </c>
      <c r="FX84" s="10"/>
      <c r="FY84" s="10">
        <f>[28]MG!U46</f>
        <v>598892.14</v>
      </c>
      <c r="FZ84" s="10"/>
      <c r="GA84" s="10">
        <f>[28]MG!X46</f>
        <v>27664.94</v>
      </c>
      <c r="GB84" s="10">
        <f t="shared" si="164"/>
        <v>662856.22</v>
      </c>
      <c r="GC84" s="149">
        <f t="shared" si="181"/>
        <v>4523934.95</v>
      </c>
      <c r="GD84" s="149">
        <f t="shared" si="166"/>
        <v>1604073.5699999998</v>
      </c>
      <c r="GE84" s="218"/>
      <c r="GG84" s="36"/>
      <c r="GH84" s="36"/>
      <c r="GI84" s="36"/>
      <c r="GJ84" s="36"/>
    </row>
    <row r="85" spans="1:192" s="5" customFormat="1" ht="12.75" x14ac:dyDescent="0.2">
      <c r="A85" s="248"/>
      <c r="B85" s="15" t="s">
        <v>179</v>
      </c>
      <c r="C85" s="1" t="s">
        <v>14</v>
      </c>
      <c r="D85" s="2">
        <v>44927</v>
      </c>
      <c r="E85" s="50"/>
      <c r="F85" s="50"/>
      <c r="G85" s="50"/>
      <c r="H85" s="50"/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  <c r="AJ85" s="50"/>
      <c r="AK85" s="50"/>
      <c r="AL85" s="50"/>
      <c r="AM85" s="50"/>
      <c r="AN85" s="50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82"/>
      <c r="BG85" s="82"/>
      <c r="BH85" s="82"/>
      <c r="BI85" s="82"/>
      <c r="BJ85" s="82"/>
      <c r="BK85" s="82"/>
      <c r="BL85" s="82"/>
      <c r="BM85" s="82"/>
      <c r="BN85" s="82"/>
      <c r="BO85" s="82"/>
      <c r="BP85" s="82"/>
      <c r="BQ85" s="82"/>
      <c r="BR85" s="82"/>
      <c r="BS85" s="82"/>
      <c r="BT85" s="82"/>
      <c r="BU85" s="82"/>
      <c r="BV85" s="82"/>
      <c r="BW85" s="82"/>
      <c r="BX85" s="82"/>
      <c r="BY85" s="82"/>
      <c r="BZ85" s="82"/>
      <c r="CA85" s="82"/>
      <c r="CB85" s="82"/>
      <c r="CC85" s="82"/>
      <c r="CD85" s="82"/>
      <c r="CE85" s="82"/>
      <c r="CF85" s="82"/>
      <c r="CG85" s="82"/>
      <c r="CH85" s="82"/>
      <c r="CI85" s="82"/>
      <c r="CJ85" s="82"/>
      <c r="CK85" s="82"/>
      <c r="CL85" s="82"/>
      <c r="CM85" s="82"/>
      <c r="CN85" s="82"/>
      <c r="CO85" s="82"/>
      <c r="CP85" s="82"/>
      <c r="CQ85" s="82"/>
      <c r="CR85" s="82"/>
      <c r="CS85" s="82"/>
      <c r="CT85" s="82"/>
      <c r="CU85" s="82"/>
      <c r="CV85" s="82"/>
      <c r="CW85" s="82"/>
      <c r="CX85" s="82"/>
      <c r="CY85" s="82"/>
      <c r="CZ85" s="82"/>
      <c r="DA85" s="82"/>
      <c r="DB85" s="82"/>
      <c r="DC85" s="82"/>
      <c r="DD85" s="82"/>
      <c r="DE85" s="82"/>
      <c r="DF85" s="82"/>
      <c r="DG85" s="82"/>
      <c r="DH85" s="82"/>
      <c r="DI85" s="82"/>
      <c r="DJ85" s="82"/>
      <c r="DK85" s="82"/>
      <c r="DL85" s="82"/>
      <c r="DM85" s="82"/>
      <c r="DN85" s="82"/>
      <c r="DO85" s="82"/>
      <c r="DP85" s="82"/>
      <c r="DQ85" s="82"/>
      <c r="DR85" s="82"/>
      <c r="DS85" s="82"/>
      <c r="DT85" s="82"/>
      <c r="DU85" s="82"/>
      <c r="DV85" s="82"/>
      <c r="DW85" s="82"/>
      <c r="DX85" s="82"/>
      <c r="DY85" s="82"/>
      <c r="DZ85" s="82"/>
      <c r="EA85" s="82"/>
      <c r="EB85" s="82"/>
      <c r="EC85" s="82"/>
      <c r="ED85" s="82"/>
      <c r="EE85" s="82"/>
      <c r="EF85" s="82"/>
      <c r="EG85" s="82"/>
      <c r="EH85" s="82"/>
      <c r="EI85" s="82"/>
      <c r="EJ85" s="82"/>
      <c r="EK85" s="82"/>
      <c r="EL85" s="82"/>
      <c r="EM85" s="10"/>
      <c r="EN85" s="10"/>
      <c r="EO85" s="10"/>
      <c r="EP85" s="10"/>
      <c r="EQ85" s="10"/>
      <c r="ER85" s="10"/>
      <c r="ES85" s="244" t="s">
        <v>188</v>
      </c>
      <c r="ET85" s="245"/>
      <c r="EU85" s="245"/>
      <c r="EV85" s="245"/>
      <c r="EW85" s="245"/>
      <c r="EX85" s="245"/>
      <c r="EY85" s="245"/>
      <c r="EZ85" s="246"/>
      <c r="FA85" s="172">
        <f>[27]MG!$R$33</f>
        <v>199078.43</v>
      </c>
      <c r="FB85" s="172">
        <f>[27]MG!$S$33</f>
        <v>233960.7</v>
      </c>
      <c r="FC85" s="172"/>
      <c r="FD85" s="172">
        <f>[27]MG!$Q$33</f>
        <v>136214.67000000001</v>
      </c>
      <c r="FE85" s="172"/>
      <c r="FF85" s="172">
        <f>[27]MG!$T$33</f>
        <v>397715.91</v>
      </c>
      <c r="FG85" s="10">
        <f t="shared" si="186"/>
        <v>966969.71</v>
      </c>
      <c r="FH85" s="172">
        <f>[27]MG!$V$33</f>
        <v>165931.32999999999</v>
      </c>
      <c r="FI85" s="172">
        <f>[27]MG!$W$33</f>
        <v>42440.86</v>
      </c>
      <c r="FJ85" s="172"/>
      <c r="FK85" s="172">
        <f>[27]MG!$U$33</f>
        <v>2132.13</v>
      </c>
      <c r="FL85" s="172"/>
      <c r="FM85" s="172">
        <f>[27]MG!$X$33</f>
        <v>50221.05</v>
      </c>
      <c r="FN85" s="10">
        <f t="shared" si="187"/>
        <v>260725.37</v>
      </c>
      <c r="FO85" s="10">
        <f>[28]MG!R20</f>
        <v>265952.25</v>
      </c>
      <c r="FP85" s="10">
        <f>[28]MG!S20</f>
        <v>1081027.6499999999</v>
      </c>
      <c r="FQ85" s="10"/>
      <c r="FR85" s="10">
        <f>[28]MG!Q20</f>
        <v>251197.95</v>
      </c>
      <c r="FS85" s="10"/>
      <c r="FT85" s="10">
        <f>[28]MG!T20</f>
        <v>31303.03</v>
      </c>
      <c r="FU85" s="10">
        <f t="shared" si="151"/>
        <v>1629480.88</v>
      </c>
      <c r="FV85" s="10">
        <f>[28]MG!V20</f>
        <v>223982.15</v>
      </c>
      <c r="FW85" s="10">
        <f>[28]MG!W20</f>
        <v>974849.96</v>
      </c>
      <c r="FX85" s="10"/>
      <c r="FY85" s="10">
        <f>[28]MG!U20</f>
        <v>53500.95</v>
      </c>
      <c r="FZ85" s="10"/>
      <c r="GA85" s="10">
        <f>[28]MG!X20</f>
        <v>18104.419999999998</v>
      </c>
      <c r="GB85" s="10">
        <f t="shared" si="164"/>
        <v>1270437.4799999997</v>
      </c>
      <c r="GC85" s="149">
        <f t="shared" si="181"/>
        <v>2596450.59</v>
      </c>
      <c r="GD85" s="149">
        <f t="shared" si="166"/>
        <v>1531162.8499999996</v>
      </c>
      <c r="GE85" s="218"/>
      <c r="GG85" s="36"/>
      <c r="GH85" s="36"/>
      <c r="GI85" s="36"/>
      <c r="GJ85" s="36"/>
    </row>
    <row r="86" spans="1:192" s="5" customFormat="1" ht="12.75" x14ac:dyDescent="0.2">
      <c r="A86" s="248"/>
      <c r="B86" s="15" t="s">
        <v>180</v>
      </c>
      <c r="C86" s="1" t="s">
        <v>14</v>
      </c>
      <c r="D86" s="2">
        <v>44927</v>
      </c>
      <c r="E86" s="50"/>
      <c r="F86" s="50"/>
      <c r="G86" s="50"/>
      <c r="H86" s="50"/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  <c r="AJ86" s="50"/>
      <c r="AK86" s="50"/>
      <c r="AL86" s="50"/>
      <c r="AM86" s="50"/>
      <c r="AN86" s="50"/>
      <c r="AO86" s="50"/>
      <c r="AP86" s="50"/>
      <c r="AQ86" s="50"/>
      <c r="AR86" s="50"/>
      <c r="AS86" s="50"/>
      <c r="AT86" s="50"/>
      <c r="AU86" s="50"/>
      <c r="AV86" s="50"/>
      <c r="AW86" s="50"/>
      <c r="AX86" s="50"/>
      <c r="AY86" s="50"/>
      <c r="AZ86" s="50"/>
      <c r="BA86" s="50"/>
      <c r="BB86" s="50"/>
      <c r="BC86" s="50"/>
      <c r="BD86" s="50"/>
      <c r="BE86" s="50"/>
      <c r="BF86" s="82"/>
      <c r="BG86" s="82"/>
      <c r="BH86" s="82"/>
      <c r="BI86" s="82"/>
      <c r="BJ86" s="82"/>
      <c r="BK86" s="82"/>
      <c r="BL86" s="82"/>
      <c r="BM86" s="82"/>
      <c r="BN86" s="82"/>
      <c r="BO86" s="82"/>
      <c r="BP86" s="82"/>
      <c r="BQ86" s="82"/>
      <c r="BR86" s="82"/>
      <c r="BS86" s="82"/>
      <c r="BT86" s="82"/>
      <c r="BU86" s="82"/>
      <c r="BV86" s="82"/>
      <c r="BW86" s="82"/>
      <c r="BX86" s="82"/>
      <c r="BY86" s="82"/>
      <c r="BZ86" s="82"/>
      <c r="CA86" s="82"/>
      <c r="CB86" s="82"/>
      <c r="CC86" s="82"/>
      <c r="CD86" s="82"/>
      <c r="CE86" s="82"/>
      <c r="CF86" s="82"/>
      <c r="CG86" s="82"/>
      <c r="CH86" s="82"/>
      <c r="CI86" s="82"/>
      <c r="CJ86" s="82"/>
      <c r="CK86" s="82"/>
      <c r="CL86" s="82"/>
      <c r="CM86" s="82"/>
      <c r="CN86" s="82"/>
      <c r="CO86" s="82"/>
      <c r="CP86" s="82"/>
      <c r="CQ86" s="82"/>
      <c r="CR86" s="82"/>
      <c r="CS86" s="82"/>
      <c r="CT86" s="82"/>
      <c r="CU86" s="82"/>
      <c r="CV86" s="82"/>
      <c r="CW86" s="82"/>
      <c r="CX86" s="82"/>
      <c r="CY86" s="82"/>
      <c r="CZ86" s="82"/>
      <c r="DA86" s="82"/>
      <c r="DB86" s="82"/>
      <c r="DC86" s="82"/>
      <c r="DD86" s="82"/>
      <c r="DE86" s="82"/>
      <c r="DF86" s="82"/>
      <c r="DG86" s="82"/>
      <c r="DH86" s="82"/>
      <c r="DI86" s="82"/>
      <c r="DJ86" s="82"/>
      <c r="DK86" s="82"/>
      <c r="DL86" s="82"/>
      <c r="DM86" s="82"/>
      <c r="DN86" s="82"/>
      <c r="DO86" s="82"/>
      <c r="DP86" s="82"/>
      <c r="DQ86" s="82"/>
      <c r="DR86" s="82"/>
      <c r="DS86" s="82"/>
      <c r="DT86" s="82"/>
      <c r="DU86" s="82"/>
      <c r="DV86" s="82"/>
      <c r="DW86" s="82"/>
      <c r="DX86" s="82"/>
      <c r="DY86" s="82"/>
      <c r="DZ86" s="82"/>
      <c r="EA86" s="82"/>
      <c r="EB86" s="82"/>
      <c r="EC86" s="82"/>
      <c r="ED86" s="82"/>
      <c r="EE86" s="82"/>
      <c r="EF86" s="82"/>
      <c r="EG86" s="82"/>
      <c r="EH86" s="82"/>
      <c r="EI86" s="82"/>
      <c r="EJ86" s="82"/>
      <c r="EK86" s="82"/>
      <c r="EL86" s="82"/>
      <c r="EM86" s="10"/>
      <c r="EN86" s="10"/>
      <c r="EO86" s="10"/>
      <c r="EP86" s="10"/>
      <c r="EQ86" s="10"/>
      <c r="ER86" s="10"/>
      <c r="ES86" s="244" t="s">
        <v>188</v>
      </c>
      <c r="ET86" s="245"/>
      <c r="EU86" s="245"/>
      <c r="EV86" s="245"/>
      <c r="EW86" s="245"/>
      <c r="EX86" s="245"/>
      <c r="EY86" s="245"/>
      <c r="EZ86" s="246"/>
      <c r="FA86" s="172">
        <f>[27]MG!$R$37</f>
        <v>754427.01</v>
      </c>
      <c r="FB86" s="172">
        <f>[27]MG!$S$37</f>
        <v>193313.5</v>
      </c>
      <c r="FC86" s="172"/>
      <c r="FD86" s="172">
        <f>[27]MG!$Q$37</f>
        <v>180453.57</v>
      </c>
      <c r="FE86" s="172"/>
      <c r="FF86" s="172">
        <f>[27]MG!$T$37</f>
        <v>1010802.03</v>
      </c>
      <c r="FG86" s="10">
        <f t="shared" si="186"/>
        <v>2138996.1100000003</v>
      </c>
      <c r="FH86" s="172">
        <f>[27]MG!$V$37</f>
        <v>568234.34</v>
      </c>
      <c r="FI86" s="172">
        <f>[27]MG!$W$37</f>
        <v>84127.03</v>
      </c>
      <c r="FJ86" s="172"/>
      <c r="FK86" s="172">
        <f>[27]MG!$U$37</f>
        <v>7878.85</v>
      </c>
      <c r="FL86" s="172"/>
      <c r="FM86" s="172">
        <f>[27]MG!$X$37</f>
        <v>25635.07</v>
      </c>
      <c r="FN86" s="10">
        <f t="shared" si="187"/>
        <v>685875.28999999992</v>
      </c>
      <c r="FO86" s="10">
        <f>[28]MG!R24</f>
        <v>1025397.91</v>
      </c>
      <c r="FP86" s="10">
        <f>[28]MG!S24</f>
        <v>249395.46</v>
      </c>
      <c r="FQ86" s="10"/>
      <c r="FR86" s="10">
        <f>[28]MG!Q24</f>
        <v>194665.27</v>
      </c>
      <c r="FS86" s="10"/>
      <c r="FT86" s="10">
        <f>[28]MG!T24</f>
        <v>952584.53</v>
      </c>
      <c r="FU86" s="10">
        <f t="shared" si="151"/>
        <v>2422043.17</v>
      </c>
      <c r="FV86" s="10">
        <f>[28]MG!V24</f>
        <v>879423.93</v>
      </c>
      <c r="FW86" s="10">
        <f>[28]MG!W24</f>
        <v>182308.7</v>
      </c>
      <c r="FX86" s="10"/>
      <c r="FY86" s="10">
        <f>[28]MG!U24</f>
        <v>89642.02</v>
      </c>
      <c r="FZ86" s="10"/>
      <c r="GA86" s="10">
        <f>[28]MG!X24</f>
        <v>29819.14</v>
      </c>
      <c r="GB86" s="10">
        <f t="shared" si="164"/>
        <v>1181193.79</v>
      </c>
      <c r="GC86" s="149">
        <f t="shared" si="181"/>
        <v>4561039.28</v>
      </c>
      <c r="GD86" s="149">
        <f t="shared" si="166"/>
        <v>1867069.08</v>
      </c>
      <c r="GE86" s="218"/>
      <c r="GG86" s="36"/>
      <c r="GH86" s="36"/>
      <c r="GI86" s="36"/>
      <c r="GJ86" s="36"/>
    </row>
    <row r="87" spans="1:192" s="5" customFormat="1" ht="12.75" x14ac:dyDescent="0.2">
      <c r="A87" s="248"/>
      <c r="B87" s="15" t="s">
        <v>181</v>
      </c>
      <c r="C87" s="1" t="s">
        <v>14</v>
      </c>
      <c r="D87" s="2">
        <v>44927</v>
      </c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50"/>
      <c r="AK87" s="50"/>
      <c r="AL87" s="50"/>
      <c r="AM87" s="50"/>
      <c r="AN87" s="50"/>
      <c r="AO87" s="50"/>
      <c r="AP87" s="50"/>
      <c r="AQ87" s="50"/>
      <c r="AR87" s="50"/>
      <c r="AS87" s="50"/>
      <c r="AT87" s="50"/>
      <c r="AU87" s="50"/>
      <c r="AV87" s="50"/>
      <c r="AW87" s="50"/>
      <c r="AX87" s="50"/>
      <c r="AY87" s="50"/>
      <c r="AZ87" s="50"/>
      <c r="BA87" s="50"/>
      <c r="BB87" s="50"/>
      <c r="BC87" s="50"/>
      <c r="BD87" s="50"/>
      <c r="BE87" s="50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82"/>
      <c r="CT87" s="82"/>
      <c r="CU87" s="82"/>
      <c r="CV87" s="82"/>
      <c r="CW87" s="82"/>
      <c r="CX87" s="82"/>
      <c r="CY87" s="82"/>
      <c r="CZ87" s="82"/>
      <c r="DA87" s="82"/>
      <c r="DB87" s="82"/>
      <c r="DC87" s="82"/>
      <c r="DD87" s="82"/>
      <c r="DE87" s="82"/>
      <c r="DF87" s="82"/>
      <c r="DG87" s="82"/>
      <c r="DH87" s="82"/>
      <c r="DI87" s="82"/>
      <c r="DJ87" s="82"/>
      <c r="DK87" s="82"/>
      <c r="DL87" s="82"/>
      <c r="DM87" s="82"/>
      <c r="DN87" s="82"/>
      <c r="DO87" s="82"/>
      <c r="DP87" s="82"/>
      <c r="DQ87" s="82"/>
      <c r="DR87" s="82"/>
      <c r="DS87" s="82"/>
      <c r="DT87" s="82"/>
      <c r="DU87" s="82"/>
      <c r="DV87" s="82"/>
      <c r="DW87" s="82"/>
      <c r="DX87" s="82"/>
      <c r="DY87" s="82"/>
      <c r="DZ87" s="82"/>
      <c r="EA87" s="82"/>
      <c r="EB87" s="82"/>
      <c r="EC87" s="82"/>
      <c r="ED87" s="82"/>
      <c r="EE87" s="82"/>
      <c r="EF87" s="82"/>
      <c r="EG87" s="82"/>
      <c r="EH87" s="82"/>
      <c r="EI87" s="82"/>
      <c r="EJ87" s="82"/>
      <c r="EK87" s="82"/>
      <c r="EL87" s="82"/>
      <c r="EM87" s="10"/>
      <c r="EN87" s="10"/>
      <c r="EO87" s="10"/>
      <c r="EP87" s="10"/>
      <c r="EQ87" s="10"/>
      <c r="ER87" s="10"/>
      <c r="ES87" s="244" t="s">
        <v>188</v>
      </c>
      <c r="ET87" s="245"/>
      <c r="EU87" s="245"/>
      <c r="EV87" s="245"/>
      <c r="EW87" s="245"/>
      <c r="EX87" s="245"/>
      <c r="EY87" s="245"/>
      <c r="EZ87" s="246"/>
      <c r="FA87" s="172">
        <f>[27]MG!$R$40</f>
        <v>2203575.2999999998</v>
      </c>
      <c r="FB87" s="172">
        <f>[27]MG!$S$40</f>
        <v>2352191.7400000002</v>
      </c>
      <c r="FC87" s="172"/>
      <c r="FD87" s="172">
        <f>[27]MG!$Q$40</f>
        <v>1405047.18</v>
      </c>
      <c r="FE87" s="172"/>
      <c r="FF87" s="172">
        <f>[27]MG!$T$40</f>
        <v>2836535.23</v>
      </c>
      <c r="FG87" s="10">
        <f t="shared" si="186"/>
        <v>8797349.4499999993</v>
      </c>
      <c r="FH87" s="172">
        <f>[27]MG!$V$40</f>
        <v>2088414.82</v>
      </c>
      <c r="FI87" s="172">
        <f>[27]MG!$W$40</f>
        <v>1765336.52</v>
      </c>
      <c r="FJ87" s="172"/>
      <c r="FK87" s="172">
        <f>[27]MG!$U$40</f>
        <v>481883.59</v>
      </c>
      <c r="FL87" s="172"/>
      <c r="FM87" s="172">
        <f>[27]MG!$X$40</f>
        <v>313010.3</v>
      </c>
      <c r="FN87" s="10">
        <f t="shared" si="187"/>
        <v>4648645.2299999995</v>
      </c>
      <c r="FO87" s="10">
        <f>[28]MG!R27</f>
        <v>2492378.52</v>
      </c>
      <c r="FP87" s="10">
        <f>[28]MG!S27</f>
        <v>2091294.82</v>
      </c>
      <c r="FQ87" s="10"/>
      <c r="FR87" s="10">
        <f>[28]MG!Q27</f>
        <v>1763833.1</v>
      </c>
      <c r="FS87" s="10"/>
      <c r="FT87" s="10">
        <f>[28]MG!T27</f>
        <v>2537654.69</v>
      </c>
      <c r="FU87" s="10">
        <f t="shared" si="151"/>
        <v>8885161.129999999</v>
      </c>
      <c r="FV87" s="10">
        <f>[28]MG!V27</f>
        <v>2091959.45</v>
      </c>
      <c r="FW87" s="10">
        <f>[28]MG!W27</f>
        <v>1890942.21</v>
      </c>
      <c r="FX87" s="10"/>
      <c r="FY87" s="10">
        <f>[28]MG!U27</f>
        <v>1076273.1100000001</v>
      </c>
      <c r="FZ87" s="10"/>
      <c r="GA87" s="10">
        <f>[28]MG!X27</f>
        <v>209718.3</v>
      </c>
      <c r="GB87" s="10">
        <f t="shared" si="164"/>
        <v>5268893.07</v>
      </c>
      <c r="GC87" s="149">
        <f t="shared" si="181"/>
        <v>17682510.579999998</v>
      </c>
      <c r="GD87" s="149">
        <f t="shared" si="166"/>
        <v>9917538.3000000007</v>
      </c>
      <c r="GE87" s="218"/>
      <c r="GG87" s="36"/>
      <c r="GH87" s="36"/>
      <c r="GI87" s="36"/>
      <c r="GJ87" s="36"/>
    </row>
    <row r="88" spans="1:192" s="5" customFormat="1" ht="12.75" x14ac:dyDescent="0.2">
      <c r="A88" s="248"/>
      <c r="B88" s="15" t="s">
        <v>191</v>
      </c>
      <c r="C88" s="1" t="s">
        <v>14</v>
      </c>
      <c r="D88" s="2">
        <v>44927</v>
      </c>
      <c r="E88" s="50"/>
      <c r="F88" s="50"/>
      <c r="G88" s="50"/>
      <c r="H88" s="50"/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82"/>
      <c r="BG88" s="82"/>
      <c r="BH88" s="82"/>
      <c r="BI88" s="82"/>
      <c r="BJ88" s="82"/>
      <c r="BK88" s="82"/>
      <c r="BL88" s="82"/>
      <c r="BM88" s="82"/>
      <c r="BN88" s="82"/>
      <c r="BO88" s="82"/>
      <c r="BP88" s="82"/>
      <c r="BQ88" s="82"/>
      <c r="BR88" s="82"/>
      <c r="BS88" s="82"/>
      <c r="BT88" s="82"/>
      <c r="BU88" s="82"/>
      <c r="BV88" s="82"/>
      <c r="BW88" s="82"/>
      <c r="BX88" s="82"/>
      <c r="BY88" s="82"/>
      <c r="BZ88" s="82"/>
      <c r="CA88" s="82"/>
      <c r="CB88" s="82"/>
      <c r="CC88" s="82"/>
      <c r="CD88" s="82"/>
      <c r="CE88" s="82"/>
      <c r="CF88" s="82"/>
      <c r="CG88" s="82"/>
      <c r="CH88" s="82"/>
      <c r="CI88" s="82"/>
      <c r="CJ88" s="82"/>
      <c r="CK88" s="82"/>
      <c r="CL88" s="82"/>
      <c r="CM88" s="82"/>
      <c r="CN88" s="82"/>
      <c r="CO88" s="82"/>
      <c r="CP88" s="82"/>
      <c r="CQ88" s="82"/>
      <c r="CR88" s="82"/>
      <c r="CS88" s="82"/>
      <c r="CT88" s="82"/>
      <c r="CU88" s="82"/>
      <c r="CV88" s="82"/>
      <c r="CW88" s="82"/>
      <c r="CX88" s="82"/>
      <c r="CY88" s="82"/>
      <c r="CZ88" s="82"/>
      <c r="DA88" s="82"/>
      <c r="DB88" s="82"/>
      <c r="DC88" s="82"/>
      <c r="DD88" s="82"/>
      <c r="DE88" s="82"/>
      <c r="DF88" s="82"/>
      <c r="DG88" s="82"/>
      <c r="DH88" s="82"/>
      <c r="DI88" s="82"/>
      <c r="DJ88" s="82"/>
      <c r="DK88" s="82"/>
      <c r="DL88" s="82"/>
      <c r="DM88" s="82"/>
      <c r="DN88" s="82"/>
      <c r="DO88" s="82"/>
      <c r="DP88" s="82"/>
      <c r="DQ88" s="82"/>
      <c r="DR88" s="82"/>
      <c r="DS88" s="82"/>
      <c r="DT88" s="82"/>
      <c r="DU88" s="82"/>
      <c r="DV88" s="82"/>
      <c r="DW88" s="82"/>
      <c r="DX88" s="82"/>
      <c r="DY88" s="82"/>
      <c r="DZ88" s="82"/>
      <c r="EA88" s="82"/>
      <c r="EB88" s="82"/>
      <c r="EC88" s="82"/>
      <c r="ED88" s="82"/>
      <c r="EE88" s="82"/>
      <c r="EF88" s="82"/>
      <c r="EG88" s="82"/>
      <c r="EH88" s="82"/>
      <c r="EI88" s="82"/>
      <c r="EJ88" s="82"/>
      <c r="EK88" s="82"/>
      <c r="EL88" s="82"/>
      <c r="EM88" s="10"/>
      <c r="EN88" s="10"/>
      <c r="EO88" s="10"/>
      <c r="EP88" s="10"/>
      <c r="EQ88" s="10"/>
      <c r="ER88" s="10"/>
      <c r="ES88" s="244" t="s">
        <v>188</v>
      </c>
      <c r="ET88" s="245"/>
      <c r="EU88" s="245"/>
      <c r="EV88" s="245"/>
      <c r="EW88" s="245"/>
      <c r="EX88" s="245"/>
      <c r="EY88" s="245"/>
      <c r="EZ88" s="246"/>
      <c r="FA88" s="172">
        <f>[27]MG!$R$36</f>
        <v>1563505.56</v>
      </c>
      <c r="FB88" s="172">
        <f>[27]MG!$S$36</f>
        <v>213298.44</v>
      </c>
      <c r="FC88" s="172"/>
      <c r="FD88" s="172">
        <f>[27]MG!$Q$36</f>
        <v>408340.53</v>
      </c>
      <c r="FE88" s="172"/>
      <c r="FF88" s="172">
        <f>[27]MG!$T$36</f>
        <v>123823.79</v>
      </c>
      <c r="FG88" s="10">
        <f t="shared" si="128"/>
        <v>2308968.3200000003</v>
      </c>
      <c r="FH88" s="172">
        <f>[27]MG!$V$36</f>
        <v>1436590.55</v>
      </c>
      <c r="FI88" s="172">
        <f>[27]MG!$W$36</f>
        <v>141478.31</v>
      </c>
      <c r="FJ88" s="172"/>
      <c r="FK88" s="172">
        <f>[27]MG!$U$36</f>
        <v>12906.78</v>
      </c>
      <c r="FL88" s="172"/>
      <c r="FM88" s="172">
        <f>[27]MG!$X$36</f>
        <v>55597.59</v>
      </c>
      <c r="FN88" s="10">
        <f t="shared" si="116"/>
        <v>1646573.2300000002</v>
      </c>
      <c r="FO88" s="10">
        <f>[28]MG!R23</f>
        <v>2013129.93</v>
      </c>
      <c r="FP88" s="10">
        <f>[28]MG!S23</f>
        <v>165362.18</v>
      </c>
      <c r="FQ88" s="10"/>
      <c r="FR88" s="10">
        <f>[28]MG!Q23</f>
        <v>218547.43</v>
      </c>
      <c r="FS88" s="10"/>
      <c r="FT88" s="10">
        <f>[28]MG!T23</f>
        <v>45546.41</v>
      </c>
      <c r="FU88" s="10">
        <f t="shared" si="151"/>
        <v>2442585.9500000002</v>
      </c>
      <c r="FV88" s="10">
        <f>[28]MG!V23</f>
        <v>1655630.57</v>
      </c>
      <c r="FW88" s="10">
        <f>[28]MG!W23</f>
        <v>117781.04</v>
      </c>
      <c r="FX88" s="10"/>
      <c r="FY88" s="10">
        <f>[28]MG!U23</f>
        <v>110081.36</v>
      </c>
      <c r="FZ88" s="10"/>
      <c r="GA88" s="10">
        <f>[28]MG!X23</f>
        <v>53591.07</v>
      </c>
      <c r="GB88" s="10">
        <f t="shared" si="164"/>
        <v>1937084.0400000003</v>
      </c>
      <c r="GC88" s="149">
        <f t="shared" si="181"/>
        <v>4751554.2700000005</v>
      </c>
      <c r="GD88" s="149">
        <f t="shared" si="166"/>
        <v>3583657.2700000005</v>
      </c>
      <c r="GE88" s="218"/>
      <c r="GG88" s="36"/>
      <c r="GH88" s="36"/>
      <c r="GI88" s="36"/>
      <c r="GJ88" s="36"/>
    </row>
    <row r="89" spans="1:192" s="5" customFormat="1" ht="12.75" x14ac:dyDescent="0.2">
      <c r="A89" s="248"/>
      <c r="B89" s="15" t="s">
        <v>190</v>
      </c>
      <c r="C89" s="1" t="s">
        <v>14</v>
      </c>
      <c r="D89" s="2">
        <v>44927</v>
      </c>
      <c r="E89" s="50"/>
      <c r="F89" s="50"/>
      <c r="G89" s="50"/>
      <c r="H89" s="50"/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82"/>
      <c r="BG89" s="82"/>
      <c r="BH89" s="82"/>
      <c r="BI89" s="82"/>
      <c r="BJ89" s="82"/>
      <c r="BK89" s="82"/>
      <c r="BL89" s="82"/>
      <c r="BM89" s="82"/>
      <c r="BN89" s="82"/>
      <c r="BO89" s="82"/>
      <c r="BP89" s="82"/>
      <c r="BQ89" s="82"/>
      <c r="BR89" s="82"/>
      <c r="BS89" s="82"/>
      <c r="BT89" s="82"/>
      <c r="BU89" s="82"/>
      <c r="BV89" s="82"/>
      <c r="BW89" s="82"/>
      <c r="BX89" s="82"/>
      <c r="BY89" s="82"/>
      <c r="BZ89" s="82"/>
      <c r="CA89" s="82"/>
      <c r="CB89" s="82"/>
      <c r="CC89" s="82"/>
      <c r="CD89" s="82"/>
      <c r="CE89" s="82"/>
      <c r="CF89" s="82"/>
      <c r="CG89" s="82"/>
      <c r="CH89" s="82"/>
      <c r="CI89" s="82"/>
      <c r="CJ89" s="82"/>
      <c r="CK89" s="82"/>
      <c r="CL89" s="82"/>
      <c r="CM89" s="82"/>
      <c r="CN89" s="82"/>
      <c r="CO89" s="82"/>
      <c r="CP89" s="82"/>
      <c r="CQ89" s="82"/>
      <c r="CR89" s="82"/>
      <c r="CS89" s="82"/>
      <c r="CT89" s="82"/>
      <c r="CU89" s="82"/>
      <c r="CV89" s="82"/>
      <c r="CW89" s="82"/>
      <c r="CX89" s="82"/>
      <c r="CY89" s="82"/>
      <c r="CZ89" s="82"/>
      <c r="DA89" s="82"/>
      <c r="DB89" s="82"/>
      <c r="DC89" s="82"/>
      <c r="DD89" s="82"/>
      <c r="DE89" s="82"/>
      <c r="DF89" s="82"/>
      <c r="DG89" s="82"/>
      <c r="DH89" s="82"/>
      <c r="DI89" s="82"/>
      <c r="DJ89" s="82"/>
      <c r="DK89" s="82"/>
      <c r="DL89" s="82"/>
      <c r="DM89" s="82"/>
      <c r="DN89" s="82"/>
      <c r="DO89" s="82"/>
      <c r="DP89" s="82"/>
      <c r="DQ89" s="82"/>
      <c r="DR89" s="82"/>
      <c r="DS89" s="82"/>
      <c r="DT89" s="82"/>
      <c r="DU89" s="82"/>
      <c r="DV89" s="82"/>
      <c r="DW89" s="82"/>
      <c r="DX89" s="82"/>
      <c r="DY89" s="82"/>
      <c r="DZ89" s="82"/>
      <c r="EA89" s="82"/>
      <c r="EB89" s="82"/>
      <c r="EC89" s="82"/>
      <c r="ED89" s="82"/>
      <c r="EE89" s="82"/>
      <c r="EF89" s="82"/>
      <c r="EG89" s="82"/>
      <c r="EH89" s="82"/>
      <c r="EI89" s="82"/>
      <c r="EJ89" s="82"/>
      <c r="EK89" s="82"/>
      <c r="EL89" s="82"/>
      <c r="EM89" s="10"/>
      <c r="EN89" s="10"/>
      <c r="EO89" s="10"/>
      <c r="EP89" s="10"/>
      <c r="EQ89" s="10"/>
      <c r="ER89" s="10"/>
      <c r="ES89" s="244" t="s">
        <v>188</v>
      </c>
      <c r="ET89" s="245"/>
      <c r="EU89" s="245"/>
      <c r="EV89" s="245"/>
      <c r="EW89" s="245"/>
      <c r="EX89" s="245"/>
      <c r="EY89" s="245"/>
      <c r="EZ89" s="246"/>
      <c r="FA89" s="172">
        <f>[27]MG!$R$39</f>
        <v>400528.22</v>
      </c>
      <c r="FB89" s="172">
        <f>[27]MG!$S$39</f>
        <v>235726.65</v>
      </c>
      <c r="FC89" s="172"/>
      <c r="FD89" s="172">
        <f>[27]MG!$Q$39</f>
        <v>249916.14</v>
      </c>
      <c r="FE89" s="172"/>
      <c r="FF89" s="172">
        <f>[27]MG!$T$39</f>
        <v>446722.1</v>
      </c>
      <c r="FG89" s="10">
        <f t="shared" si="128"/>
        <v>1332893.1099999999</v>
      </c>
      <c r="FH89" s="172">
        <f>[27]MG!$V$39</f>
        <v>398939.43</v>
      </c>
      <c r="FI89" s="172">
        <f>[27]MG!$W$39</f>
        <v>84789.56</v>
      </c>
      <c r="FJ89" s="172"/>
      <c r="FK89" s="172">
        <f>[27]MG!$U$39</f>
        <v>78390.92</v>
      </c>
      <c r="FL89" s="172"/>
      <c r="FM89" s="172">
        <f>[27]MG!$X$39</f>
        <v>144172.84</v>
      </c>
      <c r="FN89" s="10">
        <f t="shared" si="116"/>
        <v>706292.75</v>
      </c>
      <c r="FO89" s="10">
        <f>[28]MG!R26</f>
        <v>632898.4</v>
      </c>
      <c r="FP89" s="10">
        <f>[28]MG!S26</f>
        <v>721113.47</v>
      </c>
      <c r="FQ89" s="10"/>
      <c r="FR89" s="10">
        <f>[28]MG!Q26</f>
        <v>326519.53000000003</v>
      </c>
      <c r="FS89" s="10"/>
      <c r="FT89" s="10">
        <f>[28]MG!T26</f>
        <v>136419.54999999999</v>
      </c>
      <c r="FU89" s="10">
        <f t="shared" si="151"/>
        <v>1816950.9500000002</v>
      </c>
      <c r="FV89" s="10">
        <f>[28]MG!V26</f>
        <v>458536.78</v>
      </c>
      <c r="FW89" s="10">
        <f>[28]MG!W26</f>
        <v>234500.73</v>
      </c>
      <c r="FX89" s="10"/>
      <c r="FY89" s="10">
        <f>[28]MG!U26</f>
        <v>130760.53</v>
      </c>
      <c r="FZ89" s="10"/>
      <c r="GA89" s="10">
        <f>[28]MG!X26</f>
        <v>166820.94</v>
      </c>
      <c r="GB89" s="10">
        <f t="shared" si="164"/>
        <v>990618.98</v>
      </c>
      <c r="GC89" s="149">
        <f t="shared" si="181"/>
        <v>3149844.06</v>
      </c>
      <c r="GD89" s="149">
        <f t="shared" si="166"/>
        <v>1696911.73</v>
      </c>
      <c r="GE89" s="218"/>
      <c r="GG89" s="36"/>
      <c r="GH89" s="36"/>
      <c r="GI89" s="36"/>
      <c r="GJ89" s="36"/>
    </row>
    <row r="90" spans="1:192" s="5" customFormat="1" ht="12.75" x14ac:dyDescent="0.2">
      <c r="A90" s="248"/>
      <c r="B90" s="15" t="s">
        <v>182</v>
      </c>
      <c r="C90" s="1" t="s">
        <v>14</v>
      </c>
      <c r="D90" s="2">
        <v>44927</v>
      </c>
      <c r="E90" s="50"/>
      <c r="F90" s="50"/>
      <c r="G90" s="50"/>
      <c r="H90" s="50"/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  <c r="AJ90" s="50"/>
      <c r="AK90" s="50"/>
      <c r="AL90" s="50"/>
      <c r="AM90" s="50"/>
      <c r="AN90" s="50"/>
      <c r="AO90" s="50"/>
      <c r="AP90" s="50"/>
      <c r="AQ90" s="50"/>
      <c r="AR90" s="50"/>
      <c r="AS90" s="50"/>
      <c r="AT90" s="50"/>
      <c r="AU90" s="50"/>
      <c r="AV90" s="50"/>
      <c r="AW90" s="50"/>
      <c r="AX90" s="50"/>
      <c r="AY90" s="50"/>
      <c r="AZ90" s="50"/>
      <c r="BA90" s="50"/>
      <c r="BB90" s="50"/>
      <c r="BC90" s="50"/>
      <c r="BD90" s="50"/>
      <c r="BE90" s="50"/>
      <c r="BF90" s="82"/>
      <c r="BG90" s="82"/>
      <c r="BH90" s="82"/>
      <c r="BI90" s="82"/>
      <c r="BJ90" s="82"/>
      <c r="BK90" s="82"/>
      <c r="BL90" s="82"/>
      <c r="BM90" s="82"/>
      <c r="BN90" s="82"/>
      <c r="BO90" s="82"/>
      <c r="BP90" s="82"/>
      <c r="BQ90" s="82"/>
      <c r="BR90" s="82"/>
      <c r="BS90" s="82"/>
      <c r="BT90" s="82"/>
      <c r="BU90" s="82"/>
      <c r="BV90" s="82"/>
      <c r="BW90" s="82"/>
      <c r="BX90" s="82"/>
      <c r="BY90" s="82"/>
      <c r="BZ90" s="82"/>
      <c r="CA90" s="82"/>
      <c r="CB90" s="82"/>
      <c r="CC90" s="82"/>
      <c r="CD90" s="82"/>
      <c r="CE90" s="82"/>
      <c r="CF90" s="82"/>
      <c r="CG90" s="82"/>
      <c r="CH90" s="82"/>
      <c r="CI90" s="82"/>
      <c r="CJ90" s="82"/>
      <c r="CK90" s="82"/>
      <c r="CL90" s="82"/>
      <c r="CM90" s="82"/>
      <c r="CN90" s="82"/>
      <c r="CO90" s="82"/>
      <c r="CP90" s="82"/>
      <c r="CQ90" s="82"/>
      <c r="CR90" s="82"/>
      <c r="CS90" s="82"/>
      <c r="CT90" s="82"/>
      <c r="CU90" s="82"/>
      <c r="CV90" s="82"/>
      <c r="CW90" s="82"/>
      <c r="CX90" s="82"/>
      <c r="CY90" s="82"/>
      <c r="CZ90" s="82"/>
      <c r="DA90" s="82"/>
      <c r="DB90" s="82"/>
      <c r="DC90" s="82"/>
      <c r="DD90" s="82"/>
      <c r="DE90" s="82"/>
      <c r="DF90" s="82"/>
      <c r="DG90" s="82"/>
      <c r="DH90" s="82"/>
      <c r="DI90" s="82"/>
      <c r="DJ90" s="82"/>
      <c r="DK90" s="82"/>
      <c r="DL90" s="82"/>
      <c r="DM90" s="82"/>
      <c r="DN90" s="82"/>
      <c r="DO90" s="82"/>
      <c r="DP90" s="82"/>
      <c r="DQ90" s="82"/>
      <c r="DR90" s="82"/>
      <c r="DS90" s="82"/>
      <c r="DT90" s="82"/>
      <c r="DU90" s="82"/>
      <c r="DV90" s="82"/>
      <c r="DW90" s="82"/>
      <c r="DX90" s="82"/>
      <c r="DY90" s="82"/>
      <c r="DZ90" s="82"/>
      <c r="EA90" s="82"/>
      <c r="EB90" s="82"/>
      <c r="EC90" s="82"/>
      <c r="ED90" s="82"/>
      <c r="EE90" s="82"/>
      <c r="EF90" s="82"/>
      <c r="EG90" s="82"/>
      <c r="EH90" s="82"/>
      <c r="EI90" s="82"/>
      <c r="EJ90" s="82"/>
      <c r="EK90" s="82"/>
      <c r="EL90" s="82"/>
      <c r="EM90" s="10"/>
      <c r="EN90" s="10"/>
      <c r="EO90" s="10"/>
      <c r="EP90" s="10"/>
      <c r="EQ90" s="10"/>
      <c r="ER90" s="10"/>
      <c r="ES90" s="244" t="s">
        <v>188</v>
      </c>
      <c r="ET90" s="245"/>
      <c r="EU90" s="245"/>
      <c r="EV90" s="245"/>
      <c r="EW90" s="245"/>
      <c r="EX90" s="245"/>
      <c r="EY90" s="245"/>
      <c r="EZ90" s="246"/>
      <c r="FA90" s="172">
        <f>[27]MG!$R$38</f>
        <v>878976.75</v>
      </c>
      <c r="FB90" s="172">
        <f>[27]MG!$S$38</f>
        <v>189570.97</v>
      </c>
      <c r="FC90" s="172"/>
      <c r="FD90" s="172">
        <f>[27]MG!$Q$38</f>
        <v>92214.3</v>
      </c>
      <c r="FE90" s="172"/>
      <c r="FF90" s="172">
        <f>[27]MG!$T$38</f>
        <v>94130.09</v>
      </c>
      <c r="FG90" s="10">
        <f t="shared" si="128"/>
        <v>1254892.1100000001</v>
      </c>
      <c r="FH90" s="172">
        <f>[27]MG!$V$38</f>
        <v>875448.76</v>
      </c>
      <c r="FI90" s="172">
        <f>[27]MG!$W$38</f>
        <v>16893.330000000002</v>
      </c>
      <c r="FJ90" s="172"/>
      <c r="FK90" s="172">
        <f>[27]MG!$U$38</f>
        <v>18975.3</v>
      </c>
      <c r="FL90" s="172"/>
      <c r="FM90" s="172">
        <f>[27]MG!$X$38</f>
        <v>8174.73</v>
      </c>
      <c r="FN90" s="10">
        <f t="shared" si="116"/>
        <v>919492.12</v>
      </c>
      <c r="FO90" s="10">
        <f>[28]MG!R25</f>
        <v>1076248.04</v>
      </c>
      <c r="FP90" s="10">
        <f>[28]MG!S25</f>
        <v>185918.11</v>
      </c>
      <c r="FQ90" s="10"/>
      <c r="FR90" s="10">
        <f>[28]MG!Q25</f>
        <v>89492.03</v>
      </c>
      <c r="FS90" s="10"/>
      <c r="FT90" s="10">
        <f>[28]MG!T25</f>
        <v>34686.22</v>
      </c>
      <c r="FU90" s="10">
        <f t="shared" si="151"/>
        <v>1386344.4</v>
      </c>
      <c r="FV90" s="10">
        <f>[28]MG!V25</f>
        <v>251786.12</v>
      </c>
      <c r="FW90" s="10">
        <f>[28]MG!W25</f>
        <v>136586.26999999999</v>
      </c>
      <c r="FX90" s="10"/>
      <c r="FY90" s="10">
        <f>[28]MG!U25</f>
        <v>32187.56</v>
      </c>
      <c r="FZ90" s="10"/>
      <c r="GA90" s="10">
        <f>[28]MG!X25</f>
        <v>3640.51</v>
      </c>
      <c r="GB90" s="10">
        <f t="shared" si="164"/>
        <v>424200.46</v>
      </c>
      <c r="GC90" s="149">
        <f t="shared" si="181"/>
        <v>2641236.5099999998</v>
      </c>
      <c r="GD90" s="149">
        <f t="shared" si="166"/>
        <v>1343692.58</v>
      </c>
      <c r="GE90" s="218"/>
      <c r="GG90" s="36"/>
      <c r="GH90" s="36"/>
      <c r="GI90" s="36"/>
      <c r="GJ90" s="36"/>
    </row>
    <row r="91" spans="1:192" s="5" customFormat="1" ht="12.75" x14ac:dyDescent="0.2">
      <c r="A91" s="248"/>
      <c r="B91" s="15" t="s">
        <v>183</v>
      </c>
      <c r="C91" s="1" t="s">
        <v>14</v>
      </c>
      <c r="D91" s="2">
        <v>44927</v>
      </c>
      <c r="E91" s="50"/>
      <c r="F91" s="50"/>
      <c r="G91" s="50"/>
      <c r="H91" s="50"/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82"/>
      <c r="BG91" s="82"/>
      <c r="BH91" s="82"/>
      <c r="BI91" s="82"/>
      <c r="BJ91" s="82"/>
      <c r="BK91" s="82"/>
      <c r="BL91" s="82"/>
      <c r="BM91" s="82"/>
      <c r="BN91" s="82"/>
      <c r="BO91" s="82"/>
      <c r="BP91" s="82"/>
      <c r="BQ91" s="82"/>
      <c r="BR91" s="82"/>
      <c r="BS91" s="82"/>
      <c r="BT91" s="82"/>
      <c r="BU91" s="82"/>
      <c r="BV91" s="82"/>
      <c r="BW91" s="82"/>
      <c r="BX91" s="82"/>
      <c r="BY91" s="82"/>
      <c r="BZ91" s="82"/>
      <c r="CA91" s="82"/>
      <c r="CB91" s="82"/>
      <c r="CC91" s="82"/>
      <c r="CD91" s="82"/>
      <c r="CE91" s="82"/>
      <c r="CF91" s="82"/>
      <c r="CG91" s="82"/>
      <c r="CH91" s="82"/>
      <c r="CI91" s="82"/>
      <c r="CJ91" s="82"/>
      <c r="CK91" s="82"/>
      <c r="CL91" s="82"/>
      <c r="CM91" s="82"/>
      <c r="CN91" s="82"/>
      <c r="CO91" s="82"/>
      <c r="CP91" s="82"/>
      <c r="CQ91" s="82"/>
      <c r="CR91" s="82"/>
      <c r="CS91" s="82"/>
      <c r="CT91" s="82"/>
      <c r="CU91" s="82"/>
      <c r="CV91" s="82"/>
      <c r="CW91" s="82"/>
      <c r="CX91" s="82"/>
      <c r="CY91" s="82"/>
      <c r="CZ91" s="82"/>
      <c r="DA91" s="82"/>
      <c r="DB91" s="82"/>
      <c r="DC91" s="82"/>
      <c r="DD91" s="82"/>
      <c r="DE91" s="82"/>
      <c r="DF91" s="82"/>
      <c r="DG91" s="82"/>
      <c r="DH91" s="82"/>
      <c r="DI91" s="82"/>
      <c r="DJ91" s="82"/>
      <c r="DK91" s="82"/>
      <c r="DL91" s="82"/>
      <c r="DM91" s="82"/>
      <c r="DN91" s="82"/>
      <c r="DO91" s="82"/>
      <c r="DP91" s="82"/>
      <c r="DQ91" s="82"/>
      <c r="DR91" s="82"/>
      <c r="DS91" s="82"/>
      <c r="DT91" s="82"/>
      <c r="DU91" s="82"/>
      <c r="DV91" s="82"/>
      <c r="DW91" s="82"/>
      <c r="DX91" s="82"/>
      <c r="DY91" s="82"/>
      <c r="DZ91" s="82"/>
      <c r="EA91" s="82"/>
      <c r="EB91" s="82"/>
      <c r="EC91" s="82"/>
      <c r="ED91" s="82"/>
      <c r="EE91" s="82"/>
      <c r="EF91" s="82"/>
      <c r="EG91" s="82"/>
      <c r="EH91" s="82"/>
      <c r="EI91" s="82"/>
      <c r="EJ91" s="82"/>
      <c r="EK91" s="82"/>
      <c r="EL91" s="82"/>
      <c r="EM91" s="10"/>
      <c r="EN91" s="10"/>
      <c r="EO91" s="10"/>
      <c r="EP91" s="10"/>
      <c r="EQ91" s="10"/>
      <c r="ER91" s="10"/>
      <c r="ES91" s="244" t="s">
        <v>188</v>
      </c>
      <c r="ET91" s="245"/>
      <c r="EU91" s="245"/>
      <c r="EV91" s="245"/>
      <c r="EW91" s="245"/>
      <c r="EX91" s="245"/>
      <c r="EY91" s="245"/>
      <c r="EZ91" s="246"/>
      <c r="FA91" s="172">
        <f>[27]MG!$R$44</f>
        <v>515143.23</v>
      </c>
      <c r="FB91" s="172">
        <f>[27]MG!$S$44</f>
        <v>32943.919999999998</v>
      </c>
      <c r="FC91" s="172"/>
      <c r="FD91" s="172">
        <f>[27]MG!$Q$44</f>
        <v>215124.4</v>
      </c>
      <c r="FE91" s="172"/>
      <c r="FF91" s="172">
        <f>[27]MG!$T$44</f>
        <v>46119.24</v>
      </c>
      <c r="FG91" s="10">
        <f t="shared" si="128"/>
        <v>809330.79</v>
      </c>
      <c r="FH91" s="172">
        <f>[27]MG!$V$44</f>
        <v>506538.13</v>
      </c>
      <c r="FI91" s="172">
        <f>[27]MG!$W$44</f>
        <v>16776.41</v>
      </c>
      <c r="FJ91" s="172"/>
      <c r="FK91" s="172">
        <f>[27]MG!$U$44</f>
        <v>20631.43</v>
      </c>
      <c r="FL91" s="172"/>
      <c r="FM91" s="172">
        <f>[27]MG!$X$44</f>
        <v>0</v>
      </c>
      <c r="FN91" s="10">
        <f t="shared" si="116"/>
        <v>543945.97</v>
      </c>
      <c r="FO91" s="10">
        <f>[28]MG!R29</f>
        <v>722219.61</v>
      </c>
      <c r="FP91" s="10">
        <f>[28]MG!S29</f>
        <v>26870.34</v>
      </c>
      <c r="FQ91" s="10"/>
      <c r="FR91" s="10">
        <f>[28]MG!Q29</f>
        <v>133756.14000000001</v>
      </c>
      <c r="FS91" s="10"/>
      <c r="FT91" s="10">
        <f>[28]MG!T29</f>
        <v>37568.33</v>
      </c>
      <c r="FU91" s="10">
        <f t="shared" si="151"/>
        <v>920414.41999999993</v>
      </c>
      <c r="FV91" s="10">
        <f>[28]MG!V29</f>
        <v>402739.66</v>
      </c>
      <c r="FW91" s="10">
        <f>[28]MG!W29</f>
        <v>16421.11</v>
      </c>
      <c r="FX91" s="10"/>
      <c r="FY91" s="10">
        <f>[28]MG!U29</f>
        <v>67085.05</v>
      </c>
      <c r="FZ91" s="10"/>
      <c r="GA91" s="10">
        <f>[28]MG!X29</f>
        <v>25312.14</v>
      </c>
      <c r="GB91" s="10">
        <f t="shared" si="164"/>
        <v>511557.95999999996</v>
      </c>
      <c r="GC91" s="149">
        <f t="shared" si="181"/>
        <v>1729745.21</v>
      </c>
      <c r="GD91" s="149">
        <f t="shared" si="166"/>
        <v>1055503.93</v>
      </c>
      <c r="GE91" s="218"/>
      <c r="GG91" s="36"/>
      <c r="GH91" s="36"/>
      <c r="GI91" s="36"/>
      <c r="GJ91" s="36"/>
    </row>
    <row r="92" spans="1:192" s="5" customFormat="1" ht="12.75" x14ac:dyDescent="0.2">
      <c r="A92" s="248"/>
      <c r="B92" s="15" t="s">
        <v>184</v>
      </c>
      <c r="C92" s="1" t="s">
        <v>14</v>
      </c>
      <c r="D92" s="2">
        <v>44927</v>
      </c>
      <c r="E92" s="50"/>
      <c r="F92" s="50"/>
      <c r="G92" s="50"/>
      <c r="H92" s="50"/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2"/>
      <c r="BU92" s="82"/>
      <c r="BV92" s="82"/>
      <c r="BW92" s="82"/>
      <c r="BX92" s="82"/>
      <c r="BY92" s="82"/>
      <c r="BZ92" s="82"/>
      <c r="CA92" s="82"/>
      <c r="CB92" s="82"/>
      <c r="CC92" s="82"/>
      <c r="CD92" s="82"/>
      <c r="CE92" s="82"/>
      <c r="CF92" s="82"/>
      <c r="CG92" s="82"/>
      <c r="CH92" s="82"/>
      <c r="CI92" s="82"/>
      <c r="CJ92" s="82"/>
      <c r="CK92" s="82"/>
      <c r="CL92" s="82"/>
      <c r="CM92" s="82"/>
      <c r="CN92" s="82"/>
      <c r="CO92" s="82"/>
      <c r="CP92" s="82"/>
      <c r="CQ92" s="82"/>
      <c r="CR92" s="82"/>
      <c r="CS92" s="82"/>
      <c r="CT92" s="82"/>
      <c r="CU92" s="82"/>
      <c r="CV92" s="82"/>
      <c r="CW92" s="82"/>
      <c r="CX92" s="82"/>
      <c r="CY92" s="82"/>
      <c r="CZ92" s="82"/>
      <c r="DA92" s="82"/>
      <c r="DB92" s="82"/>
      <c r="DC92" s="82"/>
      <c r="DD92" s="82"/>
      <c r="DE92" s="82"/>
      <c r="DF92" s="82"/>
      <c r="DG92" s="82"/>
      <c r="DH92" s="82"/>
      <c r="DI92" s="82"/>
      <c r="DJ92" s="82"/>
      <c r="DK92" s="82"/>
      <c r="DL92" s="82"/>
      <c r="DM92" s="82"/>
      <c r="DN92" s="82"/>
      <c r="DO92" s="82"/>
      <c r="DP92" s="82"/>
      <c r="DQ92" s="82"/>
      <c r="DR92" s="82"/>
      <c r="DS92" s="82"/>
      <c r="DT92" s="82"/>
      <c r="DU92" s="82"/>
      <c r="DV92" s="82"/>
      <c r="DW92" s="82"/>
      <c r="DX92" s="82"/>
      <c r="DY92" s="82"/>
      <c r="DZ92" s="82"/>
      <c r="EA92" s="82"/>
      <c r="EB92" s="82"/>
      <c r="EC92" s="82"/>
      <c r="ED92" s="82"/>
      <c r="EE92" s="82"/>
      <c r="EF92" s="82"/>
      <c r="EG92" s="82"/>
      <c r="EH92" s="82"/>
      <c r="EI92" s="82"/>
      <c r="EJ92" s="82"/>
      <c r="EK92" s="82"/>
      <c r="EL92" s="82"/>
      <c r="EM92" s="10"/>
      <c r="EN92" s="10"/>
      <c r="EO92" s="10"/>
      <c r="EP92" s="10"/>
      <c r="EQ92" s="10"/>
      <c r="ER92" s="10"/>
      <c r="ES92" s="244" t="s">
        <v>188</v>
      </c>
      <c r="ET92" s="245"/>
      <c r="EU92" s="245"/>
      <c r="EV92" s="245"/>
      <c r="EW92" s="245"/>
      <c r="EX92" s="245"/>
      <c r="EY92" s="245"/>
      <c r="EZ92" s="246"/>
      <c r="FA92" s="172">
        <f>[27]MG!$R$43</f>
        <v>141923.75</v>
      </c>
      <c r="FB92" s="172">
        <f>[27]MG!$S$43</f>
        <v>24678.5</v>
      </c>
      <c r="FC92" s="172"/>
      <c r="FD92" s="172">
        <f>[27]MG!$Q$43</f>
        <v>53820.03</v>
      </c>
      <c r="FE92" s="172"/>
      <c r="FF92" s="172">
        <f>[27]MG!$T$43</f>
        <v>14039.73</v>
      </c>
      <c r="FG92" s="10">
        <f t="shared" ref="FG92:FG93" si="188">SUM(FA92:FF92)</f>
        <v>234462.01</v>
      </c>
      <c r="FH92" s="172">
        <f>[27]MG!$V$43</f>
        <v>101252.5</v>
      </c>
      <c r="FI92" s="172">
        <f>[27]MG!$W$43</f>
        <v>17670.29</v>
      </c>
      <c r="FJ92" s="172"/>
      <c r="FK92" s="172">
        <f>[27]MG!$U$43</f>
        <v>11035.06</v>
      </c>
      <c r="FL92" s="172"/>
      <c r="FM92" s="172">
        <f>[27]MG!$X$43</f>
        <v>3421.56</v>
      </c>
      <c r="FN92" s="10">
        <f t="shared" ref="FN92:FN93" si="189">SUM(FH92:FM92)</f>
        <v>133379.41</v>
      </c>
      <c r="FO92" s="10">
        <f>[28]MG!R28</f>
        <v>240891.41</v>
      </c>
      <c r="FP92" s="10">
        <f>[28]MG!S28</f>
        <v>17894.36</v>
      </c>
      <c r="FQ92" s="10"/>
      <c r="FR92" s="10">
        <f>[28]MG!Q28</f>
        <v>46554.9</v>
      </c>
      <c r="FS92" s="10"/>
      <c r="FT92" s="10">
        <f>[28]MG!T28</f>
        <v>20611.080000000002</v>
      </c>
      <c r="FU92" s="10">
        <f t="shared" si="151"/>
        <v>325951.75000000006</v>
      </c>
      <c r="FV92" s="10">
        <f>[28]MG!V28</f>
        <v>156558.35999999999</v>
      </c>
      <c r="FW92" s="10">
        <f>[28]MG!W28</f>
        <v>8233.01</v>
      </c>
      <c r="FX92" s="10"/>
      <c r="FY92" s="10">
        <f>[28]MG!U28</f>
        <v>26787.73</v>
      </c>
      <c r="FZ92" s="10"/>
      <c r="GA92" s="10">
        <f>[28]MG!X28</f>
        <v>15060.32</v>
      </c>
      <c r="GB92" s="10">
        <f t="shared" si="164"/>
        <v>206639.42</v>
      </c>
      <c r="GC92" s="149">
        <f t="shared" si="181"/>
        <v>560413.76</v>
      </c>
      <c r="GD92" s="149">
        <f t="shared" si="166"/>
        <v>340018.83</v>
      </c>
      <c r="GE92" s="218"/>
      <c r="GG92" s="36"/>
      <c r="GH92" s="36"/>
      <c r="GI92" s="36"/>
      <c r="GJ92" s="36"/>
    </row>
    <row r="93" spans="1:192" s="5" customFormat="1" ht="12.75" x14ac:dyDescent="0.2">
      <c r="A93" s="248"/>
      <c r="B93" s="15" t="s">
        <v>185</v>
      </c>
      <c r="C93" s="1" t="s">
        <v>14</v>
      </c>
      <c r="D93" s="2">
        <v>44927</v>
      </c>
      <c r="E93" s="50"/>
      <c r="F93" s="50"/>
      <c r="G93" s="50"/>
      <c r="H93" s="50"/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  <c r="AJ93" s="50"/>
      <c r="AK93" s="50"/>
      <c r="AL93" s="50"/>
      <c r="AM93" s="50"/>
      <c r="AN93" s="50"/>
      <c r="AO93" s="50"/>
      <c r="AP93" s="50"/>
      <c r="AQ93" s="50"/>
      <c r="AR93" s="50"/>
      <c r="AS93" s="50"/>
      <c r="AT93" s="50"/>
      <c r="AU93" s="50"/>
      <c r="AV93" s="50"/>
      <c r="AW93" s="50"/>
      <c r="AX93" s="50"/>
      <c r="AY93" s="50"/>
      <c r="AZ93" s="50"/>
      <c r="BA93" s="50"/>
      <c r="BB93" s="50"/>
      <c r="BC93" s="50"/>
      <c r="BD93" s="50"/>
      <c r="BE93" s="50"/>
      <c r="BF93" s="82"/>
      <c r="BG93" s="82"/>
      <c r="BH93" s="82"/>
      <c r="BI93" s="82"/>
      <c r="BJ93" s="82"/>
      <c r="BK93" s="82"/>
      <c r="BL93" s="82"/>
      <c r="BM93" s="82"/>
      <c r="BN93" s="82"/>
      <c r="BO93" s="82"/>
      <c r="BP93" s="82"/>
      <c r="BQ93" s="82"/>
      <c r="BR93" s="82"/>
      <c r="BS93" s="82"/>
      <c r="BT93" s="82"/>
      <c r="BU93" s="82"/>
      <c r="BV93" s="82"/>
      <c r="BW93" s="82"/>
      <c r="BX93" s="82"/>
      <c r="BY93" s="82"/>
      <c r="BZ93" s="82"/>
      <c r="CA93" s="82"/>
      <c r="CB93" s="82"/>
      <c r="CC93" s="82"/>
      <c r="CD93" s="82"/>
      <c r="CE93" s="82"/>
      <c r="CF93" s="82"/>
      <c r="CG93" s="82"/>
      <c r="CH93" s="82"/>
      <c r="CI93" s="82"/>
      <c r="CJ93" s="82"/>
      <c r="CK93" s="82"/>
      <c r="CL93" s="82"/>
      <c r="CM93" s="82"/>
      <c r="CN93" s="82"/>
      <c r="CO93" s="82"/>
      <c r="CP93" s="82"/>
      <c r="CQ93" s="82"/>
      <c r="CR93" s="82"/>
      <c r="CS93" s="82"/>
      <c r="CT93" s="82"/>
      <c r="CU93" s="82"/>
      <c r="CV93" s="82"/>
      <c r="CW93" s="82"/>
      <c r="CX93" s="82"/>
      <c r="CY93" s="82"/>
      <c r="CZ93" s="82"/>
      <c r="DA93" s="82"/>
      <c r="DB93" s="82"/>
      <c r="DC93" s="82"/>
      <c r="DD93" s="82"/>
      <c r="DE93" s="82"/>
      <c r="DF93" s="82"/>
      <c r="DG93" s="82"/>
      <c r="DH93" s="82"/>
      <c r="DI93" s="82"/>
      <c r="DJ93" s="82"/>
      <c r="DK93" s="82"/>
      <c r="DL93" s="82"/>
      <c r="DM93" s="82"/>
      <c r="DN93" s="82"/>
      <c r="DO93" s="82"/>
      <c r="DP93" s="82"/>
      <c r="DQ93" s="82"/>
      <c r="DR93" s="82"/>
      <c r="DS93" s="82"/>
      <c r="DT93" s="82"/>
      <c r="DU93" s="82"/>
      <c r="DV93" s="82"/>
      <c r="DW93" s="82"/>
      <c r="DX93" s="82"/>
      <c r="DY93" s="82"/>
      <c r="DZ93" s="82"/>
      <c r="EA93" s="82"/>
      <c r="EB93" s="82"/>
      <c r="EC93" s="82"/>
      <c r="ED93" s="82"/>
      <c r="EE93" s="82"/>
      <c r="EF93" s="82"/>
      <c r="EG93" s="82"/>
      <c r="EH93" s="82"/>
      <c r="EI93" s="82"/>
      <c r="EJ93" s="82"/>
      <c r="EK93" s="82"/>
      <c r="EL93" s="82"/>
      <c r="EM93" s="10"/>
      <c r="EN93" s="10"/>
      <c r="EO93" s="10"/>
      <c r="EP93" s="10"/>
      <c r="EQ93" s="10"/>
      <c r="ER93" s="10"/>
      <c r="ES93" s="244" t="s">
        <v>188</v>
      </c>
      <c r="ET93" s="245"/>
      <c r="EU93" s="245"/>
      <c r="EV93" s="245"/>
      <c r="EW93" s="245"/>
      <c r="EX93" s="245"/>
      <c r="EY93" s="245"/>
      <c r="EZ93" s="246"/>
      <c r="FA93" s="172">
        <f>[27]MG!$R$47</f>
        <v>159262.14000000001</v>
      </c>
      <c r="FB93" s="172">
        <f>[27]MG!$S$47</f>
        <v>9691.35</v>
      </c>
      <c r="FC93" s="172"/>
      <c r="FD93" s="172">
        <f>[27]MG!$Q$47</f>
        <v>1043.92</v>
      </c>
      <c r="FE93" s="172"/>
      <c r="FF93" s="172">
        <f>[27]MG!$T$47</f>
        <v>2553.9699999999998</v>
      </c>
      <c r="FG93" s="10">
        <f t="shared" si="188"/>
        <v>172551.38000000003</v>
      </c>
      <c r="FH93" s="172">
        <f>[27]MG!$V$47</f>
        <v>154932.84</v>
      </c>
      <c r="FI93" s="172">
        <f>[27]MG!$W$47</f>
        <v>0</v>
      </c>
      <c r="FJ93" s="172"/>
      <c r="FK93" s="172">
        <f>[27]MG!$U$47</f>
        <v>287.44</v>
      </c>
      <c r="FL93" s="172"/>
      <c r="FM93" s="172">
        <f>[27]MG!$X$47</f>
        <v>0</v>
      </c>
      <c r="FN93" s="10">
        <f t="shared" si="189"/>
        <v>155220.28</v>
      </c>
      <c r="FO93" s="10">
        <f>[28]MG!R49</f>
        <v>178840.97</v>
      </c>
      <c r="FP93" s="10">
        <f>[28]MG!S49</f>
        <v>11247.87</v>
      </c>
      <c r="FQ93" s="10"/>
      <c r="FR93" s="10">
        <f>[28]MG!Q49</f>
        <v>1659.89</v>
      </c>
      <c r="FS93" s="10"/>
      <c r="FT93" s="10">
        <f>[28]MG!T49</f>
        <v>286.68</v>
      </c>
      <c r="FU93" s="10">
        <f t="shared" si="151"/>
        <v>192035.41</v>
      </c>
      <c r="FV93" s="10">
        <f>[28]MG!V49</f>
        <v>127311.06</v>
      </c>
      <c r="FW93" s="10">
        <f>[28]MG!W49</f>
        <v>1811.14</v>
      </c>
      <c r="FX93" s="10"/>
      <c r="FY93" s="10">
        <f>[28]MG!U49</f>
        <v>0</v>
      </c>
      <c r="FZ93" s="10"/>
      <c r="GA93" s="10">
        <f>[28]MG!X49</f>
        <v>595.03</v>
      </c>
      <c r="GB93" s="10">
        <f t="shared" si="164"/>
        <v>129717.23</v>
      </c>
      <c r="GC93" s="149">
        <f t="shared" si="181"/>
        <v>364586.79000000004</v>
      </c>
      <c r="GD93" s="149">
        <f t="shared" si="166"/>
        <v>284937.51</v>
      </c>
      <c r="GE93" s="218"/>
      <c r="GG93" s="36"/>
      <c r="GH93" s="36"/>
      <c r="GI93" s="36"/>
      <c r="GJ93" s="36"/>
    </row>
    <row r="94" spans="1:192" s="5" customFormat="1" ht="12.75" x14ac:dyDescent="0.2">
      <c r="A94" s="248"/>
      <c r="B94" s="15" t="s">
        <v>186</v>
      </c>
      <c r="C94" s="1" t="s">
        <v>14</v>
      </c>
      <c r="D94" s="2">
        <v>44927</v>
      </c>
      <c r="E94" s="50"/>
      <c r="F94" s="50"/>
      <c r="G94" s="50"/>
      <c r="H94" s="50"/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  <c r="AJ94" s="50"/>
      <c r="AK94" s="50"/>
      <c r="AL94" s="50"/>
      <c r="AM94" s="50"/>
      <c r="AN94" s="50"/>
      <c r="AO94" s="50"/>
      <c r="AP94" s="50"/>
      <c r="AQ94" s="50"/>
      <c r="AR94" s="50"/>
      <c r="AS94" s="50"/>
      <c r="AT94" s="50"/>
      <c r="AU94" s="50"/>
      <c r="AV94" s="50"/>
      <c r="AW94" s="50"/>
      <c r="AX94" s="50"/>
      <c r="AY94" s="50"/>
      <c r="AZ94" s="50"/>
      <c r="BA94" s="50"/>
      <c r="BB94" s="50"/>
      <c r="BC94" s="50"/>
      <c r="BD94" s="50"/>
      <c r="BE94" s="50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2"/>
      <c r="BU94" s="82"/>
      <c r="BV94" s="82"/>
      <c r="BW94" s="82"/>
      <c r="BX94" s="82"/>
      <c r="BY94" s="82"/>
      <c r="BZ94" s="82"/>
      <c r="CA94" s="82"/>
      <c r="CB94" s="82"/>
      <c r="CC94" s="82"/>
      <c r="CD94" s="82"/>
      <c r="CE94" s="82"/>
      <c r="CF94" s="82"/>
      <c r="CG94" s="82"/>
      <c r="CH94" s="82"/>
      <c r="CI94" s="82"/>
      <c r="CJ94" s="82"/>
      <c r="CK94" s="82"/>
      <c r="CL94" s="82"/>
      <c r="CM94" s="82"/>
      <c r="CN94" s="82"/>
      <c r="CO94" s="82"/>
      <c r="CP94" s="82"/>
      <c r="CQ94" s="82"/>
      <c r="CR94" s="82"/>
      <c r="CS94" s="82"/>
      <c r="CT94" s="82"/>
      <c r="CU94" s="82"/>
      <c r="CV94" s="82"/>
      <c r="CW94" s="82"/>
      <c r="CX94" s="82"/>
      <c r="CY94" s="82"/>
      <c r="CZ94" s="82"/>
      <c r="DA94" s="82"/>
      <c r="DB94" s="82"/>
      <c r="DC94" s="82"/>
      <c r="DD94" s="82"/>
      <c r="DE94" s="82"/>
      <c r="DF94" s="82"/>
      <c r="DG94" s="82"/>
      <c r="DH94" s="82"/>
      <c r="DI94" s="82"/>
      <c r="DJ94" s="82"/>
      <c r="DK94" s="82"/>
      <c r="DL94" s="82"/>
      <c r="DM94" s="82"/>
      <c r="DN94" s="82"/>
      <c r="DO94" s="82"/>
      <c r="DP94" s="82"/>
      <c r="DQ94" s="82"/>
      <c r="DR94" s="82"/>
      <c r="DS94" s="82"/>
      <c r="DT94" s="82"/>
      <c r="DU94" s="82"/>
      <c r="DV94" s="82"/>
      <c r="DW94" s="82"/>
      <c r="DX94" s="82"/>
      <c r="DY94" s="82"/>
      <c r="DZ94" s="82"/>
      <c r="EA94" s="82"/>
      <c r="EB94" s="82"/>
      <c r="EC94" s="82"/>
      <c r="ED94" s="82"/>
      <c r="EE94" s="82"/>
      <c r="EF94" s="82"/>
      <c r="EG94" s="82"/>
      <c r="EH94" s="82"/>
      <c r="EI94" s="82"/>
      <c r="EJ94" s="82"/>
      <c r="EK94" s="82"/>
      <c r="EL94" s="82"/>
      <c r="EM94" s="10"/>
      <c r="EN94" s="10"/>
      <c r="EO94" s="10"/>
      <c r="EP94" s="10"/>
      <c r="EQ94" s="10"/>
      <c r="ER94" s="10"/>
      <c r="ES94" s="244" t="s">
        <v>188</v>
      </c>
      <c r="ET94" s="245"/>
      <c r="EU94" s="245"/>
      <c r="EV94" s="245"/>
      <c r="EW94" s="245"/>
      <c r="EX94" s="245"/>
      <c r="EY94" s="245"/>
      <c r="EZ94" s="246"/>
      <c r="FA94" s="172">
        <f>[27]MG!$R$46</f>
        <v>541845.89</v>
      </c>
      <c r="FB94" s="172">
        <f>[27]MG!$S$46</f>
        <v>31005.1</v>
      </c>
      <c r="FC94" s="172"/>
      <c r="FD94" s="172">
        <f>[27]MG!$Q$46</f>
        <v>5314.53</v>
      </c>
      <c r="FE94" s="172"/>
      <c r="FF94" s="172">
        <f>[27]MG!$T$46</f>
        <v>18201.3</v>
      </c>
      <c r="FG94" s="10">
        <f t="shared" ref="FG94:FG97" si="190">SUM(FA94:FF94)</f>
        <v>596366.82000000007</v>
      </c>
      <c r="FH94" s="172">
        <f>[27]MG!$V$46</f>
        <v>535314.07999999996</v>
      </c>
      <c r="FI94" s="172">
        <f>[27]MG!$W$46</f>
        <v>12085.61</v>
      </c>
      <c r="FJ94" s="172"/>
      <c r="FK94" s="172">
        <f>[27]MG!$U$46</f>
        <v>0</v>
      </c>
      <c r="FL94" s="172"/>
      <c r="FM94" s="172">
        <f>[27]MG!$X$46</f>
        <v>3527.61</v>
      </c>
      <c r="FN94" s="10">
        <f t="shared" ref="FN94:FN97" si="191">SUM(FH94:FM94)</f>
        <v>550927.29999999993</v>
      </c>
      <c r="FO94" s="10">
        <f>[28]MG!R31</f>
        <v>574704.32999999996</v>
      </c>
      <c r="FP94" s="10">
        <f>[28]MG!S31</f>
        <v>35972.47</v>
      </c>
      <c r="FQ94" s="10"/>
      <c r="FR94" s="10">
        <f>[28]MG!Q31</f>
        <v>17814.009999999998</v>
      </c>
      <c r="FS94" s="10"/>
      <c r="FT94" s="10">
        <f>[28]MG!T31</f>
        <v>14618.13</v>
      </c>
      <c r="FU94" s="10">
        <f t="shared" si="151"/>
        <v>643108.93999999994</v>
      </c>
      <c r="FV94" s="10">
        <f>[28]MG!V31</f>
        <v>550958.96</v>
      </c>
      <c r="FW94" s="10">
        <f>[28]MG!W31</f>
        <v>26132.89</v>
      </c>
      <c r="FX94" s="10"/>
      <c r="FY94" s="10">
        <f>[28]MG!U31</f>
        <v>2622.17</v>
      </c>
      <c r="FZ94" s="10"/>
      <c r="GA94" s="10">
        <f>[28]MG!X31</f>
        <v>2056.96</v>
      </c>
      <c r="GB94" s="10">
        <f t="shared" si="164"/>
        <v>581770.98</v>
      </c>
      <c r="GC94" s="149">
        <f t="shared" si="181"/>
        <v>1239475.76</v>
      </c>
      <c r="GD94" s="149">
        <f t="shared" si="166"/>
        <v>1132698.2799999998</v>
      </c>
      <c r="GE94" s="218"/>
      <c r="GG94" s="36"/>
      <c r="GH94" s="36"/>
      <c r="GI94" s="36"/>
      <c r="GJ94" s="36"/>
    </row>
    <row r="95" spans="1:192" s="5" customFormat="1" ht="25.5" x14ac:dyDescent="0.2">
      <c r="A95" s="248"/>
      <c r="B95" s="15" t="s">
        <v>218</v>
      </c>
      <c r="C95" s="1" t="s">
        <v>14</v>
      </c>
      <c r="D95" s="2">
        <v>45292</v>
      </c>
      <c r="E95" s="50"/>
      <c r="F95" s="50"/>
      <c r="G95" s="50"/>
      <c r="H95" s="50"/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  <c r="AJ95" s="50"/>
      <c r="AK95" s="50"/>
      <c r="AL95" s="50"/>
      <c r="AM95" s="50"/>
      <c r="AN95" s="50"/>
      <c r="AO95" s="50"/>
      <c r="AP95" s="50"/>
      <c r="AQ95" s="50"/>
      <c r="AR95" s="50"/>
      <c r="AS95" s="50"/>
      <c r="AT95" s="50"/>
      <c r="AU95" s="50"/>
      <c r="AV95" s="50"/>
      <c r="AW95" s="50"/>
      <c r="AX95" s="50"/>
      <c r="AY95" s="50"/>
      <c r="AZ95" s="50"/>
      <c r="BA95" s="50"/>
      <c r="BB95" s="50"/>
      <c r="BC95" s="50"/>
      <c r="BD95" s="50"/>
      <c r="BE95" s="50"/>
      <c r="BF95" s="82"/>
      <c r="BG95" s="82"/>
      <c r="BH95" s="82"/>
      <c r="BI95" s="82"/>
      <c r="BJ95" s="82"/>
      <c r="BK95" s="82"/>
      <c r="BL95" s="82"/>
      <c r="BM95" s="82"/>
      <c r="BN95" s="82"/>
      <c r="BO95" s="82"/>
      <c r="BP95" s="82"/>
      <c r="BQ95" s="82"/>
      <c r="BR95" s="82"/>
      <c r="BS95" s="82"/>
      <c r="BT95" s="82"/>
      <c r="BU95" s="82"/>
      <c r="BV95" s="82"/>
      <c r="BW95" s="82"/>
      <c r="BX95" s="82"/>
      <c r="BY95" s="82"/>
      <c r="BZ95" s="82"/>
      <c r="CA95" s="82"/>
      <c r="CB95" s="82"/>
      <c r="CC95" s="82"/>
      <c r="CD95" s="82"/>
      <c r="CE95" s="82"/>
      <c r="CF95" s="82"/>
      <c r="CG95" s="82"/>
      <c r="CH95" s="82"/>
      <c r="CI95" s="82"/>
      <c r="CJ95" s="82"/>
      <c r="CK95" s="82"/>
      <c r="CL95" s="82"/>
      <c r="CM95" s="82"/>
      <c r="CN95" s="82"/>
      <c r="CO95" s="82"/>
      <c r="CP95" s="82"/>
      <c r="CQ95" s="82"/>
      <c r="CR95" s="82"/>
      <c r="CS95" s="82"/>
      <c r="CT95" s="82"/>
      <c r="CU95" s="82"/>
      <c r="CV95" s="82"/>
      <c r="CW95" s="82"/>
      <c r="CX95" s="82"/>
      <c r="CY95" s="82"/>
      <c r="CZ95" s="82"/>
      <c r="DA95" s="82"/>
      <c r="DB95" s="82"/>
      <c r="DC95" s="82"/>
      <c r="DD95" s="82"/>
      <c r="DE95" s="82"/>
      <c r="DF95" s="82"/>
      <c r="DG95" s="82"/>
      <c r="DH95" s="82"/>
      <c r="DI95" s="82"/>
      <c r="DJ95" s="82"/>
      <c r="DK95" s="82"/>
      <c r="DL95" s="82"/>
      <c r="DM95" s="82"/>
      <c r="DN95" s="82"/>
      <c r="DO95" s="82"/>
      <c r="DP95" s="82"/>
      <c r="DQ95" s="82"/>
      <c r="DR95" s="82"/>
      <c r="DS95" s="82"/>
      <c r="DT95" s="82"/>
      <c r="DU95" s="82"/>
      <c r="DV95" s="82"/>
      <c r="DW95" s="82"/>
      <c r="DX95" s="82"/>
      <c r="DY95" s="82"/>
      <c r="DZ95" s="82"/>
      <c r="EA95" s="82"/>
      <c r="EB95" s="82"/>
      <c r="EC95" s="82"/>
      <c r="ED95" s="82"/>
      <c r="EE95" s="82"/>
      <c r="EF95" s="82"/>
      <c r="EG95" s="82"/>
      <c r="EH95" s="82"/>
      <c r="EI95" s="82"/>
      <c r="EJ95" s="82"/>
      <c r="EK95" s="82"/>
      <c r="EL95" s="82"/>
      <c r="EM95" s="10"/>
      <c r="EN95" s="10"/>
      <c r="EO95" s="10"/>
      <c r="EP95" s="10"/>
      <c r="EQ95" s="10"/>
      <c r="ER95" s="10"/>
      <c r="ES95" s="182"/>
      <c r="ET95" s="183"/>
      <c r="EU95" s="183"/>
      <c r="EV95" s="183"/>
      <c r="EW95" s="183"/>
      <c r="EX95" s="183"/>
      <c r="EY95" s="183"/>
      <c r="EZ95" s="184"/>
      <c r="FA95" s="184"/>
      <c r="FB95" s="184"/>
      <c r="FC95" s="184"/>
      <c r="FD95" s="184"/>
      <c r="FE95" s="184"/>
      <c r="FF95" s="184"/>
      <c r="FG95" s="214" t="s">
        <v>257</v>
      </c>
      <c r="FH95" s="215"/>
      <c r="FI95" s="215"/>
      <c r="FJ95" s="215"/>
      <c r="FK95" s="215"/>
      <c r="FL95" s="215"/>
      <c r="FM95" s="215"/>
      <c r="FN95" s="216"/>
      <c r="FO95" s="10">
        <f>[28]MG!R30</f>
        <v>798235.25</v>
      </c>
      <c r="FP95" s="10">
        <f>[28]MG!S30</f>
        <v>310032.3</v>
      </c>
      <c r="FQ95" s="10"/>
      <c r="FR95" s="10">
        <f>[28]MG!Q30</f>
        <v>93210.34</v>
      </c>
      <c r="FS95" s="10"/>
      <c r="FT95" s="10">
        <f>[28]MG!T30</f>
        <v>25670.06</v>
      </c>
      <c r="FU95" s="185">
        <f t="shared" si="151"/>
        <v>1227147.9500000002</v>
      </c>
      <c r="FV95" s="185">
        <f>[28]MG!V30</f>
        <v>542304.47</v>
      </c>
      <c r="FW95" s="185">
        <f>[28]MG!W30</f>
        <v>306651.31</v>
      </c>
      <c r="FX95" s="185"/>
      <c r="FY95" s="185">
        <f>[28]MG!U30</f>
        <v>17509.240000000002</v>
      </c>
      <c r="FZ95" s="185"/>
      <c r="GA95" s="185">
        <f>[28]MG!X30</f>
        <v>8642.7099999999991</v>
      </c>
      <c r="GB95" s="185">
        <f t="shared" si="164"/>
        <v>875107.73</v>
      </c>
      <c r="GC95" s="213">
        <f>FU95</f>
        <v>1227147.9500000002</v>
      </c>
      <c r="GD95" s="213">
        <f>AH95+AJ95+AL95+AN95+AP95+AR95+BF95+BT95+CH95+CV95+DJ95+DX95+EL95+EZ95+FN95+GB95</f>
        <v>875107.73</v>
      </c>
      <c r="GE95" s="218"/>
      <c r="GG95" s="36"/>
      <c r="GH95" s="36"/>
      <c r="GI95" s="36"/>
      <c r="GJ95" s="36"/>
    </row>
    <row r="96" spans="1:192" s="5" customFormat="1" ht="25.5" x14ac:dyDescent="0.2">
      <c r="A96" s="248"/>
      <c r="B96" s="15" t="s">
        <v>219</v>
      </c>
      <c r="C96" s="1" t="s">
        <v>14</v>
      </c>
      <c r="D96" s="2">
        <v>45292</v>
      </c>
      <c r="E96" s="50"/>
      <c r="F96" s="50"/>
      <c r="G96" s="50"/>
      <c r="H96" s="50"/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  <c r="AJ96" s="50"/>
      <c r="AK96" s="50"/>
      <c r="AL96" s="50"/>
      <c r="AM96" s="50"/>
      <c r="AN96" s="50"/>
      <c r="AO96" s="50"/>
      <c r="AP96" s="50"/>
      <c r="AQ96" s="50"/>
      <c r="AR96" s="50"/>
      <c r="AS96" s="50"/>
      <c r="AT96" s="50"/>
      <c r="AU96" s="50"/>
      <c r="AV96" s="50"/>
      <c r="AW96" s="50"/>
      <c r="AX96" s="50"/>
      <c r="AY96" s="50"/>
      <c r="AZ96" s="50"/>
      <c r="BA96" s="50"/>
      <c r="BB96" s="50"/>
      <c r="BC96" s="50"/>
      <c r="BD96" s="50"/>
      <c r="BE96" s="50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  <c r="CQ96" s="82"/>
      <c r="CR96" s="82"/>
      <c r="CS96" s="82"/>
      <c r="CT96" s="82"/>
      <c r="CU96" s="82"/>
      <c r="CV96" s="82"/>
      <c r="CW96" s="82"/>
      <c r="CX96" s="82"/>
      <c r="CY96" s="82"/>
      <c r="CZ96" s="82"/>
      <c r="DA96" s="82"/>
      <c r="DB96" s="82"/>
      <c r="DC96" s="82"/>
      <c r="DD96" s="82"/>
      <c r="DE96" s="82"/>
      <c r="DF96" s="82"/>
      <c r="DG96" s="82"/>
      <c r="DH96" s="82"/>
      <c r="DI96" s="82"/>
      <c r="DJ96" s="82"/>
      <c r="DK96" s="82"/>
      <c r="DL96" s="82"/>
      <c r="DM96" s="82"/>
      <c r="DN96" s="82"/>
      <c r="DO96" s="82"/>
      <c r="DP96" s="82"/>
      <c r="DQ96" s="82"/>
      <c r="DR96" s="82"/>
      <c r="DS96" s="82"/>
      <c r="DT96" s="82"/>
      <c r="DU96" s="82"/>
      <c r="DV96" s="82"/>
      <c r="DW96" s="82"/>
      <c r="DX96" s="82"/>
      <c r="DY96" s="82"/>
      <c r="DZ96" s="82"/>
      <c r="EA96" s="82"/>
      <c r="EB96" s="82"/>
      <c r="EC96" s="82"/>
      <c r="ED96" s="82"/>
      <c r="EE96" s="82"/>
      <c r="EF96" s="82"/>
      <c r="EG96" s="82"/>
      <c r="EH96" s="82"/>
      <c r="EI96" s="82"/>
      <c r="EJ96" s="82"/>
      <c r="EK96" s="82"/>
      <c r="EL96" s="82"/>
      <c r="EM96" s="10"/>
      <c r="EN96" s="10"/>
      <c r="EO96" s="10"/>
      <c r="EP96" s="10"/>
      <c r="EQ96" s="10"/>
      <c r="ER96" s="10"/>
      <c r="ES96" s="182"/>
      <c r="ET96" s="183"/>
      <c r="EU96" s="183"/>
      <c r="EV96" s="183"/>
      <c r="EW96" s="183"/>
      <c r="EX96" s="183"/>
      <c r="EY96" s="183"/>
      <c r="EZ96" s="184"/>
      <c r="FA96" s="184"/>
      <c r="FB96" s="184"/>
      <c r="FC96" s="184"/>
      <c r="FD96" s="184"/>
      <c r="FE96" s="184"/>
      <c r="FF96" s="184"/>
      <c r="FG96" s="214" t="s">
        <v>257</v>
      </c>
      <c r="FH96" s="215"/>
      <c r="FI96" s="215"/>
      <c r="FJ96" s="215"/>
      <c r="FK96" s="215"/>
      <c r="FL96" s="215"/>
      <c r="FM96" s="215"/>
      <c r="FN96" s="216"/>
      <c r="FO96" s="10">
        <f>[28]MG!R32</f>
        <v>144085.59</v>
      </c>
      <c r="FP96" s="10">
        <f>[28]MG!S32</f>
        <v>14331.35</v>
      </c>
      <c r="FQ96" s="10"/>
      <c r="FR96" s="10">
        <f>[28]MG!Q32</f>
        <v>31081.7</v>
      </c>
      <c r="FS96" s="10"/>
      <c r="FT96" s="10">
        <f>[28]MG!T32</f>
        <v>11419.25</v>
      </c>
      <c r="FU96" s="185">
        <f t="shared" si="151"/>
        <v>200917.89</v>
      </c>
      <c r="FV96" s="185">
        <f>[28]MG!V32</f>
        <v>25744.5</v>
      </c>
      <c r="FW96" s="185">
        <f>[28]MG!W32</f>
        <v>11785.4</v>
      </c>
      <c r="FX96" s="185"/>
      <c r="FY96" s="185">
        <f>[28]MG!U32</f>
        <v>15482.18</v>
      </c>
      <c r="FZ96" s="185"/>
      <c r="GA96" s="185">
        <f>[28]MG!X32</f>
        <v>2266.27</v>
      </c>
      <c r="GB96" s="185">
        <f t="shared" si="164"/>
        <v>55278.35</v>
      </c>
      <c r="GC96" s="213">
        <f>FU96</f>
        <v>200917.89</v>
      </c>
      <c r="GD96" s="213">
        <f t="shared" si="166"/>
        <v>55278.35</v>
      </c>
      <c r="GE96" s="218"/>
      <c r="GG96" s="36"/>
      <c r="GH96" s="36"/>
      <c r="GI96" s="36"/>
      <c r="GJ96" s="36"/>
    </row>
    <row r="97" spans="1:192" s="5" customFormat="1" ht="12.75" x14ac:dyDescent="0.2">
      <c r="A97" s="248"/>
      <c r="B97" s="15" t="s">
        <v>172</v>
      </c>
      <c r="C97" s="1" t="s">
        <v>14</v>
      </c>
      <c r="D97" s="2"/>
      <c r="E97" s="50"/>
      <c r="F97" s="50"/>
      <c r="G97" s="50"/>
      <c r="H97" s="50"/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  <c r="AJ97" s="50"/>
      <c r="AK97" s="50"/>
      <c r="AL97" s="50"/>
      <c r="AM97" s="50"/>
      <c r="AN97" s="50"/>
      <c r="AO97" s="50"/>
      <c r="AP97" s="50"/>
      <c r="AQ97" s="50"/>
      <c r="AR97" s="50"/>
      <c r="AS97" s="50"/>
      <c r="AT97" s="50"/>
      <c r="AU97" s="50"/>
      <c r="AV97" s="50"/>
      <c r="AW97" s="50"/>
      <c r="AX97" s="50"/>
      <c r="AY97" s="50"/>
      <c r="AZ97" s="50"/>
      <c r="BA97" s="50"/>
      <c r="BB97" s="50"/>
      <c r="BC97" s="50"/>
      <c r="BD97" s="50"/>
      <c r="BE97" s="50"/>
      <c r="BF97" s="82"/>
      <c r="BG97" s="82"/>
      <c r="BH97" s="82"/>
      <c r="BI97" s="82"/>
      <c r="BJ97" s="82"/>
      <c r="BK97" s="82"/>
      <c r="BL97" s="82"/>
      <c r="BM97" s="82"/>
      <c r="BN97" s="82"/>
      <c r="BO97" s="82"/>
      <c r="BP97" s="82"/>
      <c r="BQ97" s="82"/>
      <c r="BR97" s="82"/>
      <c r="BS97" s="82"/>
      <c r="BT97" s="82"/>
      <c r="BU97" s="82"/>
      <c r="BV97" s="82"/>
      <c r="BW97" s="82"/>
      <c r="BX97" s="82"/>
      <c r="BY97" s="82"/>
      <c r="BZ97" s="82"/>
      <c r="CA97" s="82"/>
      <c r="CB97" s="82"/>
      <c r="CC97" s="82"/>
      <c r="CD97" s="82"/>
      <c r="CE97" s="82"/>
      <c r="CF97" s="82"/>
      <c r="CG97" s="82"/>
      <c r="CH97" s="82"/>
      <c r="CI97" s="82"/>
      <c r="CJ97" s="82"/>
      <c r="CK97" s="82"/>
      <c r="CL97" s="82"/>
      <c r="CM97" s="82"/>
      <c r="CN97" s="82"/>
      <c r="CO97" s="82"/>
      <c r="CP97" s="82"/>
      <c r="CQ97" s="82"/>
      <c r="CR97" s="82"/>
      <c r="CS97" s="82"/>
      <c r="CT97" s="82"/>
      <c r="CU97" s="82"/>
      <c r="CV97" s="82"/>
      <c r="CW97" s="82"/>
      <c r="CX97" s="82"/>
      <c r="CY97" s="82"/>
      <c r="CZ97" s="82"/>
      <c r="DA97" s="82"/>
      <c r="DB97" s="82"/>
      <c r="DC97" s="82"/>
      <c r="DD97" s="82"/>
      <c r="DE97" s="82"/>
      <c r="DF97" s="82"/>
      <c r="DG97" s="82"/>
      <c r="DH97" s="82"/>
      <c r="DI97" s="82"/>
      <c r="DJ97" s="82"/>
      <c r="DK97" s="82"/>
      <c r="DL97" s="82"/>
      <c r="DM97" s="82"/>
      <c r="DN97" s="82"/>
      <c r="DO97" s="82"/>
      <c r="DP97" s="82"/>
      <c r="DQ97" s="82"/>
      <c r="DR97" s="82"/>
      <c r="DS97" s="82"/>
      <c r="DT97" s="82"/>
      <c r="DU97" s="82"/>
      <c r="DV97" s="82"/>
      <c r="DW97" s="82"/>
      <c r="DX97" s="82"/>
      <c r="DY97" s="82"/>
      <c r="DZ97" s="82"/>
      <c r="EA97" s="82"/>
      <c r="EB97" s="82"/>
      <c r="EC97" s="82"/>
      <c r="ED97" s="82"/>
      <c r="EE97" s="82"/>
      <c r="EF97" s="82"/>
      <c r="EG97" s="82"/>
      <c r="EH97" s="82"/>
      <c r="EI97" s="82"/>
      <c r="EJ97" s="82"/>
      <c r="EK97" s="82"/>
      <c r="EL97" s="146">
        <f>[26]MG!$Q$244</f>
        <v>68238.179999999993</v>
      </c>
      <c r="EM97" s="10"/>
      <c r="EN97" s="10"/>
      <c r="EO97" s="10"/>
      <c r="EP97" s="10"/>
      <c r="EQ97" s="10"/>
      <c r="ER97" s="10"/>
      <c r="ES97" s="50"/>
      <c r="ET97" s="50"/>
      <c r="EU97" s="50"/>
      <c r="EV97" s="50"/>
      <c r="EW97" s="50"/>
      <c r="EX97" s="50"/>
      <c r="EY97" s="50"/>
      <c r="EZ97" s="10">
        <f>[26]MG!$R$243+[26]MG!$R$244</f>
        <v>186855.61</v>
      </c>
      <c r="FA97" s="10"/>
      <c r="FB97" s="10"/>
      <c r="FC97" s="10"/>
      <c r="FD97" s="10"/>
      <c r="FE97" s="10"/>
      <c r="FF97" s="10"/>
      <c r="FG97" s="10">
        <f t="shared" si="190"/>
        <v>0</v>
      </c>
      <c r="FH97" s="10"/>
      <c r="FI97" s="10"/>
      <c r="FJ97" s="10"/>
      <c r="FK97" s="10"/>
      <c r="FL97" s="10"/>
      <c r="FM97" s="10"/>
      <c r="FN97" s="10">
        <f t="shared" si="191"/>
        <v>0</v>
      </c>
      <c r="FO97" s="10">
        <f t="shared" ref="FO97" si="192">SUM(FI97:FN97)</f>
        <v>0</v>
      </c>
      <c r="FP97" s="10">
        <f t="shared" ref="FP97" si="193">SUM(FJ97:FO97)</f>
        <v>0</v>
      </c>
      <c r="FQ97" s="10">
        <f t="shared" ref="FQ97" si="194">SUM(FK97:FP97)</f>
        <v>0</v>
      </c>
      <c r="FR97" s="10">
        <f t="shared" ref="FR97" si="195">SUM(FL97:FQ97)</f>
        <v>0</v>
      </c>
      <c r="FS97" s="10">
        <f t="shared" ref="FS97" si="196">SUM(FM97:FR97)</f>
        <v>0</v>
      </c>
      <c r="FT97" s="10">
        <f t="shared" ref="FT97" si="197">SUM(FN97:FS97)</f>
        <v>0</v>
      </c>
      <c r="FU97" s="10">
        <f t="shared" ref="FU97" si="198">SUM(FO97:FT97)</f>
        <v>0</v>
      </c>
      <c r="FV97" s="10">
        <f t="shared" ref="FV97" si="199">SUM(FP97:FU97)</f>
        <v>0</v>
      </c>
      <c r="FW97" s="10">
        <f t="shared" ref="FW97" si="200">SUM(FQ97:FV97)</f>
        <v>0</v>
      </c>
      <c r="FX97" s="10">
        <f t="shared" ref="FX97" si="201">SUM(FR97:FW97)</f>
        <v>0</v>
      </c>
      <c r="FY97" s="10">
        <f t="shared" ref="FY97" si="202">SUM(FS97:FX97)</f>
        <v>0</v>
      </c>
      <c r="FZ97" s="10">
        <f t="shared" ref="FZ97" si="203">SUM(FT97:FY97)</f>
        <v>0</v>
      </c>
      <c r="GA97" s="10">
        <f t="shared" ref="GA97" si="204">SUM(FU97:FZ97)</f>
        <v>0</v>
      </c>
      <c r="GB97" s="10">
        <f t="shared" ref="GB97" si="205">SUM(FV97:GA97)</f>
        <v>0</v>
      </c>
      <c r="GC97" s="149">
        <f t="shared" ref="GC97" si="206">FG97</f>
        <v>0</v>
      </c>
      <c r="GD97" s="149">
        <f t="shared" si="166"/>
        <v>255093.78999999998</v>
      </c>
      <c r="GE97" s="219"/>
      <c r="GG97" s="36"/>
      <c r="GH97" s="36"/>
      <c r="GI97" s="36"/>
      <c r="GJ97" s="36"/>
    </row>
    <row r="98" spans="1:192" s="5" customFormat="1" ht="12.75" x14ac:dyDescent="0.2">
      <c r="A98" s="248"/>
      <c r="B98" s="259" t="s">
        <v>40</v>
      </c>
      <c r="C98" s="260"/>
      <c r="D98" s="260"/>
      <c r="E98" s="13">
        <f t="shared" ref="E98" si="207">SUM(E61:E97)</f>
        <v>0</v>
      </c>
      <c r="F98" s="13">
        <f t="shared" ref="F98" si="208">SUM(F61:F97)</f>
        <v>0</v>
      </c>
      <c r="G98" s="13">
        <f t="shared" ref="G98" si="209">SUM(G61:G97)</f>
        <v>0</v>
      </c>
      <c r="H98" s="13">
        <f t="shared" ref="H98" si="210">SUM(H61:H97)</f>
        <v>0</v>
      </c>
      <c r="I98" s="13">
        <f t="shared" ref="I98" si="211">SUM(I61:I97)</f>
        <v>0</v>
      </c>
      <c r="J98" s="13">
        <f t="shared" ref="J98" si="212">SUM(J61:J97)</f>
        <v>0</v>
      </c>
      <c r="K98" s="13">
        <f t="shared" ref="K98" si="213">SUM(K61:K97)</f>
        <v>0</v>
      </c>
      <c r="L98" s="13">
        <f t="shared" ref="L98" si="214">SUM(L61:L97)</f>
        <v>0</v>
      </c>
      <c r="M98" s="13">
        <f t="shared" ref="M98" si="215">SUM(M61:M97)</f>
        <v>0</v>
      </c>
      <c r="N98" s="13">
        <f t="shared" ref="N98" si="216">SUM(N61:N97)</f>
        <v>0</v>
      </c>
      <c r="O98" s="13">
        <f t="shared" ref="O98" si="217">SUM(O61:O97)</f>
        <v>0</v>
      </c>
      <c r="P98" s="13">
        <f t="shared" ref="P98" si="218">SUM(P61:P97)</f>
        <v>0</v>
      </c>
      <c r="Q98" s="13">
        <f t="shared" ref="Q98" si="219">SUM(Q61:Q97)</f>
        <v>0</v>
      </c>
      <c r="R98" s="13">
        <f t="shared" ref="R98" si="220">SUM(R61:R97)</f>
        <v>0</v>
      </c>
      <c r="S98" s="13">
        <f t="shared" ref="S98" si="221">SUM(S61:S97)</f>
        <v>0</v>
      </c>
      <c r="T98" s="13">
        <f t="shared" ref="T98" si="222">SUM(T61:T97)</f>
        <v>0</v>
      </c>
      <c r="U98" s="13">
        <f t="shared" ref="U98" si="223">SUM(U61:U97)</f>
        <v>0</v>
      </c>
      <c r="V98" s="13">
        <f t="shared" ref="V98" si="224">SUM(V61:V97)</f>
        <v>0</v>
      </c>
      <c r="W98" s="13">
        <f t="shared" ref="W98" si="225">SUM(W61:W97)</f>
        <v>0</v>
      </c>
      <c r="X98" s="13">
        <f t="shared" ref="X98" si="226">SUM(X61:X97)</f>
        <v>0</v>
      </c>
      <c r="Y98" s="13">
        <f t="shared" ref="Y98" si="227">SUM(Y61:Y97)</f>
        <v>0</v>
      </c>
      <c r="Z98" s="13">
        <f t="shared" ref="Z98" si="228">SUM(Z61:Z97)</f>
        <v>0</v>
      </c>
      <c r="AA98" s="13">
        <f t="shared" ref="AA98" si="229">SUM(AA61:AA97)</f>
        <v>0</v>
      </c>
      <c r="AB98" s="13">
        <f t="shared" ref="AB98" si="230">SUM(AB61:AB97)</f>
        <v>0</v>
      </c>
      <c r="AC98" s="13">
        <f t="shared" ref="AC98" si="231">SUM(AC61:AC97)</f>
        <v>0</v>
      </c>
      <c r="AD98" s="13">
        <f t="shared" ref="AD98" si="232">SUM(AD61:AD97)</f>
        <v>0</v>
      </c>
      <c r="AE98" s="13">
        <f t="shared" ref="AE98" si="233">SUM(AE61:AE97)</f>
        <v>0</v>
      </c>
      <c r="AF98" s="13">
        <f t="shared" ref="AF98" si="234">SUM(AF61:AF97)</f>
        <v>0</v>
      </c>
      <c r="AG98" s="13">
        <f t="shared" ref="AG98" si="235">SUM(AG61:AG97)</f>
        <v>11595350.910000024</v>
      </c>
      <c r="AH98" s="13">
        <f t="shared" ref="AH98" si="236">SUM(AH61:AH97)</f>
        <v>10675689.930000016</v>
      </c>
      <c r="AI98" s="13">
        <f t="shared" ref="AI98" si="237">SUM(AI61:AI97)</f>
        <v>14228500.690000026</v>
      </c>
      <c r="AJ98" s="13">
        <f t="shared" ref="AJ98" si="238">SUM(AJ61:AJ97)</f>
        <v>12957456.839999994</v>
      </c>
      <c r="AK98" s="13">
        <f t="shared" ref="AK98" si="239">SUM(AK61:AK97)</f>
        <v>21820711.933599994</v>
      </c>
      <c r="AL98" s="13">
        <f t="shared" ref="AL98" si="240">SUM(AL61:AL97)</f>
        <v>20294048.25</v>
      </c>
      <c r="AM98" s="13">
        <f t="shared" ref="AM98" si="241">SUM(AM61:AM97)</f>
        <v>31877735.020000014</v>
      </c>
      <c r="AN98" s="13">
        <f t="shared" ref="AN98" si="242">SUM(AN61:AN97)</f>
        <v>29249830.22000001</v>
      </c>
      <c r="AO98" s="13">
        <f t="shared" ref="AO98" si="243">SUM(AO61:AO97)</f>
        <v>33221266.09000003</v>
      </c>
      <c r="AP98" s="13">
        <f t="shared" ref="AP98" si="244">SUM(AP61:AP97)</f>
        <v>30056303.810000002</v>
      </c>
      <c r="AQ98" s="13">
        <f t="shared" ref="AQ98" si="245">SUM(AQ61:AQ97)</f>
        <v>35619810.160000011</v>
      </c>
      <c r="AR98" s="13">
        <f t="shared" ref="AR98" si="246">SUM(AR61:AR97)</f>
        <v>32235307.359999996</v>
      </c>
      <c r="AS98" s="13">
        <f t="shared" ref="AS98" si="247">SUM(AS61:AS97)</f>
        <v>22125202.549999993</v>
      </c>
      <c r="AT98" s="13">
        <f t="shared" ref="AT98" si="248">SUM(AT61:AT97)</f>
        <v>7064718.6900000013</v>
      </c>
      <c r="AU98" s="13">
        <f t="shared" ref="AU98" si="249">SUM(AU61:AU97)</f>
        <v>10305597.289999997</v>
      </c>
      <c r="AV98" s="13">
        <f t="shared" ref="AV98" si="250">SUM(AV61:AV97)</f>
        <v>1620479.3800000004</v>
      </c>
      <c r="AW98" s="13">
        <f t="shared" ref="AW98" si="251">SUM(AW61:AW97)</f>
        <v>0</v>
      </c>
      <c r="AX98" s="13">
        <f t="shared" ref="AX98" si="252">SUM(AX61:AX97)</f>
        <v>993648.46000000078</v>
      </c>
      <c r="AY98" s="13">
        <f t="shared" ref="AY98" si="253">SUM(AY61:AY97)</f>
        <v>42109646.36999999</v>
      </c>
      <c r="AZ98" s="13">
        <f t="shared" ref="AZ98" si="254">SUM(AZ61:AZ97)</f>
        <v>19370826.929999996</v>
      </c>
      <c r="BA98" s="13">
        <f t="shared" ref="BA98" si="255">SUM(BA61:BA97)</f>
        <v>6641378.9799999977</v>
      </c>
      <c r="BB98" s="13">
        <f t="shared" ref="BB98" si="256">SUM(BB61:BB97)</f>
        <v>10386308.379999999</v>
      </c>
      <c r="BC98" s="13">
        <f t="shared" ref="BC98" si="257">SUM(BC61:BC97)</f>
        <v>1308698.5000000016</v>
      </c>
      <c r="BD98" s="13">
        <f t="shared" ref="BD98" si="258">SUM(BD61:BD97)</f>
        <v>0</v>
      </c>
      <c r="BE98" s="13">
        <f t="shared" ref="BE98" si="259">SUM(BE61:BE97)</f>
        <v>752693.23000000033</v>
      </c>
      <c r="BF98" s="13">
        <f t="shared" ref="BF98" si="260">SUM(BF61:BF97)</f>
        <v>38459906.020000003</v>
      </c>
      <c r="BG98" s="13">
        <f t="shared" ref="BG98" si="261">SUM(BG61:BG97)</f>
        <v>31513214.369999994</v>
      </c>
      <c r="BH98" s="13">
        <f t="shared" ref="BH98" si="262">SUM(BH61:BH97)</f>
        <v>7585683.7399999984</v>
      </c>
      <c r="BI98" s="13">
        <f t="shared" ref="BI98" si="263">SUM(BI61:BI97)</f>
        <v>11290508.100000001</v>
      </c>
      <c r="BJ98" s="13">
        <f t="shared" ref="BJ98" si="264">SUM(BJ61:BJ97)</f>
        <v>1521605.1799999997</v>
      </c>
      <c r="BK98" s="13">
        <f t="shared" ref="BK98" si="265">SUM(BK61:BK97)</f>
        <v>0</v>
      </c>
      <c r="BL98" s="13">
        <f t="shared" ref="BL98" si="266">SUM(BL61:BL97)</f>
        <v>971262.79999999865</v>
      </c>
      <c r="BM98" s="13">
        <f t="shared" ref="BM98" si="267">SUM(BM61:BM97)</f>
        <v>52882274.190000005</v>
      </c>
      <c r="BN98" s="13">
        <f t="shared" ref="BN98" si="268">SUM(BN61:BN97)</f>
        <v>21482174.499999996</v>
      </c>
      <c r="BO98" s="13">
        <f t="shared" ref="BO98" si="269">SUM(BO61:BO97)</f>
        <v>7180475.0999999987</v>
      </c>
      <c r="BP98" s="13">
        <f t="shared" ref="BP98" si="270">SUM(BP61:BP97)</f>
        <v>9394296.7599999998</v>
      </c>
      <c r="BQ98" s="13">
        <f t="shared" ref="BQ98" si="271">SUM(BQ61:BQ97)</f>
        <v>1102969.3999999997</v>
      </c>
      <c r="BR98" s="13">
        <f t="shared" ref="BR98" si="272">SUM(BR61:BR97)</f>
        <v>0</v>
      </c>
      <c r="BS98" s="13">
        <f t="shared" ref="BS98" si="273">SUM(BS61:BS97)</f>
        <v>612968.43999999843</v>
      </c>
      <c r="BT98" s="13">
        <f t="shared" ref="BT98" si="274">SUM(BT61:BT97)</f>
        <v>39772884.199999988</v>
      </c>
      <c r="BU98" s="13">
        <f t="shared" ref="BU98" si="275">SUM(BU61:BU97)</f>
        <v>28916957.43</v>
      </c>
      <c r="BV98" s="13">
        <f t="shared" ref="BV98" si="276">SUM(BV61:BV97)</f>
        <v>6964941.6999999983</v>
      </c>
      <c r="BW98" s="13">
        <f t="shared" ref="BW98" si="277">SUM(BW61:BW97)</f>
        <v>9881934.2200000007</v>
      </c>
      <c r="BX98" s="13">
        <f t="shared" ref="BX98" si="278">SUM(BX61:BX97)</f>
        <v>1796730.4799999995</v>
      </c>
      <c r="BY98" s="13">
        <f t="shared" ref="BY98" si="279">SUM(BY61:BY97)</f>
        <v>0</v>
      </c>
      <c r="BZ98" s="13">
        <f t="shared" ref="BZ98" si="280">SUM(BZ61:BZ97)</f>
        <v>566401.82000000007</v>
      </c>
      <c r="CA98" s="13">
        <f t="shared" ref="CA98" si="281">SUM(CA61:CA97)</f>
        <v>48126965.649999991</v>
      </c>
      <c r="CB98" s="13">
        <f t="shared" ref="CB98" si="282">SUM(CB61:CB97)</f>
        <v>24281552.61206729</v>
      </c>
      <c r="CC98" s="13">
        <f t="shared" ref="CC98" si="283">SUM(CC61:CC97)</f>
        <v>6721750.1122721164</v>
      </c>
      <c r="CD98" s="13">
        <f t="shared" ref="CD98" si="284">SUM(CD61:CD97)</f>
        <v>11695323.004411835</v>
      </c>
      <c r="CE98" s="13">
        <f t="shared" ref="CE98" si="285">SUM(CE61:CE97)</f>
        <v>1546409.8236506348</v>
      </c>
      <c r="CF98" s="13">
        <f t="shared" ref="CF98" si="286">SUM(CF61:CF97)</f>
        <v>0</v>
      </c>
      <c r="CG98" s="13">
        <f t="shared" ref="CG98" si="287">SUM(CG61:CG97)</f>
        <v>518509.96588726458</v>
      </c>
      <c r="CH98" s="13">
        <f t="shared" ref="CH98" si="288">SUM(CH61:CH97)</f>
        <v>44763545.518289141</v>
      </c>
      <c r="CI98" s="13">
        <f t="shared" ref="CI98" si="289">SUM(CI61:CI97)</f>
        <v>27879431.069999997</v>
      </c>
      <c r="CJ98" s="13">
        <f t="shared" ref="CJ98" si="290">SUM(CJ61:CJ97)</f>
        <v>6885151.660000002</v>
      </c>
      <c r="CK98" s="13">
        <f t="shared" ref="CK98" si="291">SUM(CK61:CK97)</f>
        <v>8496304.7800000012</v>
      </c>
      <c r="CL98" s="13">
        <f t="shared" ref="CL98" si="292">SUM(CL61:CL97)</f>
        <v>1790378.8899999983</v>
      </c>
      <c r="CM98" s="13">
        <f t="shared" ref="CM98" si="293">SUM(CM61:CM97)</f>
        <v>0</v>
      </c>
      <c r="CN98" s="13">
        <f t="shared" ref="CN98" si="294">SUM(CN61:CN97)</f>
        <v>531048.72999999952</v>
      </c>
      <c r="CO98" s="13">
        <f t="shared" ref="CO98" si="295">SUM(CO61:CO97)</f>
        <v>45582315.13000001</v>
      </c>
      <c r="CP98" s="13">
        <f t="shared" ref="CP98" si="296">SUM(CP61:CP97)</f>
        <v>20358631.225912906</v>
      </c>
      <c r="CQ98" s="13">
        <f t="shared" ref="CQ98" si="297">SUM(CQ61:CQ97)</f>
        <v>6129911.1843236759</v>
      </c>
      <c r="CR98" s="13">
        <f t="shared" ref="CR98" si="298">SUM(CR61:CR97)</f>
        <v>8999871.7384082172</v>
      </c>
      <c r="CS98" s="13">
        <f t="shared" ref="CS98" si="299">SUM(CS61:CS97)</f>
        <v>1487498.3439850458</v>
      </c>
      <c r="CT98" s="13">
        <f t="shared" ref="CT98" si="300">SUM(CT61:CT97)</f>
        <v>0</v>
      </c>
      <c r="CU98" s="13">
        <f t="shared" ref="CU98" si="301">SUM(CU61:CU97)</f>
        <v>521686.59081856237</v>
      </c>
      <c r="CV98" s="13">
        <f t="shared" ref="CV98" si="302">SUM(CV61:CV97)</f>
        <v>37497599.083448403</v>
      </c>
      <c r="CW98" s="13">
        <f t="shared" ref="CW98" si="303">SUM(CW61:CW97)</f>
        <v>23077960.609999999</v>
      </c>
      <c r="CX98" s="13">
        <f t="shared" ref="CX98" si="304">SUM(CX61:CX97)</f>
        <v>5812058.54</v>
      </c>
      <c r="CY98" s="13">
        <f t="shared" ref="CY98" si="305">SUM(CY61:CY97)</f>
        <v>8453119.1799999997</v>
      </c>
      <c r="CZ98" s="13">
        <f t="shared" ref="CZ98" si="306">SUM(CZ61:CZ97)</f>
        <v>1462398.7699999996</v>
      </c>
      <c r="DA98" s="13">
        <f t="shared" ref="DA98" si="307">SUM(DA61:DA97)</f>
        <v>0</v>
      </c>
      <c r="DB98" s="13">
        <f t="shared" ref="DB98" si="308">SUM(DB61:DB97)</f>
        <v>1899472.0500000024</v>
      </c>
      <c r="DC98" s="13">
        <f t="shared" ref="DC98" si="309">SUM(DC61:DC97)</f>
        <v>40705009.150000006</v>
      </c>
      <c r="DD98" s="13">
        <f t="shared" ref="DD98" si="310">SUM(DD61:DD97)</f>
        <v>21187102.15870335</v>
      </c>
      <c r="DE98" s="13">
        <f t="shared" ref="DE98" si="311">SUM(DE61:DE97)</f>
        <v>5946709.0394028407</v>
      </c>
      <c r="DF98" s="13">
        <f t="shared" ref="DF98" si="312">SUM(DF61:DF97)</f>
        <v>8602097.361555893</v>
      </c>
      <c r="DG98" s="13">
        <f t="shared" ref="DG98" si="313">SUM(DG61:DG97)</f>
        <v>1183595.9258567349</v>
      </c>
      <c r="DH98" s="13">
        <f t="shared" ref="DH98" si="314">SUM(DH61:DH97)</f>
        <v>0</v>
      </c>
      <c r="DI98" s="13">
        <f t="shared" ref="DI98" si="315">SUM(DI61:DI97)</f>
        <v>380423.84096142935</v>
      </c>
      <c r="DJ98" s="13">
        <f t="shared" ref="DJ98" si="316">SUM(DJ61:DJ97)</f>
        <v>37299928.326480255</v>
      </c>
      <c r="DK98" s="13">
        <f t="shared" ref="DK98" si="317">SUM(DK61:DK97)</f>
        <v>16862148.789999999</v>
      </c>
      <c r="DL98" s="13">
        <f t="shared" ref="DL98" si="318">SUM(DL61:DL97)</f>
        <v>2982132.669999999</v>
      </c>
      <c r="DM98" s="13">
        <f t="shared" ref="DM98" si="319">SUM(DM61:DM97)</f>
        <v>6225508.8099999996</v>
      </c>
      <c r="DN98" s="13">
        <f t="shared" ref="DN98" si="320">SUM(DN61:DN97)</f>
        <v>1927593.4599999951</v>
      </c>
      <c r="DO98" s="13">
        <f t="shared" ref="DO98" si="321">SUM(DO61:DO97)</f>
        <v>0</v>
      </c>
      <c r="DP98" s="13">
        <f t="shared" ref="DP98" si="322">SUM(DP61:DP97)</f>
        <v>5720597.940000006</v>
      </c>
      <c r="DQ98" s="13">
        <f t="shared" ref="DQ98" si="323">SUM(DQ61:DQ97)</f>
        <v>33717981.670000002</v>
      </c>
      <c r="DR98" s="13">
        <f t="shared" ref="DR98" si="324">SUM(DR61:DR97)</f>
        <v>14296108.530395437</v>
      </c>
      <c r="DS98" s="13">
        <f t="shared" ref="DS98" si="325">SUM(DS61:DS97)</f>
        <v>2195791.7813885207</v>
      </c>
      <c r="DT98" s="13">
        <f t="shared" ref="DT98" si="326">SUM(DT61:DT97)</f>
        <v>3938693.6073738048</v>
      </c>
      <c r="DU98" s="13">
        <f t="shared" ref="DU98" si="327">SUM(DU61:DU97)</f>
        <v>519137.35000000003</v>
      </c>
      <c r="DV98" s="13">
        <f t="shared" ref="DV98" si="328">SUM(DV61:DV97)</f>
        <v>0</v>
      </c>
      <c r="DW98" s="13">
        <f t="shared" ref="DW98" si="329">SUM(DW61:DW97)</f>
        <v>1162651.7805105522</v>
      </c>
      <c r="DX98" s="13">
        <f t="shared" ref="DX98" si="330">SUM(DX61:DX97)</f>
        <v>22112383.049668308</v>
      </c>
      <c r="DY98" s="13">
        <f t="shared" ref="DY98" si="331">SUM(DY61:DY97)</f>
        <v>19970915.09</v>
      </c>
      <c r="DZ98" s="13">
        <f t="shared" ref="DZ98" si="332">SUM(DZ61:DZ97)</f>
        <v>11610809.220000001</v>
      </c>
      <c r="EA98" s="13">
        <f t="shared" ref="EA98" si="333">SUM(EA61:EA97)</f>
        <v>7724739.1700000018</v>
      </c>
      <c r="EB98" s="13">
        <f t="shared" ref="EB98" si="334">SUM(EB61:EB97)</f>
        <v>6595996.8499999912</v>
      </c>
      <c r="EC98" s="13">
        <f t="shared" ref="EC98" si="335">SUM(EC61:EC97)</f>
        <v>0</v>
      </c>
      <c r="ED98" s="13">
        <f t="shared" ref="ED98" si="336">SUM(ED61:ED97)</f>
        <v>2822608.9499999997</v>
      </c>
      <c r="EE98" s="13">
        <f t="shared" ref="EE98:EK98" si="337">SUM(EE61:EE97)</f>
        <v>48725069.279999986</v>
      </c>
      <c r="EF98" s="13">
        <f t="shared" si="337"/>
        <v>17421332.259999994</v>
      </c>
      <c r="EG98" s="13">
        <f t="shared" si="337"/>
        <v>9912105.3300000038</v>
      </c>
      <c r="EH98" s="13">
        <f t="shared" si="337"/>
        <v>7717881.9700000016</v>
      </c>
      <c r="EI98" s="13">
        <f t="shared" si="337"/>
        <v>2077333.4300000025</v>
      </c>
      <c r="EJ98" s="13">
        <f t="shared" si="337"/>
        <v>0</v>
      </c>
      <c r="EK98" s="13">
        <f t="shared" si="337"/>
        <v>1763270.3200000003</v>
      </c>
      <c r="EL98" s="13">
        <f>SUM(EL61:EL97)</f>
        <v>38960161.49000001</v>
      </c>
      <c r="EM98" s="13">
        <f t="shared" ref="EM98:FL98" si="338">SUM(EM61:EM97)</f>
        <v>37203116.399999991</v>
      </c>
      <c r="EN98" s="13">
        <f t="shared" si="338"/>
        <v>23699383.250000004</v>
      </c>
      <c r="EO98" s="13">
        <f t="shared" si="338"/>
        <v>9571888.6599999983</v>
      </c>
      <c r="EP98" s="13">
        <f t="shared" si="338"/>
        <v>18066994.29999999</v>
      </c>
      <c r="EQ98" s="13">
        <f t="shared" si="338"/>
        <v>0</v>
      </c>
      <c r="ER98" s="13">
        <f t="shared" si="338"/>
        <v>6645754.4999999991</v>
      </c>
      <c r="ES98" s="13">
        <f t="shared" si="338"/>
        <v>95187137.109999999</v>
      </c>
      <c r="ET98" s="13">
        <f t="shared" si="338"/>
        <v>32517304.120000001</v>
      </c>
      <c r="EU98" s="13">
        <f t="shared" si="338"/>
        <v>17204542.199999996</v>
      </c>
      <c r="EV98" s="13">
        <f t="shared" si="338"/>
        <v>7994657.2599999988</v>
      </c>
      <c r="EW98" s="13">
        <f t="shared" si="338"/>
        <v>7850351.1799999988</v>
      </c>
      <c r="EX98" s="13">
        <f t="shared" si="338"/>
        <v>0</v>
      </c>
      <c r="EY98" s="13">
        <f t="shared" si="338"/>
        <v>4768521.13</v>
      </c>
      <c r="EZ98" s="13">
        <f t="shared" si="338"/>
        <v>70522231.499999985</v>
      </c>
      <c r="FA98" s="13">
        <f>SUM(FA61:FA97)</f>
        <v>58108988.069999993</v>
      </c>
      <c r="FB98" s="13">
        <f t="shared" si="338"/>
        <v>45237558.95000001</v>
      </c>
      <c r="FC98" s="13">
        <f t="shared" si="338"/>
        <v>0</v>
      </c>
      <c r="FD98" s="13">
        <f t="shared" si="338"/>
        <v>34563806.440000005</v>
      </c>
      <c r="FE98" s="13">
        <f t="shared" si="338"/>
        <v>0</v>
      </c>
      <c r="FF98" s="13">
        <f t="shared" si="338"/>
        <v>21964868.890000001</v>
      </c>
      <c r="FG98" s="13">
        <f t="shared" si="338"/>
        <v>159875222.34999999</v>
      </c>
      <c r="FH98" s="13">
        <f t="shared" si="338"/>
        <v>49171402.800000004</v>
      </c>
      <c r="FI98" s="13">
        <f t="shared" si="338"/>
        <v>41558984.040000007</v>
      </c>
      <c r="FJ98" s="13">
        <f t="shared" si="338"/>
        <v>0</v>
      </c>
      <c r="FK98" s="13">
        <f t="shared" si="338"/>
        <v>18879499.43</v>
      </c>
      <c r="FL98" s="13">
        <f t="shared" si="338"/>
        <v>0</v>
      </c>
      <c r="FM98" s="13">
        <f>SUM(FM61:FM97)</f>
        <v>6555390.0400000019</v>
      </c>
      <c r="FN98" s="13">
        <f t="shared" ref="FN98:FT98" si="339">SUM(FN61:FN97)</f>
        <v>116165276.31000003</v>
      </c>
      <c r="FO98" s="13">
        <f t="shared" si="339"/>
        <v>82365753.49000001</v>
      </c>
      <c r="FP98" s="13">
        <f t="shared" si="339"/>
        <v>44504401.919999994</v>
      </c>
      <c r="FQ98" s="13">
        <f t="shared" si="339"/>
        <v>0</v>
      </c>
      <c r="FR98" s="13">
        <f t="shared" si="339"/>
        <v>52124156.050000019</v>
      </c>
      <c r="FS98" s="13">
        <f t="shared" si="339"/>
        <v>0</v>
      </c>
      <c r="FT98" s="13">
        <f t="shared" si="339"/>
        <v>14475530.640000002</v>
      </c>
      <c r="FU98" s="13">
        <f t="shared" ref="FU98" si="340">SUM(FU61:FU97)</f>
        <v>193469842.0999999</v>
      </c>
      <c r="FV98" s="13">
        <f t="shared" ref="FV98:GC98" si="341">SUM(FV61:FV97)</f>
        <v>57123966.490000002</v>
      </c>
      <c r="FW98" s="13">
        <f t="shared" si="341"/>
        <v>39578333.580000021</v>
      </c>
      <c r="FX98" s="13">
        <f t="shared" si="341"/>
        <v>0</v>
      </c>
      <c r="FY98" s="13">
        <f t="shared" si="341"/>
        <v>20404894.380000003</v>
      </c>
      <c r="FZ98" s="13">
        <f t="shared" si="341"/>
        <v>0</v>
      </c>
      <c r="GA98" s="13">
        <f t="shared" si="341"/>
        <v>6827246.9000000004</v>
      </c>
      <c r="GB98" s="13">
        <f t="shared" si="341"/>
        <v>123934441.35000005</v>
      </c>
      <c r="GC98" s="13">
        <f t="shared" si="341"/>
        <v>908744837.80359995</v>
      </c>
      <c r="GD98" s="13">
        <f>SUM(GD61:GD97)</f>
        <v>704956993.25788617</v>
      </c>
      <c r="GE98" s="78"/>
      <c r="GG98" s="36"/>
      <c r="GH98" s="36"/>
      <c r="GI98" s="36"/>
      <c r="GJ98" s="36"/>
    </row>
    <row r="99" spans="1:192" s="5" customFormat="1" ht="12.75" x14ac:dyDescent="0.2">
      <c r="A99" s="251" t="s">
        <v>34</v>
      </c>
      <c r="B99" s="15" t="s">
        <v>31</v>
      </c>
      <c r="C99" s="1" t="s">
        <v>32</v>
      </c>
      <c r="D99" s="2">
        <v>41518</v>
      </c>
      <c r="E99" s="50"/>
      <c r="F99" s="50"/>
      <c r="G99" s="50"/>
      <c r="H99" s="50"/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  <c r="AJ99" s="50"/>
      <c r="AK99" s="50"/>
      <c r="AL99" s="50"/>
      <c r="AM99" s="10">
        <f>[39]Planilha1!$D$8</f>
        <v>945203.71</v>
      </c>
      <c r="AN99" s="10">
        <f>[39]Planilha1!$D$15</f>
        <v>945371.55</v>
      </c>
      <c r="AO99" s="74">
        <f>[39]Planilha1!$E$8</f>
        <v>2930331.02</v>
      </c>
      <c r="AP99" s="10">
        <f>[39]Planilha1!$E$15</f>
        <v>2650666.9</v>
      </c>
      <c r="AQ99" s="14">
        <f>[39]Planilha1!$F$8</f>
        <v>3634897.72</v>
      </c>
      <c r="AR99" s="14">
        <f>[39]Planilha1!$F$15</f>
        <v>3580019.75</v>
      </c>
      <c r="AS99" s="14">
        <f>[39]Planilha1!$G$2</f>
        <v>3315667.48</v>
      </c>
      <c r="AT99" s="14">
        <f>[39]Planilha1!$G$3</f>
        <v>499191.99</v>
      </c>
      <c r="AU99" s="50"/>
      <c r="AV99" s="14">
        <v>0</v>
      </c>
      <c r="AW99" s="50"/>
      <c r="AX99" s="50"/>
      <c r="AY99" s="10">
        <f>SUM(AS99:AX99)</f>
        <v>3814859.4699999997</v>
      </c>
      <c r="AZ99" s="10">
        <f>[39]Planilha1!$G$9</f>
        <v>3315667.48</v>
      </c>
      <c r="BA99" s="10">
        <f>[39]Planilha1!$G$10</f>
        <v>479033.27</v>
      </c>
      <c r="BB99" s="50"/>
      <c r="BC99" s="50"/>
      <c r="BD99" s="50"/>
      <c r="BE99" s="50"/>
      <c r="BF99" s="10">
        <f>SUM(AZ99:BE99)</f>
        <v>3794700.75</v>
      </c>
      <c r="BG99" s="10">
        <f>[39]Planilha1!$H$2</f>
        <v>3434227.68</v>
      </c>
      <c r="BH99" s="10">
        <f>[39]Planilha1!$H$3</f>
        <v>493258.71</v>
      </c>
      <c r="BI99" s="10">
        <v>0</v>
      </c>
      <c r="BJ99" s="10">
        <v>0</v>
      </c>
      <c r="BK99" s="10">
        <v>0</v>
      </c>
      <c r="BL99" s="10">
        <v>0</v>
      </c>
      <c r="BM99" s="10">
        <f>SUM(BG99:BL99)</f>
        <v>3927486.39</v>
      </c>
      <c r="BN99" s="10">
        <f>[39]Planilha1!$H$9</f>
        <v>3434227.68</v>
      </c>
      <c r="BO99" s="10">
        <f>[39]Planilha1!$H$10</f>
        <v>445924.72</v>
      </c>
      <c r="BP99" s="10">
        <v>0</v>
      </c>
      <c r="BQ99" s="10">
        <v>0</v>
      </c>
      <c r="BR99" s="10">
        <v>0</v>
      </c>
      <c r="BS99" s="10">
        <v>0</v>
      </c>
      <c r="BT99" s="10">
        <f>SUM(BN99:BS99)</f>
        <v>3880152.4000000004</v>
      </c>
      <c r="BU99" s="10">
        <f>[39]Planilha1!$I$2</f>
        <v>3452788.48</v>
      </c>
      <c r="BV99" s="10">
        <f>[39]Planilha1!$I$3</f>
        <v>442171.85</v>
      </c>
      <c r="BW99" s="10">
        <v>0</v>
      </c>
      <c r="BX99" s="10">
        <v>0</v>
      </c>
      <c r="BY99" s="10">
        <v>0</v>
      </c>
      <c r="BZ99" s="10">
        <v>0</v>
      </c>
      <c r="CA99" s="10">
        <f t="shared" si="65"/>
        <v>3894960.33</v>
      </c>
      <c r="CB99" s="10">
        <f>[39]Planilha1!$I$9</f>
        <v>3452788.48</v>
      </c>
      <c r="CC99" s="10">
        <f>[39]Planilha1!$I$10</f>
        <v>391115.86</v>
      </c>
      <c r="CD99" s="10">
        <v>0</v>
      </c>
      <c r="CE99" s="10">
        <v>0</v>
      </c>
      <c r="CF99" s="10">
        <v>0</v>
      </c>
      <c r="CG99" s="10">
        <v>0</v>
      </c>
      <c r="CH99" s="10">
        <f>SUM(CB99:CG99)</f>
        <v>3843904.34</v>
      </c>
      <c r="CI99" s="10">
        <v>0</v>
      </c>
      <c r="CJ99" s="10">
        <f>[39]Planilha1!$J$3</f>
        <v>520921.46</v>
      </c>
      <c r="CK99" s="10">
        <v>0</v>
      </c>
      <c r="CL99" s="10">
        <v>0</v>
      </c>
      <c r="CM99" s="10">
        <v>0</v>
      </c>
      <c r="CN99" s="10"/>
      <c r="CO99" s="10">
        <f>SUM(CI99:CN99)</f>
        <v>520921.46</v>
      </c>
      <c r="CP99" s="10">
        <v>0</v>
      </c>
      <c r="CQ99" s="10">
        <f>[39]Planilha1!$J$10</f>
        <v>490907.17</v>
      </c>
      <c r="CR99" s="10">
        <v>0</v>
      </c>
      <c r="CS99" s="10">
        <v>0</v>
      </c>
      <c r="CT99" s="10">
        <v>0</v>
      </c>
      <c r="CU99" s="10">
        <v>0</v>
      </c>
      <c r="CV99" s="10">
        <f>SUM(CP99:CU99)</f>
        <v>490907.17</v>
      </c>
      <c r="CW99" s="10">
        <f>[39]Planilha1!$K$2</f>
        <v>3796598.64</v>
      </c>
      <c r="CX99" s="10">
        <f>[39]Planilha1!$K$3</f>
        <v>632284.19999999995</v>
      </c>
      <c r="CY99" s="10">
        <v>0</v>
      </c>
      <c r="CZ99" s="10">
        <v>0</v>
      </c>
      <c r="DA99" s="10">
        <v>0</v>
      </c>
      <c r="DB99" s="10">
        <v>0</v>
      </c>
      <c r="DC99" s="10">
        <f>SUM(CW99:DB99)</f>
        <v>4428882.84</v>
      </c>
      <c r="DD99" s="10">
        <f>[39]Planilha1!$K$9</f>
        <v>3796598.64</v>
      </c>
      <c r="DE99" s="10">
        <f>[39]Planilha1!$K$10</f>
        <v>460698.33</v>
      </c>
      <c r="DF99" s="10">
        <v>0</v>
      </c>
      <c r="DG99" s="10">
        <v>0</v>
      </c>
      <c r="DH99" s="10">
        <v>0</v>
      </c>
      <c r="DI99" s="10">
        <v>0</v>
      </c>
      <c r="DJ99" s="10">
        <f>SUM(DD99:DI99)</f>
        <v>4257296.97</v>
      </c>
      <c r="DK99" s="10">
        <v>3840818.23</v>
      </c>
      <c r="DL99" s="10">
        <v>596393.75</v>
      </c>
      <c r="DM99" s="10">
        <v>0</v>
      </c>
      <c r="DN99" s="10">
        <v>0</v>
      </c>
      <c r="DO99" s="10">
        <v>0</v>
      </c>
      <c r="DP99" s="10">
        <v>0</v>
      </c>
      <c r="DQ99" s="10">
        <f>SUM(DK99:DP99)</f>
        <v>4437211.9800000004</v>
      </c>
      <c r="DR99" s="10">
        <v>3193311.94</v>
      </c>
      <c r="DS99" s="10">
        <v>551363.38</v>
      </c>
      <c r="DT99" s="10">
        <v>0</v>
      </c>
      <c r="DU99" s="10">
        <v>0</v>
      </c>
      <c r="DV99" s="10">
        <v>0</v>
      </c>
      <c r="DW99" s="10">
        <v>0</v>
      </c>
      <c r="DX99" s="10">
        <f>SUM(DR99:DW99)</f>
        <v>3744675.32</v>
      </c>
      <c r="DY99" s="10">
        <v>4020849.64</v>
      </c>
      <c r="DZ99" s="10">
        <v>693483.09</v>
      </c>
      <c r="EA99" s="10">
        <v>0</v>
      </c>
      <c r="EB99" s="10">
        <v>0</v>
      </c>
      <c r="EC99" s="10">
        <v>0</v>
      </c>
      <c r="ED99" s="10">
        <v>0</v>
      </c>
      <c r="EE99" s="10">
        <f>SUM(DY99:ED99)</f>
        <v>4714332.7300000004</v>
      </c>
      <c r="EF99" s="10">
        <v>1351530.73</v>
      </c>
      <c r="EG99" s="10">
        <v>286337.28999999998</v>
      </c>
      <c r="EH99" s="10">
        <v>0</v>
      </c>
      <c r="EI99" s="10">
        <v>0</v>
      </c>
      <c r="EJ99" s="10">
        <v>0</v>
      </c>
      <c r="EK99" s="10">
        <v>0</v>
      </c>
      <c r="EL99" s="10">
        <f>SUM(EF99:EK99)</f>
        <v>1637868.02</v>
      </c>
      <c r="EM99" s="10">
        <f>[40]PR!$Q$7</f>
        <v>3922281</v>
      </c>
      <c r="EN99" s="10">
        <f>[40]PR!$R$7</f>
        <v>670142.30000000005</v>
      </c>
      <c r="EO99" s="10"/>
      <c r="EP99" s="10">
        <f>[40]PR!$P$7</f>
        <v>0</v>
      </c>
      <c r="EQ99" s="10"/>
      <c r="ER99" s="10">
        <f>[40]PR!$S$7</f>
        <v>0</v>
      </c>
      <c r="ES99" s="10">
        <f>SUM(EM99:ER99)</f>
        <v>4592423.3</v>
      </c>
      <c r="ET99" s="10">
        <f>[40]PR!$U$7</f>
        <v>2024332.8</v>
      </c>
      <c r="EU99" s="10">
        <f>[40]PR!$V$7</f>
        <v>685230.8000000004</v>
      </c>
      <c r="EV99" s="10"/>
      <c r="EW99" s="10">
        <f>[40]PR!$T$7</f>
        <v>0</v>
      </c>
      <c r="EX99" s="10"/>
      <c r="EY99" s="10">
        <f>[40]PR!$W$7</f>
        <v>0</v>
      </c>
      <c r="EZ99" s="10">
        <f>SUM(ET99:EY99)</f>
        <v>2709563.6000000006</v>
      </c>
      <c r="FA99" s="10">
        <f>[27]PR!$R$14</f>
        <v>3502764.5</v>
      </c>
      <c r="FB99" s="10">
        <f>[27]PR!$S$14</f>
        <v>585534.49</v>
      </c>
      <c r="FC99" s="10"/>
      <c r="FD99" s="10">
        <v>0</v>
      </c>
      <c r="FE99" s="10"/>
      <c r="FF99" s="10">
        <v>0</v>
      </c>
      <c r="FG99" s="10">
        <f t="shared" ref="FG99" si="342">SUM(FA99:FF99)</f>
        <v>4088298.99</v>
      </c>
      <c r="FH99" s="10">
        <f>[27]PR!$V$14</f>
        <v>305750.78999999998</v>
      </c>
      <c r="FI99" s="10">
        <f>[27]PR!$W$14</f>
        <v>321323.14</v>
      </c>
      <c r="FJ99" s="10"/>
      <c r="FK99" s="10"/>
      <c r="FL99" s="10"/>
      <c r="FM99" s="10"/>
      <c r="FN99" s="10">
        <f t="shared" ref="FN99" si="343">SUM(FH99:FM99)</f>
        <v>627073.92999999993</v>
      </c>
      <c r="FO99" s="10">
        <f>[28]PR!$R$14</f>
        <v>3359518.63</v>
      </c>
      <c r="FP99" s="10">
        <f>[28]PR!$S$14</f>
        <v>576943.98</v>
      </c>
      <c r="FQ99" s="10"/>
      <c r="FR99" s="10">
        <f>[28]PR!$Q$14</f>
        <v>0</v>
      </c>
      <c r="FS99" s="10"/>
      <c r="FT99" s="10">
        <f>[28]PR!$T$14</f>
        <v>0</v>
      </c>
      <c r="FU99" s="10">
        <f t="shared" ref="FU99" si="344">SUM(FO99:FT99)</f>
        <v>3936462.61</v>
      </c>
      <c r="FV99" s="10">
        <f>[28]PR!$V$14</f>
        <v>839879.62</v>
      </c>
      <c r="FW99" s="10">
        <f>[28]PR!$W$14</f>
        <v>350090.46</v>
      </c>
      <c r="FX99" s="10"/>
      <c r="FY99" s="10">
        <f>[28]PR!$U$14</f>
        <v>0</v>
      </c>
      <c r="FZ99" s="10"/>
      <c r="GA99" s="10">
        <f>[28]PR!$X$14</f>
        <v>0</v>
      </c>
      <c r="GB99" s="10">
        <f t="shared" ref="GB99" si="345">SUM(FV99:GA99)</f>
        <v>1189970.08</v>
      </c>
      <c r="GC99" s="10">
        <f>E99+G99+I99+K99+M99+O99+Q99+S99+U99+W99+Y99+AA99+AC99+AE99+AG99+AI99+AK99+AM99+AO99+AQ99+AY99+BM99+CA99+CO99+DC99+DQ99+EE99+ES99+FG99+FU99</f>
        <v>45866272.550000004</v>
      </c>
      <c r="GD99" s="10">
        <f>F99+H99+J99+L99+N99+P99+R99+T99+V99+X99+Z99+AB99+AD99+AF99+AH99+AJ99+AL99+AN99+AP99+AR99+BF99+BT99+CH99+CV99+DJ99+DX99+EL99+EZ99+FN99+GB99</f>
        <v>33352170.780000001</v>
      </c>
      <c r="GE99" s="9" t="s">
        <v>153</v>
      </c>
      <c r="GG99" s="36"/>
      <c r="GH99" s="36"/>
      <c r="GI99" s="36"/>
      <c r="GJ99" s="36"/>
    </row>
    <row r="100" spans="1:192" s="5" customFormat="1" ht="12.75" x14ac:dyDescent="0.2">
      <c r="A100" s="252"/>
      <c r="B100" s="249" t="s">
        <v>42</v>
      </c>
      <c r="C100" s="250"/>
      <c r="D100" s="250"/>
      <c r="E100" s="11">
        <f>SUM(E99)</f>
        <v>0</v>
      </c>
      <c r="F100" s="11">
        <f t="shared" ref="F100:AL100" si="346">SUM(F99)</f>
        <v>0</v>
      </c>
      <c r="G100" s="11">
        <f t="shared" si="346"/>
        <v>0</v>
      </c>
      <c r="H100" s="11">
        <f t="shared" si="346"/>
        <v>0</v>
      </c>
      <c r="I100" s="11">
        <f t="shared" si="346"/>
        <v>0</v>
      </c>
      <c r="J100" s="11">
        <f t="shared" si="346"/>
        <v>0</v>
      </c>
      <c r="K100" s="11">
        <f t="shared" si="346"/>
        <v>0</v>
      </c>
      <c r="L100" s="11">
        <f t="shared" si="346"/>
        <v>0</v>
      </c>
      <c r="M100" s="11">
        <f t="shared" si="346"/>
        <v>0</v>
      </c>
      <c r="N100" s="11">
        <f t="shared" si="346"/>
        <v>0</v>
      </c>
      <c r="O100" s="11">
        <f t="shared" si="346"/>
        <v>0</v>
      </c>
      <c r="P100" s="11">
        <f t="shared" si="346"/>
        <v>0</v>
      </c>
      <c r="Q100" s="11">
        <f t="shared" si="346"/>
        <v>0</v>
      </c>
      <c r="R100" s="11">
        <f t="shared" si="346"/>
        <v>0</v>
      </c>
      <c r="S100" s="11">
        <f t="shared" si="346"/>
        <v>0</v>
      </c>
      <c r="T100" s="11">
        <f t="shared" si="346"/>
        <v>0</v>
      </c>
      <c r="U100" s="11">
        <f t="shared" si="346"/>
        <v>0</v>
      </c>
      <c r="V100" s="11">
        <f t="shared" si="346"/>
        <v>0</v>
      </c>
      <c r="W100" s="11">
        <f t="shared" si="346"/>
        <v>0</v>
      </c>
      <c r="X100" s="11">
        <f t="shared" si="346"/>
        <v>0</v>
      </c>
      <c r="Y100" s="11">
        <f t="shared" si="346"/>
        <v>0</v>
      </c>
      <c r="Z100" s="11">
        <f t="shared" si="346"/>
        <v>0</v>
      </c>
      <c r="AA100" s="11">
        <f t="shared" si="346"/>
        <v>0</v>
      </c>
      <c r="AB100" s="11">
        <f t="shared" si="346"/>
        <v>0</v>
      </c>
      <c r="AC100" s="11">
        <f t="shared" si="346"/>
        <v>0</v>
      </c>
      <c r="AD100" s="11">
        <f t="shared" si="346"/>
        <v>0</v>
      </c>
      <c r="AE100" s="11">
        <f t="shared" si="346"/>
        <v>0</v>
      </c>
      <c r="AF100" s="11">
        <f t="shared" si="346"/>
        <v>0</v>
      </c>
      <c r="AG100" s="11">
        <f t="shared" si="346"/>
        <v>0</v>
      </c>
      <c r="AH100" s="11">
        <f t="shared" si="346"/>
        <v>0</v>
      </c>
      <c r="AI100" s="11">
        <f t="shared" si="346"/>
        <v>0</v>
      </c>
      <c r="AJ100" s="11">
        <f t="shared" si="346"/>
        <v>0</v>
      </c>
      <c r="AK100" s="11">
        <f t="shared" si="346"/>
        <v>0</v>
      </c>
      <c r="AL100" s="11">
        <f t="shared" si="346"/>
        <v>0</v>
      </c>
      <c r="AM100" s="11">
        <f>SUM(AM99)</f>
        <v>945203.71</v>
      </c>
      <c r="AN100" s="11">
        <f>SUM(AN99)</f>
        <v>945371.55</v>
      </c>
      <c r="AO100" s="11">
        <f t="shared" ref="AO100:BE100" si="347">SUM(AO99)</f>
        <v>2930331.02</v>
      </c>
      <c r="AP100" s="11">
        <f t="shared" si="347"/>
        <v>2650666.9</v>
      </c>
      <c r="AQ100" s="11">
        <f t="shared" si="347"/>
        <v>3634897.72</v>
      </c>
      <c r="AR100" s="11">
        <f t="shared" si="347"/>
        <v>3580019.75</v>
      </c>
      <c r="AS100" s="11">
        <f t="shared" si="347"/>
        <v>3315667.48</v>
      </c>
      <c r="AT100" s="11">
        <f t="shared" si="347"/>
        <v>499191.99</v>
      </c>
      <c r="AU100" s="11"/>
      <c r="AV100" s="11">
        <f t="shared" si="347"/>
        <v>0</v>
      </c>
      <c r="AW100" s="11"/>
      <c r="AX100" s="11">
        <f t="shared" si="347"/>
        <v>0</v>
      </c>
      <c r="AY100" s="11">
        <f>SUM(AY99)</f>
        <v>3814859.4699999997</v>
      </c>
      <c r="AZ100" s="11">
        <f t="shared" si="347"/>
        <v>3315667.48</v>
      </c>
      <c r="BA100" s="11">
        <f t="shared" si="347"/>
        <v>479033.27</v>
      </c>
      <c r="BB100" s="11"/>
      <c r="BC100" s="11">
        <f t="shared" si="347"/>
        <v>0</v>
      </c>
      <c r="BD100" s="11"/>
      <c r="BE100" s="11">
        <f t="shared" si="347"/>
        <v>0</v>
      </c>
      <c r="BF100" s="11">
        <f>SUM(BF99)</f>
        <v>3794700.75</v>
      </c>
      <c r="BG100" s="11">
        <f>BG99</f>
        <v>3434227.68</v>
      </c>
      <c r="BH100" s="11">
        <f t="shared" ref="BH100:BL100" si="348">BH99</f>
        <v>493258.71</v>
      </c>
      <c r="BI100" s="11">
        <f t="shared" si="348"/>
        <v>0</v>
      </c>
      <c r="BJ100" s="11">
        <f t="shared" si="348"/>
        <v>0</v>
      </c>
      <c r="BK100" s="11">
        <f t="shared" si="348"/>
        <v>0</v>
      </c>
      <c r="BL100" s="11">
        <f t="shared" si="348"/>
        <v>0</v>
      </c>
      <c r="BM100" s="11">
        <f>SUM(BM99)</f>
        <v>3927486.39</v>
      </c>
      <c r="BN100" s="11">
        <f>BN99</f>
        <v>3434227.68</v>
      </c>
      <c r="BO100" s="11">
        <f t="shared" ref="BO100:BS100" si="349">BO99</f>
        <v>445924.72</v>
      </c>
      <c r="BP100" s="11">
        <f t="shared" si="349"/>
        <v>0</v>
      </c>
      <c r="BQ100" s="11">
        <f t="shared" si="349"/>
        <v>0</v>
      </c>
      <c r="BR100" s="11">
        <f t="shared" si="349"/>
        <v>0</v>
      </c>
      <c r="BS100" s="11">
        <f t="shared" si="349"/>
        <v>0</v>
      </c>
      <c r="BT100" s="11">
        <f>SUM(BT99)</f>
        <v>3880152.4000000004</v>
      </c>
      <c r="BU100" s="11">
        <f t="shared" ref="BU100:DI100" si="350">SUM(BU99)</f>
        <v>3452788.48</v>
      </c>
      <c r="BV100" s="11">
        <f t="shared" si="350"/>
        <v>442171.85</v>
      </c>
      <c r="BW100" s="11">
        <f t="shared" si="350"/>
        <v>0</v>
      </c>
      <c r="BX100" s="11">
        <f t="shared" si="350"/>
        <v>0</v>
      </c>
      <c r="BY100" s="11">
        <f t="shared" si="350"/>
        <v>0</v>
      </c>
      <c r="BZ100" s="11">
        <f t="shared" si="350"/>
        <v>0</v>
      </c>
      <c r="CA100" s="11">
        <f t="shared" si="350"/>
        <v>3894960.33</v>
      </c>
      <c r="CB100" s="11">
        <f t="shared" si="350"/>
        <v>3452788.48</v>
      </c>
      <c r="CC100" s="11">
        <f t="shared" si="350"/>
        <v>391115.86</v>
      </c>
      <c r="CD100" s="11">
        <f t="shared" si="350"/>
        <v>0</v>
      </c>
      <c r="CE100" s="11">
        <f t="shared" si="350"/>
        <v>0</v>
      </c>
      <c r="CF100" s="11">
        <f t="shared" si="350"/>
        <v>0</v>
      </c>
      <c r="CG100" s="11">
        <f t="shared" si="350"/>
        <v>0</v>
      </c>
      <c r="CH100" s="11">
        <f t="shared" si="350"/>
        <v>3843904.34</v>
      </c>
      <c r="CI100" s="11">
        <f t="shared" si="350"/>
        <v>0</v>
      </c>
      <c r="CJ100" s="11">
        <f t="shared" si="350"/>
        <v>520921.46</v>
      </c>
      <c r="CK100" s="11">
        <f t="shared" si="350"/>
        <v>0</v>
      </c>
      <c r="CL100" s="11">
        <f t="shared" si="350"/>
        <v>0</v>
      </c>
      <c r="CM100" s="11">
        <f t="shared" si="350"/>
        <v>0</v>
      </c>
      <c r="CN100" s="11">
        <f t="shared" si="350"/>
        <v>0</v>
      </c>
      <c r="CO100" s="11">
        <f t="shared" si="350"/>
        <v>520921.46</v>
      </c>
      <c r="CP100" s="11">
        <f t="shared" si="350"/>
        <v>0</v>
      </c>
      <c r="CQ100" s="11">
        <f t="shared" si="350"/>
        <v>490907.17</v>
      </c>
      <c r="CR100" s="11">
        <f t="shared" si="350"/>
        <v>0</v>
      </c>
      <c r="CS100" s="11">
        <f t="shared" si="350"/>
        <v>0</v>
      </c>
      <c r="CT100" s="11">
        <f t="shared" si="350"/>
        <v>0</v>
      </c>
      <c r="CU100" s="11">
        <f t="shared" si="350"/>
        <v>0</v>
      </c>
      <c r="CV100" s="11">
        <f t="shared" si="350"/>
        <v>490907.17</v>
      </c>
      <c r="CW100" s="11">
        <f t="shared" si="350"/>
        <v>3796598.64</v>
      </c>
      <c r="CX100" s="11">
        <f t="shared" si="350"/>
        <v>632284.19999999995</v>
      </c>
      <c r="CY100" s="11">
        <f t="shared" si="350"/>
        <v>0</v>
      </c>
      <c r="CZ100" s="11">
        <f t="shared" si="350"/>
        <v>0</v>
      </c>
      <c r="DA100" s="11">
        <f t="shared" si="350"/>
        <v>0</v>
      </c>
      <c r="DB100" s="11">
        <f t="shared" si="350"/>
        <v>0</v>
      </c>
      <c r="DC100" s="11">
        <f t="shared" si="350"/>
        <v>4428882.84</v>
      </c>
      <c r="DD100" s="11">
        <f t="shared" si="350"/>
        <v>3796598.64</v>
      </c>
      <c r="DE100" s="11">
        <f t="shared" si="350"/>
        <v>460698.33</v>
      </c>
      <c r="DF100" s="11">
        <f t="shared" si="350"/>
        <v>0</v>
      </c>
      <c r="DG100" s="11">
        <f t="shared" si="350"/>
        <v>0</v>
      </c>
      <c r="DH100" s="11">
        <f t="shared" si="350"/>
        <v>0</v>
      </c>
      <c r="DI100" s="11">
        <f t="shared" si="350"/>
        <v>0</v>
      </c>
      <c r="DJ100" s="11">
        <f>SUM(DJ99)</f>
        <v>4257296.97</v>
      </c>
      <c r="DK100" s="11">
        <f t="shared" ref="DK100:DO100" si="351">SUM(DK99)</f>
        <v>3840818.23</v>
      </c>
      <c r="DL100" s="11">
        <f t="shared" si="351"/>
        <v>596393.75</v>
      </c>
      <c r="DM100" s="11">
        <f t="shared" si="351"/>
        <v>0</v>
      </c>
      <c r="DN100" s="11">
        <f t="shared" si="351"/>
        <v>0</v>
      </c>
      <c r="DO100" s="11">
        <f t="shared" si="351"/>
        <v>0</v>
      </c>
      <c r="DP100" s="11">
        <f t="shared" ref="DP100" si="352">SUM(DP99)</f>
        <v>0</v>
      </c>
      <c r="DQ100" s="11">
        <f t="shared" ref="DQ100" si="353">SUM(DQ99)</f>
        <v>4437211.9800000004</v>
      </c>
      <c r="DR100" s="11">
        <f t="shared" ref="DR100" si="354">SUM(DR99)</f>
        <v>3193311.94</v>
      </c>
      <c r="DS100" s="11">
        <f t="shared" ref="DS100:DT100" si="355">SUM(DS99)</f>
        <v>551363.38</v>
      </c>
      <c r="DT100" s="11">
        <f t="shared" si="355"/>
        <v>0</v>
      </c>
      <c r="DU100" s="11">
        <f t="shared" ref="DU100" si="356">SUM(DU99)</f>
        <v>0</v>
      </c>
      <c r="DV100" s="11">
        <f t="shared" ref="DV100" si="357">SUM(DV99)</f>
        <v>0</v>
      </c>
      <c r="DW100" s="11">
        <f t="shared" ref="DW100" si="358">SUM(DW99)</f>
        <v>0</v>
      </c>
      <c r="DX100" s="11">
        <f t="shared" ref="DX100:EL100" si="359">SUM(DX99)</f>
        <v>3744675.32</v>
      </c>
      <c r="DY100" s="11">
        <f t="shared" si="359"/>
        <v>4020849.64</v>
      </c>
      <c r="DZ100" s="11">
        <f t="shared" si="359"/>
        <v>693483.09</v>
      </c>
      <c r="EA100" s="11">
        <f t="shared" si="359"/>
        <v>0</v>
      </c>
      <c r="EB100" s="11">
        <f t="shared" si="359"/>
        <v>0</v>
      </c>
      <c r="EC100" s="11">
        <f t="shared" si="359"/>
        <v>0</v>
      </c>
      <c r="ED100" s="11">
        <f t="shared" si="359"/>
        <v>0</v>
      </c>
      <c r="EE100" s="11">
        <f t="shared" si="359"/>
        <v>4714332.7300000004</v>
      </c>
      <c r="EF100" s="11">
        <f t="shared" si="359"/>
        <v>1351530.73</v>
      </c>
      <c r="EG100" s="11">
        <f t="shared" si="359"/>
        <v>286337.28999999998</v>
      </c>
      <c r="EH100" s="11">
        <f t="shared" si="359"/>
        <v>0</v>
      </c>
      <c r="EI100" s="11">
        <f t="shared" si="359"/>
        <v>0</v>
      </c>
      <c r="EJ100" s="11">
        <f t="shared" si="359"/>
        <v>0</v>
      </c>
      <c r="EK100" s="11">
        <f t="shared" si="359"/>
        <v>0</v>
      </c>
      <c r="EL100" s="11">
        <f t="shared" si="359"/>
        <v>1637868.02</v>
      </c>
      <c r="EM100" s="11">
        <f t="shared" ref="EM100:FN100" si="360">SUM(EM99)</f>
        <v>3922281</v>
      </c>
      <c r="EN100" s="11">
        <f t="shared" si="360"/>
        <v>670142.30000000005</v>
      </c>
      <c r="EO100" s="11">
        <f t="shared" si="360"/>
        <v>0</v>
      </c>
      <c r="EP100" s="11">
        <f t="shared" si="360"/>
        <v>0</v>
      </c>
      <c r="EQ100" s="11">
        <f t="shared" si="360"/>
        <v>0</v>
      </c>
      <c r="ER100" s="11">
        <f t="shared" si="360"/>
        <v>0</v>
      </c>
      <c r="ES100" s="11">
        <f t="shared" si="360"/>
        <v>4592423.3</v>
      </c>
      <c r="ET100" s="11">
        <f t="shared" si="360"/>
        <v>2024332.8</v>
      </c>
      <c r="EU100" s="11">
        <f t="shared" si="360"/>
        <v>685230.8000000004</v>
      </c>
      <c r="EV100" s="11">
        <f t="shared" si="360"/>
        <v>0</v>
      </c>
      <c r="EW100" s="11">
        <f t="shared" si="360"/>
        <v>0</v>
      </c>
      <c r="EX100" s="11">
        <f t="shared" si="360"/>
        <v>0</v>
      </c>
      <c r="EY100" s="11">
        <f t="shared" si="360"/>
        <v>0</v>
      </c>
      <c r="EZ100" s="11">
        <f t="shared" si="360"/>
        <v>2709563.6000000006</v>
      </c>
      <c r="FA100" s="11">
        <f t="shared" si="360"/>
        <v>3502764.5</v>
      </c>
      <c r="FB100" s="11">
        <f t="shared" si="360"/>
        <v>585534.49</v>
      </c>
      <c r="FC100" s="11">
        <f t="shared" si="360"/>
        <v>0</v>
      </c>
      <c r="FD100" s="11">
        <f t="shared" si="360"/>
        <v>0</v>
      </c>
      <c r="FE100" s="11">
        <f t="shared" si="360"/>
        <v>0</v>
      </c>
      <c r="FF100" s="11">
        <f t="shared" si="360"/>
        <v>0</v>
      </c>
      <c r="FG100" s="11">
        <f t="shared" si="360"/>
        <v>4088298.99</v>
      </c>
      <c r="FH100" s="11">
        <f t="shared" si="360"/>
        <v>305750.78999999998</v>
      </c>
      <c r="FI100" s="11">
        <f t="shared" si="360"/>
        <v>321323.14</v>
      </c>
      <c r="FJ100" s="11">
        <f t="shared" si="360"/>
        <v>0</v>
      </c>
      <c r="FK100" s="11">
        <f t="shared" si="360"/>
        <v>0</v>
      </c>
      <c r="FL100" s="11">
        <f t="shared" si="360"/>
        <v>0</v>
      </c>
      <c r="FM100" s="11">
        <f t="shared" si="360"/>
        <v>0</v>
      </c>
      <c r="FN100" s="11">
        <f t="shared" si="360"/>
        <v>627073.92999999993</v>
      </c>
      <c r="FO100" s="11">
        <f t="shared" ref="FO100:GB100" si="361">SUM(FO99)</f>
        <v>3359518.63</v>
      </c>
      <c r="FP100" s="11">
        <f t="shared" si="361"/>
        <v>576943.98</v>
      </c>
      <c r="FQ100" s="11">
        <f t="shared" si="361"/>
        <v>0</v>
      </c>
      <c r="FR100" s="11">
        <f t="shared" si="361"/>
        <v>0</v>
      </c>
      <c r="FS100" s="11">
        <f t="shared" si="361"/>
        <v>0</v>
      </c>
      <c r="FT100" s="11">
        <f t="shared" si="361"/>
        <v>0</v>
      </c>
      <c r="FU100" s="11">
        <f t="shared" si="361"/>
        <v>3936462.61</v>
      </c>
      <c r="FV100" s="11">
        <f t="shared" si="361"/>
        <v>839879.62</v>
      </c>
      <c r="FW100" s="11">
        <f t="shared" si="361"/>
        <v>350090.46</v>
      </c>
      <c r="FX100" s="11">
        <f t="shared" si="361"/>
        <v>0</v>
      </c>
      <c r="FY100" s="11">
        <f t="shared" si="361"/>
        <v>0</v>
      </c>
      <c r="FZ100" s="11">
        <f t="shared" si="361"/>
        <v>0</v>
      </c>
      <c r="GA100" s="11">
        <f t="shared" si="361"/>
        <v>0</v>
      </c>
      <c r="GB100" s="11">
        <f t="shared" si="361"/>
        <v>1189970.08</v>
      </c>
      <c r="GC100" s="11">
        <f>SUM(GC99)</f>
        <v>45866272.550000004</v>
      </c>
      <c r="GD100" s="11">
        <f>SUM(GD99)</f>
        <v>33352170.780000001</v>
      </c>
      <c r="GE100" s="3"/>
      <c r="GG100" s="36"/>
      <c r="GH100" s="36"/>
      <c r="GI100" s="36"/>
      <c r="GJ100" s="36"/>
    </row>
    <row r="101" spans="1:192" s="5" customFormat="1" ht="12.75" x14ac:dyDescent="0.2">
      <c r="A101" s="255" t="s">
        <v>90</v>
      </c>
      <c r="B101" s="15" t="s">
        <v>148</v>
      </c>
      <c r="C101" s="1" t="s">
        <v>95</v>
      </c>
      <c r="D101" s="18">
        <v>42005</v>
      </c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  <c r="AA101" s="82"/>
      <c r="AB101" s="82"/>
      <c r="AC101" s="82"/>
      <c r="AD101" s="82"/>
      <c r="AE101" s="82"/>
      <c r="AF101" s="82"/>
      <c r="AG101" s="82"/>
      <c r="AH101" s="82"/>
      <c r="AI101" s="82"/>
      <c r="AJ101" s="82"/>
      <c r="AK101" s="82"/>
      <c r="AL101" s="82"/>
      <c r="AM101" s="82"/>
      <c r="AN101" s="82"/>
      <c r="AO101" s="82"/>
      <c r="AP101" s="82"/>
      <c r="AQ101" s="146">
        <v>1390236.5</v>
      </c>
      <c r="AR101" s="146">
        <v>177698.38</v>
      </c>
      <c r="AS101" s="128">
        <v>24682.18</v>
      </c>
      <c r="AT101" s="128">
        <v>128520.42</v>
      </c>
      <c r="AU101" s="50"/>
      <c r="AV101" s="128">
        <v>100970.29</v>
      </c>
      <c r="AW101" s="82"/>
      <c r="AX101" s="128">
        <v>40503.120000000003</v>
      </c>
      <c r="AY101" s="10">
        <f>SUM(AS101:AX101)</f>
        <v>294676.01</v>
      </c>
      <c r="AZ101" s="128">
        <v>0</v>
      </c>
      <c r="BA101" s="128">
        <v>101304.14</v>
      </c>
      <c r="BB101" s="50"/>
      <c r="BC101" s="128">
        <v>100398.9</v>
      </c>
      <c r="BD101" s="82"/>
      <c r="BE101" s="128">
        <v>38284.65</v>
      </c>
      <c r="BF101" s="10">
        <f>SUM(AZ101:BE101)</f>
        <v>239987.68999999997</v>
      </c>
      <c r="BG101" s="83">
        <v>0</v>
      </c>
      <c r="BH101" s="83">
        <v>144486.85</v>
      </c>
      <c r="BI101" s="83">
        <v>0</v>
      </c>
      <c r="BJ101" s="83">
        <v>149032.54999999999</v>
      </c>
      <c r="BK101" s="83">
        <v>0</v>
      </c>
      <c r="BL101" s="83">
        <v>1181036.52</v>
      </c>
      <c r="BM101" s="10">
        <f>SUM(BG101:BL101)</f>
        <v>1474555.92</v>
      </c>
      <c r="BN101" s="83">
        <v>0</v>
      </c>
      <c r="BO101" s="83">
        <v>115121.12</v>
      </c>
      <c r="BP101" s="83">
        <v>0</v>
      </c>
      <c r="BQ101" s="83">
        <v>67351.5</v>
      </c>
      <c r="BR101" s="83">
        <v>0</v>
      </c>
      <c r="BS101" s="83">
        <v>15781.95</v>
      </c>
      <c r="BT101" s="10">
        <f>SUM(BN101:BS101)</f>
        <v>198254.57</v>
      </c>
      <c r="BU101" s="83"/>
      <c r="BV101" s="83">
        <v>62627.47</v>
      </c>
      <c r="BW101" s="83">
        <v>0</v>
      </c>
      <c r="BX101" s="83">
        <v>84219.29</v>
      </c>
      <c r="BY101" s="83">
        <v>0</v>
      </c>
      <c r="BZ101" s="83">
        <v>11276.72</v>
      </c>
      <c r="CA101" s="10">
        <f t="shared" ref="CA101:CA105" si="362">SUM(BU101:BZ101)</f>
        <v>158123.48000000001</v>
      </c>
      <c r="CB101" s="83">
        <v>0</v>
      </c>
      <c r="CC101" s="83">
        <v>86198.89</v>
      </c>
      <c r="CD101" s="83">
        <v>0</v>
      </c>
      <c r="CE101" s="83">
        <v>124218.06</v>
      </c>
      <c r="CF101" s="83">
        <v>0</v>
      </c>
      <c r="CG101" s="83">
        <v>24352.23</v>
      </c>
      <c r="CH101" s="10">
        <f t="shared" ref="CH101:CH105" si="363">SUM(CB101:CG101)</f>
        <v>234769.18000000002</v>
      </c>
      <c r="CI101" s="83">
        <v>1307167.2</v>
      </c>
      <c r="CJ101" s="83">
        <v>118961.05</v>
      </c>
      <c r="CK101" s="83">
        <v>0</v>
      </c>
      <c r="CL101" s="83">
        <v>179352.25</v>
      </c>
      <c r="CM101" s="83">
        <v>0</v>
      </c>
      <c r="CN101" s="83">
        <v>48718.51</v>
      </c>
      <c r="CO101" s="83">
        <f>SUM(CI101:CN101)</f>
        <v>1654199.01</v>
      </c>
      <c r="CP101" s="83">
        <v>3226194.24</v>
      </c>
      <c r="CQ101" s="83">
        <v>174334.36</v>
      </c>
      <c r="CR101" s="83">
        <v>0</v>
      </c>
      <c r="CS101" s="83">
        <v>147774.78</v>
      </c>
      <c r="CT101" s="83">
        <v>0</v>
      </c>
      <c r="CU101" s="83">
        <v>78584.990000000005</v>
      </c>
      <c r="CV101" s="83">
        <f>SUM(CP101:CU101)</f>
        <v>3626888.37</v>
      </c>
      <c r="CW101" s="83">
        <v>1307167.2</v>
      </c>
      <c r="CX101" s="83">
        <v>128782.64000000001</v>
      </c>
      <c r="CY101" s="83">
        <v>0</v>
      </c>
      <c r="CZ101" s="83">
        <v>149259.13</v>
      </c>
      <c r="DA101" s="83">
        <v>0</v>
      </c>
      <c r="DB101" s="83">
        <v>58751.08</v>
      </c>
      <c r="DC101" s="83">
        <f>SUM(CW101:DB101)</f>
        <v>1643960.0499999998</v>
      </c>
      <c r="DD101" s="83">
        <v>1739604.5999999999</v>
      </c>
      <c r="DE101" s="83">
        <v>82232.820000000007</v>
      </c>
      <c r="DF101" s="83">
        <v>0</v>
      </c>
      <c r="DG101" s="83">
        <v>157505.44</v>
      </c>
      <c r="DH101" s="83">
        <v>0</v>
      </c>
      <c r="DI101" s="83">
        <v>49962.15</v>
      </c>
      <c r="DJ101" s="83">
        <f>SUM(DD101:DI101)</f>
        <v>2029305.0099999998</v>
      </c>
      <c r="DK101" s="83">
        <f>[41]GERAL!$K$40+[41]GERAL!$K$57</f>
        <v>1367989.63</v>
      </c>
      <c r="DL101" s="83">
        <f>[41]GERAL!$K$41+[41]GERAL!$K$58</f>
        <v>121517.18</v>
      </c>
      <c r="DM101" s="83">
        <f>[41]GERAL!$K$42+[41]GERAL!$K$59</f>
        <v>0</v>
      </c>
      <c r="DN101" s="83">
        <f>[41]GERAL!$K$43+[41]GERAL!$K$60</f>
        <v>149463.85999999999</v>
      </c>
      <c r="DO101" s="83">
        <f>[41]GERAL!$K$44+[41]GERAL!$K$61</f>
        <v>0</v>
      </c>
      <c r="DP101" s="83">
        <f>[41]GERAL!$K$45+[41]GERAL!$K$62</f>
        <v>67310.06</v>
      </c>
      <c r="DQ101" s="83">
        <f>SUM(DK101:DP101)</f>
        <v>1706280.73</v>
      </c>
      <c r="DR101" s="83">
        <f>[41]GERAL!$K$47+[41]GERAL!$K$64</f>
        <v>1089306</v>
      </c>
      <c r="DS101" s="83">
        <f>[41]GERAL!$K$48+[41]GERAL!$K$65</f>
        <v>128417.64</v>
      </c>
      <c r="DT101" s="83">
        <f>[41]GERAL!$K$49+[41]GERAL!$K$66</f>
        <v>0</v>
      </c>
      <c r="DU101" s="83">
        <f>[41]GERAL!$K$50+[41]GERAL!$K$67</f>
        <v>152489.75</v>
      </c>
      <c r="DV101" s="83">
        <f>[41]GERAL!$K$51+[41]GERAL!$K$68</f>
        <v>0</v>
      </c>
      <c r="DW101" s="83">
        <f>[41]GERAL!$K$52+[41]GERAL!$K$69</f>
        <v>60555.360000000001</v>
      </c>
      <c r="DX101" s="83">
        <f>SUM(DR101:DW101)</f>
        <v>1430768.75</v>
      </c>
      <c r="DY101" s="83">
        <f>'[42]ANO 2022'!$E$38+'[42]ANO 2022'!$E$55</f>
        <v>1424544.19</v>
      </c>
      <c r="DZ101" s="83">
        <f>'[42]ANO 2022'!$E$39+'[42]ANO 2022'!$E$56</f>
        <v>158523.20000000001</v>
      </c>
      <c r="EA101" s="83">
        <f>'[42]ANO 2022'!$E$40+'[42]ANO 2022'!$E$57</f>
        <v>0</v>
      </c>
      <c r="EB101" s="83">
        <f>'[42]ANO 2022'!$E$41+'[42]ANO 2022'!$E$58</f>
        <v>140115.64000000001</v>
      </c>
      <c r="EC101" s="83">
        <f>'[42]ANO 2022'!$E$42+'[42]ANO 2022'!$E$59</f>
        <v>0</v>
      </c>
      <c r="ED101" s="83">
        <f>'[42]ANO 2022'!$E$43+'[42]ANO 2022'!$E$60</f>
        <v>138473.87</v>
      </c>
      <c r="EE101" s="83">
        <f>SUM(DY101:ED101)</f>
        <v>1861656.9</v>
      </c>
      <c r="EF101" s="83">
        <f>'[42]ANO 2022'!$E$45+'[42]ANO 2022'!$E$62</f>
        <v>1575713.7999999998</v>
      </c>
      <c r="EG101" s="83">
        <f>'[42]ANO 2022'!$E$46+'[42]ANO 2022'!$E$63</f>
        <v>181421.2</v>
      </c>
      <c r="EH101" s="83">
        <f>'[42]ANO 2022'!$E$47+'[42]ANO 2022'!$E$64</f>
        <v>0</v>
      </c>
      <c r="EI101" s="83">
        <f>'[42]ANO 2022'!$E$48+'[42]ANO 2022'!$E$65</f>
        <v>133946.48000000001</v>
      </c>
      <c r="EJ101" s="83">
        <f>'[42]ANO 2022'!$E$49+'[42]ANO 2022'!$E$66</f>
        <v>0</v>
      </c>
      <c r="EK101" s="83">
        <f>'[42]ANO 2022'!$E$50+'[42]ANO 2022'!$E$67</f>
        <v>70954.41</v>
      </c>
      <c r="EL101" s="83">
        <f>SUM(EF101:EK101)</f>
        <v>1962035.8899999997</v>
      </c>
      <c r="EM101" s="83">
        <f>[40]PB!$Q$8+[40]PB!$Q$9</f>
        <v>1429179.1400000001</v>
      </c>
      <c r="EN101" s="83">
        <f>[40]PB!$R$8+[40]PB!$R$9</f>
        <v>147172.43</v>
      </c>
      <c r="EO101" s="83"/>
      <c r="EP101" s="83">
        <f>[40]PB!$P$8+[40]PB!$P$9</f>
        <v>141291.66999999998</v>
      </c>
      <c r="EQ101" s="83"/>
      <c r="ER101" s="83">
        <f>[40]PB!$S$8+[40]PB!$S$9</f>
        <v>101623.13</v>
      </c>
      <c r="ES101" s="83">
        <f>SUM(EM101:ER101)</f>
        <v>1819266.37</v>
      </c>
      <c r="ET101" s="83">
        <f>[40]PB!$U$8+[40]PB!$U$9</f>
        <v>1627724.88</v>
      </c>
      <c r="EU101" s="83">
        <f>[40]PB!$W$8+[40]PB!$W$9</f>
        <v>102068.09</v>
      </c>
      <c r="EV101" s="83"/>
      <c r="EW101" s="83">
        <f>[40]PB!$T$8+[40]PB!$T$9</f>
        <v>148611.26</v>
      </c>
      <c r="EX101" s="83"/>
      <c r="EY101" s="83">
        <f>[40]PB!$V$8+[40]PB!$V$9</f>
        <v>161070.65</v>
      </c>
      <c r="EZ101" s="83">
        <f>SUM(ET101:EY101)</f>
        <v>2039474.88</v>
      </c>
      <c r="FA101" s="83">
        <f>[27]PB!$R$16+FA190</f>
        <v>1420088.04</v>
      </c>
      <c r="FB101" s="83">
        <f>[27]PB!$S$16+FB190</f>
        <v>74860.56</v>
      </c>
      <c r="FC101" s="83"/>
      <c r="FD101" s="83">
        <f>[27]PB!$Q$16+FD190</f>
        <v>134543.28</v>
      </c>
      <c r="FE101" s="83"/>
      <c r="FF101" s="83">
        <f>[27]PB!$T$16+FF190</f>
        <v>70219.259999999995</v>
      </c>
      <c r="FG101" s="10">
        <f t="shared" ref="FG101" si="364">SUM(FA101:FF101)</f>
        <v>1699711.1400000001</v>
      </c>
      <c r="FH101" s="83">
        <f>[27]PB!$V$16+FH190</f>
        <v>1422568.7</v>
      </c>
      <c r="FI101" s="83">
        <f>[27]PB!$W$16+FI190</f>
        <v>96560.319999999992</v>
      </c>
      <c r="FJ101" s="83"/>
      <c r="FK101" s="83">
        <f>[27]PB!$U$16+FK190</f>
        <v>128186.54000000001</v>
      </c>
      <c r="FL101" s="83"/>
      <c r="FM101" s="83">
        <f>[27]PB!$X$16+FM190</f>
        <v>78069.510000000009</v>
      </c>
      <c r="FN101" s="10">
        <f t="shared" ref="FN101" si="365">SUM(FH101:FM101)</f>
        <v>1725385.07</v>
      </c>
      <c r="FO101" s="10">
        <f>'[28]PB-2'!R16+'[28]PB-2'!R17</f>
        <v>1442929.08</v>
      </c>
      <c r="FP101" s="10">
        <f>'[28]PB-2'!S16+'[28]PB-2'!S17</f>
        <v>118243.55</v>
      </c>
      <c r="FQ101" s="10"/>
      <c r="FR101" s="10">
        <f>'[28]PB-2'!Q16+'[28]PB-2'!Q17</f>
        <v>118393.3</v>
      </c>
      <c r="FS101" s="10"/>
      <c r="FT101" s="10">
        <f>'[28]PB-2'!T16+'[28]PB-2'!T17</f>
        <v>61667.72</v>
      </c>
      <c r="FU101" s="10">
        <f t="shared" ref="FU101:FU106" si="366">SUM(FO101:FT101)</f>
        <v>1741233.6500000001</v>
      </c>
      <c r="FV101" s="10">
        <f>'[28]PB-2'!V16+'[28]PB-2'!V17</f>
        <v>1428638.46</v>
      </c>
      <c r="FW101" s="10">
        <f>'[28]PB-2'!W16+'[28]PB-2'!W17</f>
        <v>121997.6</v>
      </c>
      <c r="FX101" s="10"/>
      <c r="FY101" s="10">
        <f>'[28]PB-2'!U16+'[28]PB-2'!U17</f>
        <v>136870.75</v>
      </c>
      <c r="FZ101" s="10"/>
      <c r="GA101" s="10">
        <f>'[28]PB-2'!X16+'[28]PB-2'!X17</f>
        <v>65475.060000000005</v>
      </c>
      <c r="GB101" s="10">
        <f t="shared" ref="GB101:GB106" si="367">SUM(FV101:GA101)</f>
        <v>1752981.87</v>
      </c>
      <c r="GC101" s="83">
        <f>AQ101+AY101+BM101+CA101+CO101+DC101+DQ101+EE101+ES101+FG101+FU101</f>
        <v>15443899.76</v>
      </c>
      <c r="GD101" s="83">
        <f>AR101+BF101+BT101+CH101+CV101+DJ101+DX101+EL101+EZ101+FN101+GB101</f>
        <v>15417549.66</v>
      </c>
      <c r="GE101" s="217" t="s">
        <v>91</v>
      </c>
      <c r="GG101" s="36"/>
      <c r="GH101" s="36"/>
      <c r="GI101" s="36"/>
      <c r="GJ101" s="36"/>
    </row>
    <row r="102" spans="1:192" s="5" customFormat="1" ht="12.75" x14ac:dyDescent="0.2">
      <c r="A102" s="256"/>
      <c r="B102" s="15" t="s">
        <v>96</v>
      </c>
      <c r="C102" s="1" t="s">
        <v>95</v>
      </c>
      <c r="D102" s="18">
        <v>42005</v>
      </c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  <c r="AA102" s="82"/>
      <c r="AB102" s="82"/>
      <c r="AC102" s="82"/>
      <c r="AD102" s="82"/>
      <c r="AE102" s="82"/>
      <c r="AF102" s="82"/>
      <c r="AG102" s="82"/>
      <c r="AH102" s="82"/>
      <c r="AI102" s="82"/>
      <c r="AJ102" s="82"/>
      <c r="AK102" s="82"/>
      <c r="AL102" s="82"/>
      <c r="AM102" s="82"/>
      <c r="AN102" s="82"/>
      <c r="AO102" s="82"/>
      <c r="AP102" s="82"/>
      <c r="AQ102" s="146">
        <v>2084055.09</v>
      </c>
      <c r="AR102" s="146">
        <v>141033.24</v>
      </c>
      <c r="AS102" s="128">
        <v>960184.46</v>
      </c>
      <c r="AT102" s="128">
        <v>31949.42</v>
      </c>
      <c r="AU102" s="50"/>
      <c r="AV102" s="128">
        <v>169967.12</v>
      </c>
      <c r="AW102" s="82"/>
      <c r="AX102" s="128">
        <v>89473.36</v>
      </c>
      <c r="AY102" s="10">
        <f>SUM(AS102:AX102)</f>
        <v>1251574.3600000001</v>
      </c>
      <c r="AZ102" s="128">
        <v>0</v>
      </c>
      <c r="BA102" s="128">
        <v>38023.269999999997</v>
      </c>
      <c r="BB102" s="50"/>
      <c r="BC102" s="128">
        <v>116123.86</v>
      </c>
      <c r="BD102" s="82"/>
      <c r="BE102" s="128">
        <v>86372.03</v>
      </c>
      <c r="BF102" s="10">
        <f>SUM(AZ102:BE102)</f>
        <v>240519.16</v>
      </c>
      <c r="BG102" s="83">
        <v>0</v>
      </c>
      <c r="BH102" s="83">
        <v>67415.44</v>
      </c>
      <c r="BI102" s="83">
        <v>0</v>
      </c>
      <c r="BJ102" s="83">
        <v>221577.08</v>
      </c>
      <c r="BK102" s="83">
        <v>0</v>
      </c>
      <c r="BL102" s="83">
        <v>1485600.71</v>
      </c>
      <c r="BM102" s="10">
        <f t="shared" ref="BM102:BM106" si="368">SUM(BG102:BL102)</f>
        <v>1774593.23</v>
      </c>
      <c r="BN102" s="83">
        <v>0</v>
      </c>
      <c r="BO102" s="83">
        <v>57811.89</v>
      </c>
      <c r="BP102" s="83">
        <v>0</v>
      </c>
      <c r="BQ102" s="83">
        <v>176868.89</v>
      </c>
      <c r="BR102" s="83">
        <v>0</v>
      </c>
      <c r="BS102" s="83">
        <v>115053.64</v>
      </c>
      <c r="BT102" s="10">
        <f t="shared" ref="BT102:BT106" si="369">SUM(BN102:BS102)</f>
        <v>349734.42000000004</v>
      </c>
      <c r="BU102" s="83">
        <v>39682.800000000003</v>
      </c>
      <c r="BV102" s="83">
        <v>42800.76</v>
      </c>
      <c r="BW102" s="83">
        <v>0</v>
      </c>
      <c r="BX102" s="83">
        <v>219081.54</v>
      </c>
      <c r="BY102" s="83">
        <v>0</v>
      </c>
      <c r="BZ102" s="83">
        <v>90068.01</v>
      </c>
      <c r="CA102" s="10">
        <f t="shared" si="362"/>
        <v>391633.11</v>
      </c>
      <c r="CB102" s="83">
        <v>0</v>
      </c>
      <c r="CC102" s="83">
        <v>38540.75</v>
      </c>
      <c r="CD102" s="83">
        <v>0</v>
      </c>
      <c r="CE102" s="83">
        <v>175134.67</v>
      </c>
      <c r="CF102" s="83">
        <v>0</v>
      </c>
      <c r="CG102" s="83">
        <v>69353.210000000006</v>
      </c>
      <c r="CH102" s="10">
        <f t="shared" si="363"/>
        <v>283028.63</v>
      </c>
      <c r="CI102" s="83">
        <v>1071394.25</v>
      </c>
      <c r="CJ102" s="83">
        <v>51651.35</v>
      </c>
      <c r="CK102" s="83">
        <v>0</v>
      </c>
      <c r="CL102" s="83">
        <v>220120.48</v>
      </c>
      <c r="CM102" s="83">
        <v>0</v>
      </c>
      <c r="CN102" s="83">
        <v>289684.84000000003</v>
      </c>
      <c r="CO102" s="83">
        <f t="shared" ref="CO102:CO106" si="370">SUM(CI102:CN102)</f>
        <v>1632850.9200000002</v>
      </c>
      <c r="CP102" s="83">
        <v>4737589.0199999996</v>
      </c>
      <c r="CQ102" s="83">
        <v>37408.639999999999</v>
      </c>
      <c r="CR102" s="83">
        <v>0</v>
      </c>
      <c r="CS102" s="83">
        <v>242013.16</v>
      </c>
      <c r="CT102" s="83">
        <v>0</v>
      </c>
      <c r="CU102" s="83">
        <v>167021.14000000001</v>
      </c>
      <c r="CV102" s="83">
        <f t="shared" ref="CV102:CV106" si="371">SUM(CP102:CU102)</f>
        <v>5184031.959999999</v>
      </c>
      <c r="CW102" s="83">
        <v>1286216.31</v>
      </c>
      <c r="CX102" s="83">
        <v>29871.78</v>
      </c>
      <c r="CY102" s="83">
        <v>0</v>
      </c>
      <c r="CZ102" s="83">
        <v>188351.29</v>
      </c>
      <c r="DA102" s="83">
        <v>0</v>
      </c>
      <c r="DB102" s="83">
        <v>152832.68</v>
      </c>
      <c r="DC102" s="83">
        <f t="shared" ref="DC102:DC106" si="372">SUM(CW102:DB102)</f>
        <v>1657272.06</v>
      </c>
      <c r="DD102" s="83">
        <v>1656738.04</v>
      </c>
      <c r="DE102" s="83">
        <v>35769.629999999997</v>
      </c>
      <c r="DF102" s="83">
        <v>0</v>
      </c>
      <c r="DG102" s="83">
        <v>228623.99</v>
      </c>
      <c r="DH102" s="83">
        <v>0</v>
      </c>
      <c r="DI102" s="83">
        <v>142765.79999999999</v>
      </c>
      <c r="DJ102" s="83">
        <f t="shared" ref="DJ102:DJ106" si="373">SUM(DD102:DI102)</f>
        <v>2063897.46</v>
      </c>
      <c r="DK102" s="83">
        <f>[41]GERAL!$K$23</f>
        <v>1298958.6100000001</v>
      </c>
      <c r="DL102" s="83">
        <f>[41]GERAL!$K$24</f>
        <v>37247.589999999997</v>
      </c>
      <c r="DM102" s="83">
        <f>[41]GERAL!$K$25</f>
        <v>0</v>
      </c>
      <c r="DN102" s="83">
        <f>[41]GERAL!$K$26</f>
        <v>300485.11</v>
      </c>
      <c r="DO102" s="83">
        <f>[41]GERAL!$K$27</f>
        <v>0</v>
      </c>
      <c r="DP102" s="83">
        <f>[41]GERAL!$K$28</f>
        <v>189515.9</v>
      </c>
      <c r="DQ102" s="83">
        <f t="shared" ref="DQ102:DQ106" si="374">SUM(DK102:DP102)</f>
        <v>1826207.21</v>
      </c>
      <c r="DR102" s="83">
        <f>[41]GERAL!$K$30</f>
        <v>1035072.62</v>
      </c>
      <c r="DS102" s="83">
        <f>[41]GERAL!$K$31</f>
        <v>34077.24</v>
      </c>
      <c r="DT102" s="83">
        <f>[41]GERAL!$K$32</f>
        <v>0</v>
      </c>
      <c r="DU102" s="83">
        <f>[41]GERAL!$K$33</f>
        <v>285607.46000000002</v>
      </c>
      <c r="DV102" s="83">
        <f>[41]GERAL!$K$34</f>
        <v>0</v>
      </c>
      <c r="DW102" s="83">
        <f>[41]GERAL!$K$35</f>
        <v>162796.51</v>
      </c>
      <c r="DX102" s="83">
        <f t="shared" ref="DX102:DX106" si="375">SUM(DR102:DW102)</f>
        <v>1517553.83</v>
      </c>
      <c r="DY102" s="83">
        <f>'[42]ANO 2022'!$E$21</f>
        <v>1805101.31</v>
      </c>
      <c r="DZ102" s="83">
        <f>'[42]ANO 2022'!$E$22</f>
        <v>45509.84</v>
      </c>
      <c r="EA102" s="83">
        <f>'[42]ANO 2022'!$E$23</f>
        <v>0</v>
      </c>
      <c r="EB102" s="83">
        <f>'[42]ANO 2022'!$E$24</f>
        <v>317287.73</v>
      </c>
      <c r="EC102" s="83">
        <f>'[42]ANO 2022'!$E$25</f>
        <v>0</v>
      </c>
      <c r="ED102" s="83">
        <f>'[42]ANO 2022'!$E$26</f>
        <v>817954.83</v>
      </c>
      <c r="EE102" s="83">
        <f t="shared" ref="EE102:EE106" si="376">SUM(DY102:ED102)</f>
        <v>2985853.71</v>
      </c>
      <c r="EF102" s="83">
        <f>'[42]ANO 2022'!$E$28</f>
        <v>1511204.26</v>
      </c>
      <c r="EG102" s="83">
        <f>'[42]ANO 2022'!$E$29</f>
        <v>40810.61</v>
      </c>
      <c r="EH102" s="83">
        <f>'[42]ANO 2022'!$E$30</f>
        <v>0</v>
      </c>
      <c r="EI102" s="83">
        <f>'[42]ANO 2022'!$E$31</f>
        <v>272508.39</v>
      </c>
      <c r="EJ102" s="83">
        <f>'[42]ANO 2022'!$E$32</f>
        <v>0</v>
      </c>
      <c r="EK102" s="83">
        <f>'[42]ANO 2022'!$E$33</f>
        <v>206485.99</v>
      </c>
      <c r="EL102" s="83">
        <f t="shared" ref="EL102:EL106" si="377">SUM(EF102:EK102)</f>
        <v>2031009.2500000002</v>
      </c>
      <c r="EM102" s="83">
        <f>[40]PB!$Q$7</f>
        <v>1264216.57</v>
      </c>
      <c r="EN102" s="83">
        <f>[40]PB!$R$7</f>
        <v>35014.26</v>
      </c>
      <c r="EO102" s="83"/>
      <c r="EP102" s="83">
        <f>[40]PB!$P$7</f>
        <v>330094.28000000003</v>
      </c>
      <c r="EQ102" s="83"/>
      <c r="ER102" s="83">
        <f>[40]PB!$S$7</f>
        <v>1088478.05</v>
      </c>
      <c r="ES102" s="83">
        <f t="shared" ref="ES102:ES108" si="378">SUM(EM102:ER102)</f>
        <v>2717803.16</v>
      </c>
      <c r="ET102" s="83">
        <f>[40]PB!$U$7</f>
        <v>1209697.08</v>
      </c>
      <c r="EU102" s="83">
        <f>[40]PB!$W$7</f>
        <v>1177419.6599999999</v>
      </c>
      <c r="EV102" s="83"/>
      <c r="EW102" s="83">
        <f>[40]PB!$T$7</f>
        <v>312468.68</v>
      </c>
      <c r="EX102" s="83"/>
      <c r="EY102" s="83">
        <f>[40]PB!$V$7</f>
        <v>42775.35</v>
      </c>
      <c r="EZ102" s="83">
        <f t="shared" ref="EZ102:EZ104" si="379">SUM(ET102:EY102)</f>
        <v>2742360.7700000005</v>
      </c>
      <c r="FA102" s="83">
        <f>[27]PB!$R$15</f>
        <v>448684.34</v>
      </c>
      <c r="FB102" s="83">
        <f>[27]PB!$S$15</f>
        <v>39716.53</v>
      </c>
      <c r="FC102" s="83"/>
      <c r="FD102" s="83">
        <f>[27]PB!$Q$15</f>
        <v>383978.01</v>
      </c>
      <c r="FE102" s="83"/>
      <c r="FF102" s="83">
        <f>[27]PB!$T$15</f>
        <v>1101342.6399999999</v>
      </c>
      <c r="FG102" s="10">
        <f t="shared" ref="FG102:FG103" si="380">SUM(FA102:FF102)</f>
        <v>1973721.52</v>
      </c>
      <c r="FH102" s="83">
        <f>[27]PB!$V$15</f>
        <v>1197571.3400000001</v>
      </c>
      <c r="FI102" s="83">
        <f>[27]PB!$W$15</f>
        <v>34607.879999999997</v>
      </c>
      <c r="FJ102" s="83"/>
      <c r="FK102" s="83">
        <f>[27]PB!$U$15</f>
        <v>318697.5</v>
      </c>
      <c r="FL102" s="83"/>
      <c r="FM102" s="83">
        <f>[27]PB!$X$15</f>
        <v>1122801.05</v>
      </c>
      <c r="FN102" s="10">
        <f t="shared" ref="FN102:FN104" si="381">SUM(FH102:FM102)</f>
        <v>2673677.77</v>
      </c>
      <c r="FO102" s="10">
        <f>'[28]PB-2'!R15</f>
        <v>925256.77</v>
      </c>
      <c r="FP102" s="10">
        <f>'[28]PB-2'!S15</f>
        <v>45230.02</v>
      </c>
      <c r="FQ102" s="10"/>
      <c r="FR102" s="10">
        <f>'[28]PB-2'!Q15</f>
        <v>383632.49</v>
      </c>
      <c r="FS102" s="10"/>
      <c r="FT102" s="10">
        <f>'[28]PB-2'!T15</f>
        <v>1122467.6599999999</v>
      </c>
      <c r="FU102" s="10">
        <f t="shared" si="366"/>
        <v>2476586.94</v>
      </c>
      <c r="FV102" s="10">
        <f>'[28]PB-2'!V15</f>
        <v>401664.69</v>
      </c>
      <c r="FW102" s="10">
        <f>'[28]PB-2'!W15</f>
        <v>46036.15</v>
      </c>
      <c r="FX102" s="10"/>
      <c r="FY102" s="10">
        <f>'[28]PB-2'!U15</f>
        <v>380955.65</v>
      </c>
      <c r="FZ102" s="10"/>
      <c r="GA102" s="10">
        <f>'[28]PB-2'!X15</f>
        <v>528947.79</v>
      </c>
      <c r="GB102" s="10">
        <f t="shared" si="367"/>
        <v>1357604.28</v>
      </c>
      <c r="GC102" s="83">
        <f t="shared" ref="GC102:GC106" si="382">AQ102+AY102+BM102+CA102+CO102+DC102+DQ102+EE102+ES102+FG102+FU102</f>
        <v>20772151.310000002</v>
      </c>
      <c r="GD102" s="83">
        <f t="shared" ref="GD102:GD106" si="383">AR102+BF102+BT102+CH102+CV102+DJ102+DX102+EL102+EZ102+FN102+GB102</f>
        <v>18584450.77</v>
      </c>
      <c r="GE102" s="218"/>
      <c r="GG102" s="36"/>
      <c r="GH102" s="36"/>
      <c r="GI102" s="36"/>
      <c r="GJ102" s="36"/>
    </row>
    <row r="103" spans="1:192" s="5" customFormat="1" ht="12.75" x14ac:dyDescent="0.2">
      <c r="A103" s="256"/>
      <c r="B103" s="15" t="s">
        <v>156</v>
      </c>
      <c r="C103" s="1" t="s">
        <v>7</v>
      </c>
      <c r="D103" s="155" t="s">
        <v>155</v>
      </c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  <c r="AA103" s="82"/>
      <c r="AB103" s="82"/>
      <c r="AC103" s="82"/>
      <c r="AD103" s="82"/>
      <c r="AE103" s="82"/>
      <c r="AF103" s="82"/>
      <c r="AG103" s="82"/>
      <c r="AH103" s="82"/>
      <c r="AI103" s="82"/>
      <c r="AJ103" s="82"/>
      <c r="AK103" s="82"/>
      <c r="AL103" s="82"/>
      <c r="AM103" s="82"/>
      <c r="AN103" s="82"/>
      <c r="AO103" s="82"/>
      <c r="AP103" s="82"/>
      <c r="AQ103" s="82"/>
      <c r="AR103" s="82"/>
      <c r="AS103" s="82"/>
      <c r="AT103" s="82"/>
      <c r="AU103" s="82"/>
      <c r="AV103" s="82"/>
      <c r="AW103" s="82"/>
      <c r="AX103" s="82"/>
      <c r="AY103" s="82"/>
      <c r="AZ103" s="82"/>
      <c r="BA103" s="82"/>
      <c r="BB103" s="82"/>
      <c r="BC103" s="82"/>
      <c r="BD103" s="82"/>
      <c r="BE103" s="82"/>
      <c r="BF103" s="82"/>
      <c r="BG103" s="82"/>
      <c r="BH103" s="82"/>
      <c r="BI103" s="82"/>
      <c r="BJ103" s="82"/>
      <c r="BK103" s="82"/>
      <c r="BL103" s="82"/>
      <c r="BM103" s="82"/>
      <c r="BN103" s="82"/>
      <c r="BO103" s="82"/>
      <c r="BP103" s="82"/>
      <c r="BQ103" s="82"/>
      <c r="BR103" s="82"/>
      <c r="BS103" s="82"/>
      <c r="BT103" s="82"/>
      <c r="BU103" s="82"/>
      <c r="BV103" s="82"/>
      <c r="BW103" s="82"/>
      <c r="BX103" s="82"/>
      <c r="BY103" s="82"/>
      <c r="BZ103" s="82"/>
      <c r="CA103" s="82"/>
      <c r="CB103" s="82"/>
      <c r="CC103" s="82"/>
      <c r="CD103" s="82"/>
      <c r="CE103" s="82"/>
      <c r="CF103" s="82"/>
      <c r="CG103" s="82"/>
      <c r="CH103" s="82"/>
      <c r="CI103" s="82"/>
      <c r="CJ103" s="82"/>
      <c r="CK103" s="82"/>
      <c r="CL103" s="82"/>
      <c r="CM103" s="82"/>
      <c r="CN103" s="82"/>
      <c r="CO103" s="82"/>
      <c r="CP103" s="82"/>
      <c r="CQ103" s="82"/>
      <c r="CR103" s="82"/>
      <c r="CS103" s="82"/>
      <c r="CT103" s="82"/>
      <c r="CU103" s="82"/>
      <c r="CV103" s="82"/>
      <c r="CW103" s="82"/>
      <c r="CX103" s="82"/>
      <c r="CY103" s="82"/>
      <c r="CZ103" s="82"/>
      <c r="DA103" s="82"/>
      <c r="DB103" s="82"/>
      <c r="DC103" s="82"/>
      <c r="DD103" s="82"/>
      <c r="DE103" s="82"/>
      <c r="DF103" s="82"/>
      <c r="DG103" s="82"/>
      <c r="DH103" s="82"/>
      <c r="DI103" s="82"/>
      <c r="DJ103" s="82"/>
      <c r="DK103" s="82"/>
      <c r="DL103" s="82"/>
      <c r="DM103" s="82"/>
      <c r="DN103" s="82"/>
      <c r="DO103" s="82"/>
      <c r="DP103" s="82"/>
      <c r="DQ103" s="82"/>
      <c r="DR103" s="82"/>
      <c r="DS103" s="82"/>
      <c r="DT103" s="82"/>
      <c r="DU103" s="82"/>
      <c r="DV103" s="82"/>
      <c r="DW103" s="82"/>
      <c r="DX103" s="82"/>
      <c r="DY103" s="83">
        <f>'[43]ANO 2022'!$E$6</f>
        <v>519663.87</v>
      </c>
      <c r="DZ103" s="83">
        <f>'[43]ANO 2022'!$E$7</f>
        <v>0</v>
      </c>
      <c r="EA103" s="83">
        <f>'[43]ANO 2022'!$E$8</f>
        <v>0</v>
      </c>
      <c r="EB103" s="83">
        <f>'[43]ANO 2022'!$E$9</f>
        <v>0</v>
      </c>
      <c r="EC103" s="83">
        <f>'[43]ANO 2022'!$E$10</f>
        <v>0</v>
      </c>
      <c r="ED103" s="83">
        <f>'[43]ANO 2022'!$E$11</f>
        <v>794.71</v>
      </c>
      <c r="EE103" s="83">
        <f t="shared" si="376"/>
        <v>520458.58</v>
      </c>
      <c r="EF103" s="83">
        <f>[43]GERAL!$E$15</f>
        <v>433053.2</v>
      </c>
      <c r="EG103" s="83">
        <f>[43]GERAL!$E$16</f>
        <v>0</v>
      </c>
      <c r="EH103" s="83">
        <f>[43]GERAL!$E$17</f>
        <v>0</v>
      </c>
      <c r="EI103" s="83">
        <f>[43]GERAL!$E$18</f>
        <v>0</v>
      </c>
      <c r="EJ103" s="83">
        <f>[43]GERAL!$E$19</f>
        <v>0</v>
      </c>
      <c r="EK103" s="83">
        <f>[43]GERAL!$E$20</f>
        <v>0</v>
      </c>
      <c r="EL103" s="83">
        <f t="shared" si="377"/>
        <v>433053.2</v>
      </c>
      <c r="EM103" s="83">
        <f>[40]PB2!$Q$6</f>
        <v>520458.57</v>
      </c>
      <c r="EN103" s="83"/>
      <c r="EO103" s="83"/>
      <c r="EP103" s="83"/>
      <c r="EQ103" s="83"/>
      <c r="ER103" s="83"/>
      <c r="ES103" s="83">
        <f t="shared" si="378"/>
        <v>520458.57</v>
      </c>
      <c r="ET103" s="83">
        <f>[40]PB2!$U$6</f>
        <v>607993.32999999996</v>
      </c>
      <c r="EU103" s="83"/>
      <c r="EV103" s="83"/>
      <c r="EW103" s="83"/>
      <c r="EX103" s="83"/>
      <c r="EY103" s="83"/>
      <c r="EZ103" s="83">
        <f t="shared" si="379"/>
        <v>607993.32999999996</v>
      </c>
      <c r="FA103" s="83">
        <v>613785</v>
      </c>
      <c r="FB103" s="83"/>
      <c r="FC103" s="83"/>
      <c r="FD103" s="83"/>
      <c r="FE103" s="83"/>
      <c r="FF103" s="83"/>
      <c r="FG103" s="10">
        <f t="shared" si="380"/>
        <v>613785</v>
      </c>
      <c r="FH103" s="83">
        <v>610866.38088000007</v>
      </c>
      <c r="FI103" s="83"/>
      <c r="FJ103" s="83"/>
      <c r="FK103" s="83"/>
      <c r="FL103" s="83"/>
      <c r="FM103" s="83"/>
      <c r="FN103" s="10">
        <f t="shared" si="381"/>
        <v>610866.38088000007</v>
      </c>
      <c r="FO103" s="10">
        <f>'[28]PB-1'!$Q$7</f>
        <v>909433.99</v>
      </c>
      <c r="FP103" s="10"/>
      <c r="FQ103" s="10"/>
      <c r="FR103" s="10"/>
      <c r="FS103" s="10"/>
      <c r="FT103" s="10"/>
      <c r="FU103" s="10">
        <f t="shared" si="366"/>
        <v>909433.99</v>
      </c>
      <c r="FV103" s="10">
        <f>'[28]PB-1'!$U$7</f>
        <v>911666.28</v>
      </c>
      <c r="FW103" s="10"/>
      <c r="FX103" s="10"/>
      <c r="FY103" s="10"/>
      <c r="FZ103" s="10"/>
      <c r="GA103" s="10">
        <f>'[28]PB-1'!$W$7</f>
        <v>268.24</v>
      </c>
      <c r="GB103" s="10">
        <f t="shared" si="367"/>
        <v>911934.52</v>
      </c>
      <c r="GC103" s="83">
        <f t="shared" si="382"/>
        <v>2564136.1399999997</v>
      </c>
      <c r="GD103" s="83">
        <f t="shared" si="383"/>
        <v>2563847.4308799999</v>
      </c>
      <c r="GE103" s="218"/>
      <c r="GG103" s="36"/>
      <c r="GH103" s="36"/>
      <c r="GI103" s="36"/>
      <c r="GJ103" s="36"/>
    </row>
    <row r="104" spans="1:192" s="5" customFormat="1" ht="12.75" x14ac:dyDescent="0.2">
      <c r="A104" s="256"/>
      <c r="B104" s="15" t="s">
        <v>149</v>
      </c>
      <c r="C104" s="1" t="s">
        <v>95</v>
      </c>
      <c r="D104" s="18">
        <v>42005</v>
      </c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  <c r="AA104" s="82"/>
      <c r="AB104" s="82"/>
      <c r="AC104" s="82"/>
      <c r="AD104" s="82"/>
      <c r="AE104" s="82"/>
      <c r="AF104" s="82"/>
      <c r="AG104" s="82"/>
      <c r="AH104" s="82"/>
      <c r="AI104" s="82"/>
      <c r="AJ104" s="82"/>
      <c r="AK104" s="82"/>
      <c r="AL104" s="82"/>
      <c r="AM104" s="82"/>
      <c r="AN104" s="82"/>
      <c r="AO104" s="82"/>
      <c r="AP104" s="82"/>
      <c r="AQ104" s="146">
        <v>466210.77999999997</v>
      </c>
      <c r="AR104" s="146">
        <v>82838.509999999995</v>
      </c>
      <c r="AS104" s="128">
        <v>211353.56</v>
      </c>
      <c r="AT104" s="128">
        <v>52105.5</v>
      </c>
      <c r="AU104" s="50"/>
      <c r="AV104" s="128">
        <v>200466.7</v>
      </c>
      <c r="AW104" s="82"/>
      <c r="AX104" s="10">
        <v>67663.38</v>
      </c>
      <c r="AY104" s="10">
        <f>SUM(AS104:AX104)</f>
        <v>531589.14</v>
      </c>
      <c r="AZ104" s="128">
        <v>0</v>
      </c>
      <c r="BA104" s="10">
        <v>57497.21</v>
      </c>
      <c r="BB104" s="50"/>
      <c r="BC104" s="128">
        <v>137906.41</v>
      </c>
      <c r="BD104" s="82"/>
      <c r="BE104" s="10">
        <v>48836.3</v>
      </c>
      <c r="BF104" s="10">
        <f>SUM(AZ104:BE104)</f>
        <v>244239.91999999998</v>
      </c>
      <c r="BG104" s="83">
        <v>0</v>
      </c>
      <c r="BH104" s="83">
        <v>52944.81</v>
      </c>
      <c r="BI104" s="83">
        <v>0</v>
      </c>
      <c r="BJ104" s="83">
        <v>155232.17000000001</v>
      </c>
      <c r="BK104" s="83">
        <v>0</v>
      </c>
      <c r="BL104" s="83">
        <v>294857.38</v>
      </c>
      <c r="BM104" s="10">
        <f t="shared" si="368"/>
        <v>503034.36</v>
      </c>
      <c r="BN104" s="83">
        <v>0</v>
      </c>
      <c r="BO104" s="83">
        <v>66961.350000000006</v>
      </c>
      <c r="BP104" s="83">
        <v>0</v>
      </c>
      <c r="BQ104" s="83">
        <v>139602.39000000001</v>
      </c>
      <c r="BR104" s="83">
        <v>0</v>
      </c>
      <c r="BS104" s="83">
        <v>28295.68</v>
      </c>
      <c r="BT104" s="10">
        <f t="shared" si="369"/>
        <v>234859.42</v>
      </c>
      <c r="BU104" s="83"/>
      <c r="BV104" s="83">
        <v>821.25</v>
      </c>
      <c r="BW104" s="83">
        <v>0</v>
      </c>
      <c r="BX104" s="83">
        <v>155963.56</v>
      </c>
      <c r="BY104" s="83">
        <v>0</v>
      </c>
      <c r="BZ104" s="83">
        <v>47661.120000000003</v>
      </c>
      <c r="CA104" s="10">
        <f t="shared" si="362"/>
        <v>204445.93</v>
      </c>
      <c r="CB104" s="83">
        <v>0</v>
      </c>
      <c r="CC104" s="83">
        <v>39375.51</v>
      </c>
      <c r="CD104" s="83">
        <v>0</v>
      </c>
      <c r="CE104" s="83">
        <v>151297.89000000001</v>
      </c>
      <c r="CF104" s="83">
        <v>0</v>
      </c>
      <c r="CG104" s="83">
        <v>33549.14</v>
      </c>
      <c r="CH104" s="10">
        <f t="shared" si="363"/>
        <v>224222.54000000004</v>
      </c>
      <c r="CI104" s="83">
        <v>117469.23</v>
      </c>
      <c r="CJ104" s="83">
        <v>51892.56</v>
      </c>
      <c r="CK104" s="83">
        <v>0</v>
      </c>
      <c r="CL104" s="83">
        <v>273927.18</v>
      </c>
      <c r="CM104" s="83">
        <v>0</v>
      </c>
      <c r="CN104" s="83">
        <v>121164.64</v>
      </c>
      <c r="CO104" s="83">
        <f t="shared" si="370"/>
        <v>564453.61</v>
      </c>
      <c r="CP104" s="83">
        <v>933541.27</v>
      </c>
      <c r="CQ104" s="83">
        <v>40527.230000000003</v>
      </c>
      <c r="CR104" s="83">
        <v>0</v>
      </c>
      <c r="CS104" s="83">
        <v>230329.87</v>
      </c>
      <c r="CT104" s="83">
        <v>0</v>
      </c>
      <c r="CU104" s="83">
        <v>89671.35</v>
      </c>
      <c r="CV104" s="83">
        <f t="shared" si="371"/>
        <v>1294069.7200000002</v>
      </c>
      <c r="CW104" s="83">
        <v>251118.56999999998</v>
      </c>
      <c r="CX104" s="83">
        <v>56769.53</v>
      </c>
      <c r="CY104" s="83">
        <v>0</v>
      </c>
      <c r="CZ104" s="83">
        <v>283514.43</v>
      </c>
      <c r="DA104" s="83">
        <v>0</v>
      </c>
      <c r="DB104" s="83">
        <v>109080.56999999999</v>
      </c>
      <c r="DC104" s="83">
        <f t="shared" si="372"/>
        <v>700483.1</v>
      </c>
      <c r="DD104" s="83">
        <v>241892.97</v>
      </c>
      <c r="DE104" s="83">
        <v>47972.04</v>
      </c>
      <c r="DF104" s="83">
        <v>0</v>
      </c>
      <c r="DG104" s="83">
        <v>261229.13</v>
      </c>
      <c r="DH104" s="83">
        <v>0</v>
      </c>
      <c r="DI104" s="83">
        <v>96447.150000000009</v>
      </c>
      <c r="DJ104" s="83">
        <f t="shared" si="373"/>
        <v>647541.29</v>
      </c>
      <c r="DK104" s="83">
        <f>[41]GERAL!$K$74+[41]GERAL!$K$91+[41]GERAL!$K$108</f>
        <v>309862.78999999998</v>
      </c>
      <c r="DL104" s="83">
        <f>[41]GERAL!$K$75+[41]GERAL!$K$92+[41]GERAL!$K$109</f>
        <v>52667.67</v>
      </c>
      <c r="DM104" s="83">
        <f>[41]GERAL!$K$76+[41]GERAL!$K$93+[41]GERAL!$K$110</f>
        <v>0</v>
      </c>
      <c r="DN104" s="83">
        <f>[41]GERAL!$K$77+[41]GERAL!$K$94+[41]GERAL!$K$111</f>
        <v>320750.09999999998</v>
      </c>
      <c r="DO104" s="83">
        <f>[41]GERAL!$K$78+[41]GERAL!$K$95+[41]GERAL!$K$112</f>
        <v>0</v>
      </c>
      <c r="DP104" s="83">
        <f>[41]GERAL!$K$79+[41]GERAL!$K$96+[41]GERAL!$K$113</f>
        <v>111819.24</v>
      </c>
      <c r="DQ104" s="83">
        <f t="shared" si="374"/>
        <v>795099.79999999993</v>
      </c>
      <c r="DR104" s="83">
        <f>[41]GERAL!$K$81+[41]GERAL!$K$98+[41]GERAL!$K$115</f>
        <v>177750.36</v>
      </c>
      <c r="DS104" s="83">
        <f>[41]GERAL!$K$82+[41]GERAL!$K$99+[41]GERAL!$K$116</f>
        <v>58494.36</v>
      </c>
      <c r="DT104" s="83">
        <f>[41]GERAL!$K$83+[41]GERAL!$K$100+[41]GERAL!$K$117</f>
        <v>0</v>
      </c>
      <c r="DU104" s="83">
        <f>[41]GERAL!$K$84+[41]GERAL!$K$101+[41]GERAL!$K$118</f>
        <v>326653.15000000002</v>
      </c>
      <c r="DV104" s="83">
        <f>[41]GERAL!$K$85+[41]GERAL!$K$102+[41]GERAL!$K$119</f>
        <v>0</v>
      </c>
      <c r="DW104" s="83">
        <f>[41]GERAL!$K$86+[41]GERAL!$K$103+[41]GERAL!$K$120</f>
        <v>115999.82999999999</v>
      </c>
      <c r="DX104" s="83">
        <f t="shared" si="375"/>
        <v>678897.7</v>
      </c>
      <c r="DY104" s="83">
        <f>'[42]ANO 2022'!$E$72+'[42]ANO 2022'!$E$89+'[42]ANO 2022'!$E$106</f>
        <v>329437.92</v>
      </c>
      <c r="DZ104" s="83">
        <f>'[42]ANO 2022'!$E$73+'[42]ANO 2022'!$E$90+'[42]ANO 2022'!$E$107</f>
        <v>55923.100000000006</v>
      </c>
      <c r="EA104" s="83">
        <f>'[42]ANO 2022'!$E$74+'[42]ANO 2022'!$E$91+'[42]ANO 2022'!$E$108</f>
        <v>0</v>
      </c>
      <c r="EB104" s="83">
        <f>'[42]ANO 2022'!$E$75+'[42]ANO 2022'!$E$92+'[42]ANO 2022'!$E$109</f>
        <v>353402.11</v>
      </c>
      <c r="EC104" s="83">
        <f>'[42]ANO 2022'!$E$76+'[42]ANO 2022'!$E$93+'[42]ANO 2022'!$E$110</f>
        <v>0</v>
      </c>
      <c r="ED104" s="83">
        <f>'[42]ANO 2022'!$E$77+'[42]ANO 2022'!$E$94+'[42]ANO 2022'!$E$111</f>
        <v>171256.03000000003</v>
      </c>
      <c r="EE104" s="83">
        <f t="shared" si="376"/>
        <v>910019.16</v>
      </c>
      <c r="EF104" s="83">
        <f>'[42]ANO 2022'!$E$79+'[42]ANO 2022'!$E$96+'[42]ANO 2022'!$E$113</f>
        <v>322965</v>
      </c>
      <c r="EG104" s="83">
        <f>'[42]ANO 2022'!$E$80+'[42]ANO 2022'!$E$97+'[42]ANO 2022'!$E$114</f>
        <v>53040.04</v>
      </c>
      <c r="EH104" s="83">
        <f>'[42]ANO 2022'!$E$81+'[42]ANO 2022'!$E$98+'[42]ANO 2022'!$E$115</f>
        <v>0</v>
      </c>
      <c r="EI104" s="83">
        <f>'[42]ANO 2022'!$E$82+'[42]ANO 2022'!$E$99+'[42]ANO 2022'!$E$116</f>
        <v>385742.57000000007</v>
      </c>
      <c r="EJ104" s="83">
        <f>'[42]ANO 2022'!$E$83+'[42]ANO 2022'!$E$100+'[42]ANO 2022'!$E$117</f>
        <v>0</v>
      </c>
      <c r="EK104" s="83">
        <f>'[42]ANO 2022'!$E$84+'[42]ANO 2022'!$E$101+'[42]ANO 2022'!$E$118</f>
        <v>98958.59</v>
      </c>
      <c r="EL104" s="83">
        <f t="shared" si="377"/>
        <v>860706.20000000007</v>
      </c>
      <c r="EM104" s="83">
        <f>[40]PB!$Q$11+[40]PB!$Q$12+[40]PB!$Q$10</f>
        <v>324684.78000000003</v>
      </c>
      <c r="EN104" s="83">
        <f>[40]PB!$R$11+[40]PB!$R$12+[40]PB!$R$10</f>
        <v>55361.270000000004</v>
      </c>
      <c r="EO104" s="83"/>
      <c r="EP104" s="83">
        <f>[40]PB!$P$11+[40]PB!$P$12+[40]PB!$P$10</f>
        <v>382234.52</v>
      </c>
      <c r="EQ104" s="83"/>
      <c r="ER104" s="83">
        <f>[40]PB!$S$11+[40]PB!$S$12+[40]PB!$S$10</f>
        <v>132402.41999999998</v>
      </c>
      <c r="ES104" s="83">
        <f t="shared" si="378"/>
        <v>894682.99</v>
      </c>
      <c r="ET104" s="83">
        <f>[40]PB!$U$11+[40]PB!$U$12+[40]PB!$U$10</f>
        <v>333991.62999999995</v>
      </c>
      <c r="EU104" s="83">
        <f>[40]PB!$W$11+[40]PB!$W$12+[40]PB!$W$10</f>
        <v>143385.96</v>
      </c>
      <c r="EV104" s="83"/>
      <c r="EW104" s="83">
        <f>[40]PB!$T$11+[40]PB!$T$12+[40]PB!$T$10</f>
        <v>343873.13</v>
      </c>
      <c r="EX104" s="83"/>
      <c r="EY104" s="83">
        <f>[40]PB!$V$11+[40]PB!$V$12+[40]PB!$V$10</f>
        <v>56342.21</v>
      </c>
      <c r="EZ104" s="83">
        <f t="shared" si="379"/>
        <v>877592.92999999993</v>
      </c>
      <c r="FA104" s="83">
        <f>[27]PB!$R$18+FA195+FA196</f>
        <v>304001.21000000002</v>
      </c>
      <c r="FB104" s="83">
        <f>[27]PB!$S$18+FB195+FB196</f>
        <v>57381.25</v>
      </c>
      <c r="FC104" s="83"/>
      <c r="FD104" s="83">
        <f>[27]PB!$Q$18+FD195+FD196</f>
        <v>387516.44999999995</v>
      </c>
      <c r="FE104" s="83"/>
      <c r="FF104" s="83">
        <f>[27]PB!$T$18+FF195+FF196</f>
        <v>137355.74</v>
      </c>
      <c r="FG104" s="10">
        <f t="shared" ref="FG104" si="384">SUM(FA104:FF104)</f>
        <v>886254.64999999991</v>
      </c>
      <c r="FH104" s="83">
        <f>[27]PB!$V$18+FH195+FH196</f>
        <v>298815.63000000006</v>
      </c>
      <c r="FI104" s="83">
        <f>[27]PB!$W$18+FI195+FI196</f>
        <v>95677.69</v>
      </c>
      <c r="FJ104" s="83"/>
      <c r="FK104" s="83">
        <f>[27]PB!$U$18+FK195+FK196</f>
        <v>352756.83</v>
      </c>
      <c r="FL104" s="83"/>
      <c r="FM104" s="83">
        <f>[27]PB!$X$18+FM195+FM196</f>
        <v>98618.889999999985</v>
      </c>
      <c r="FN104" s="10">
        <f t="shared" si="381"/>
        <v>845869.04000000015</v>
      </c>
      <c r="FO104" s="10">
        <f>'[28]PB-2'!R18+'[28]PB-2'!R19+'[28]PB-2'!R20</f>
        <v>333373.90000000002</v>
      </c>
      <c r="FP104" s="10">
        <f>'[28]PB-2'!S18+'[28]PB-2'!S19+'[28]PB-2'!S20</f>
        <v>147114.76</v>
      </c>
      <c r="FQ104" s="10"/>
      <c r="FR104" s="10">
        <f>'[28]PB-2'!Q18+'[28]PB-2'!Q19+'[28]PB-2'!Q20</f>
        <v>418568.17000000004</v>
      </c>
      <c r="FS104" s="10"/>
      <c r="FT104" s="10">
        <f>'[28]PB-2'!T18+'[28]PB-2'!T19+'[28]PB-2'!T20</f>
        <v>56958.570000000007</v>
      </c>
      <c r="FU104" s="10">
        <f t="shared" si="366"/>
        <v>956015.40000000014</v>
      </c>
      <c r="FV104" s="10">
        <f>'[28]PB-2'!V18+'[28]PB-2'!V19+'[28]PB-2'!V20</f>
        <v>314421.98000000004</v>
      </c>
      <c r="FW104" s="10">
        <f>'[28]PB-2'!W18+'[28]PB-2'!W19+'[28]PB-2'!W20</f>
        <v>53104.630000000005</v>
      </c>
      <c r="FX104" s="10"/>
      <c r="FY104" s="10">
        <f>'[28]PB-2'!U18+'[28]PB-2'!U19+'[28]PB-2'!U20</f>
        <v>489026.48000000004</v>
      </c>
      <c r="FZ104" s="10"/>
      <c r="GA104" s="10">
        <f>'[28]PB-2'!X18+'[28]PB-2'!X19+'[28]PB-2'!X20</f>
        <v>144027.95000000001</v>
      </c>
      <c r="GB104" s="10">
        <f t="shared" si="367"/>
        <v>1000581.04</v>
      </c>
      <c r="GC104" s="83">
        <f t="shared" si="382"/>
        <v>7412288.9199999999</v>
      </c>
      <c r="GD104" s="83">
        <f t="shared" si="383"/>
        <v>6991418.3100000005</v>
      </c>
      <c r="GE104" s="218"/>
      <c r="GG104" s="36"/>
      <c r="GH104" s="36"/>
      <c r="GI104" s="36"/>
      <c r="GJ104" s="36"/>
    </row>
    <row r="105" spans="1:192" s="5" customFormat="1" ht="12.75" x14ac:dyDescent="0.2">
      <c r="A105" s="256"/>
      <c r="B105" s="15" t="s">
        <v>144</v>
      </c>
      <c r="C105" s="1" t="s">
        <v>95</v>
      </c>
      <c r="D105" s="18">
        <v>42005</v>
      </c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  <c r="AA105" s="82"/>
      <c r="AB105" s="82"/>
      <c r="AC105" s="82"/>
      <c r="AD105" s="82"/>
      <c r="AE105" s="82"/>
      <c r="AF105" s="82"/>
      <c r="AG105" s="82"/>
      <c r="AH105" s="82"/>
      <c r="AI105" s="82"/>
      <c r="AJ105" s="82"/>
      <c r="AK105" s="82"/>
      <c r="AL105" s="82"/>
      <c r="AM105" s="82"/>
      <c r="AN105" s="82"/>
      <c r="AO105" s="82"/>
      <c r="AP105" s="82"/>
      <c r="AQ105" s="146">
        <v>174676.56</v>
      </c>
      <c r="AR105" s="146">
        <v>0</v>
      </c>
      <c r="AS105" s="128">
        <v>0</v>
      </c>
      <c r="AT105" s="128">
        <v>0</v>
      </c>
      <c r="AU105" s="132"/>
      <c r="AV105" s="128">
        <v>0</v>
      </c>
      <c r="AW105" s="82"/>
      <c r="AX105" s="128">
        <v>0</v>
      </c>
      <c r="AY105" s="10">
        <f>SUM(AS105:AX105)</f>
        <v>0</v>
      </c>
      <c r="AZ105" s="128">
        <v>0</v>
      </c>
      <c r="BA105" s="128">
        <v>0</v>
      </c>
      <c r="BB105" s="132"/>
      <c r="BC105" s="128">
        <v>0</v>
      </c>
      <c r="BD105" s="82"/>
      <c r="BE105" s="128">
        <v>0</v>
      </c>
      <c r="BF105" s="10">
        <f>SUM(AZ105:BE105)</f>
        <v>0</v>
      </c>
      <c r="BG105" s="83">
        <v>0</v>
      </c>
      <c r="BH105" s="147">
        <v>1314</v>
      </c>
      <c r="BI105" s="83">
        <v>0</v>
      </c>
      <c r="BJ105" s="83">
        <v>0</v>
      </c>
      <c r="BK105" s="83">
        <v>0</v>
      </c>
      <c r="BL105" s="83">
        <v>115005.4</v>
      </c>
      <c r="BM105" s="10">
        <f t="shared" si="368"/>
        <v>116319.4</v>
      </c>
      <c r="BN105" s="83">
        <v>0</v>
      </c>
      <c r="BO105" s="83">
        <v>0</v>
      </c>
      <c r="BP105" s="83">
        <v>0</v>
      </c>
      <c r="BQ105" s="83">
        <v>0</v>
      </c>
      <c r="BR105" s="83">
        <v>0</v>
      </c>
      <c r="BS105" s="83">
        <v>0</v>
      </c>
      <c r="BT105" s="10">
        <f t="shared" si="369"/>
        <v>0</v>
      </c>
      <c r="BU105" s="83">
        <v>8729.59</v>
      </c>
      <c r="BV105" s="83">
        <v>2859.91</v>
      </c>
      <c r="BW105" s="83">
        <v>0</v>
      </c>
      <c r="BX105" s="83">
        <v>0</v>
      </c>
      <c r="BY105" s="83">
        <v>0</v>
      </c>
      <c r="BZ105" s="83">
        <v>1930.81</v>
      </c>
      <c r="CA105" s="10">
        <f t="shared" si="362"/>
        <v>13520.31</v>
      </c>
      <c r="CB105" s="83">
        <v>0</v>
      </c>
      <c r="CC105" s="147">
        <v>2156.31</v>
      </c>
      <c r="CD105" s="83">
        <v>0</v>
      </c>
      <c r="CE105" s="83">
        <v>0</v>
      </c>
      <c r="CF105" s="83">
        <v>0</v>
      </c>
      <c r="CG105" s="147">
        <v>1220.92</v>
      </c>
      <c r="CH105" s="10">
        <f t="shared" si="363"/>
        <v>3377.23</v>
      </c>
      <c r="CI105" s="83">
        <v>92447.57</v>
      </c>
      <c r="CJ105" s="83">
        <v>9941.57</v>
      </c>
      <c r="CK105" s="83">
        <v>0</v>
      </c>
      <c r="CL105" s="83">
        <v>0</v>
      </c>
      <c r="CM105" s="83">
        <v>0</v>
      </c>
      <c r="CN105" s="83">
        <v>9356.64</v>
      </c>
      <c r="CO105" s="83">
        <f t="shared" si="370"/>
        <v>111745.78000000001</v>
      </c>
      <c r="CP105" s="83">
        <v>160932.03</v>
      </c>
      <c r="CQ105" s="83">
        <v>8025.66</v>
      </c>
      <c r="CR105" s="83">
        <v>0</v>
      </c>
      <c r="CS105" s="83">
        <v>0</v>
      </c>
      <c r="CT105" s="83">
        <v>0</v>
      </c>
      <c r="CU105" s="83">
        <v>4392.5600000000004</v>
      </c>
      <c r="CV105" s="83">
        <f t="shared" si="371"/>
        <v>173350.25</v>
      </c>
      <c r="CW105" s="83">
        <v>102301.43</v>
      </c>
      <c r="CX105" s="83">
        <v>9693.7000000000007</v>
      </c>
      <c r="CY105" s="83">
        <v>0</v>
      </c>
      <c r="CZ105" s="83">
        <v>0</v>
      </c>
      <c r="DA105" s="83">
        <v>0</v>
      </c>
      <c r="DB105" s="83">
        <v>8217.82</v>
      </c>
      <c r="DC105" s="83">
        <f t="shared" si="372"/>
        <v>120212.94999999998</v>
      </c>
      <c r="DD105" s="83">
        <v>133273.60999999999</v>
      </c>
      <c r="DE105" s="83">
        <v>9946.11</v>
      </c>
      <c r="DF105" s="83">
        <v>0</v>
      </c>
      <c r="DG105" s="83">
        <v>0</v>
      </c>
      <c r="DH105" s="83"/>
      <c r="DI105" s="83">
        <v>4339.97</v>
      </c>
      <c r="DJ105" s="83">
        <f t="shared" si="373"/>
        <v>147559.68999999997</v>
      </c>
      <c r="DK105" s="83">
        <f>[41]GERAL!$K$5</f>
        <v>267577.37</v>
      </c>
      <c r="DL105" s="83">
        <f>[41]GERAL!$K$6</f>
        <v>18076.099999999999</v>
      </c>
      <c r="DM105" s="83">
        <f>[41]GERAL!$K$7</f>
        <v>0</v>
      </c>
      <c r="DN105" s="83">
        <f>[41]GERAL!$K$8</f>
        <v>0</v>
      </c>
      <c r="DO105" s="83">
        <f>[41]GERAL!$K$9</f>
        <v>0</v>
      </c>
      <c r="DP105" s="83">
        <f>[41]GERAL!$K$10</f>
        <v>3154.89</v>
      </c>
      <c r="DQ105" s="83">
        <f t="shared" si="374"/>
        <v>288808.36</v>
      </c>
      <c r="DR105" s="83">
        <f>[41]GERAL!$K$12</f>
        <v>83608.88</v>
      </c>
      <c r="DS105" s="83">
        <f>[41]GERAL!$K$13</f>
        <v>19198.07</v>
      </c>
      <c r="DT105" s="83">
        <f>[41]GERAL!$K$14</f>
        <v>0</v>
      </c>
      <c r="DU105" s="83">
        <f>[41]GERAL!$K$15</f>
        <v>0</v>
      </c>
      <c r="DV105" s="83">
        <f>[41]GERAL!$K$16</f>
        <v>0</v>
      </c>
      <c r="DW105" s="83">
        <f>[41]GERAL!$K$17</f>
        <v>3454.49</v>
      </c>
      <c r="DX105" s="83">
        <f t="shared" si="375"/>
        <v>106261.44000000002</v>
      </c>
      <c r="DY105" s="83">
        <f>'[42]ANO 2022'!$E$4</f>
        <v>306077.84000000003</v>
      </c>
      <c r="DZ105" s="83">
        <f>'[42]ANO 2022'!$E$5</f>
        <v>30113.46</v>
      </c>
      <c r="EA105" s="83">
        <f>'[42]ANO 2022'!$E$6</f>
        <v>0</v>
      </c>
      <c r="EB105" s="83">
        <f>'[42]ANO 2022'!$E$7</f>
        <v>0</v>
      </c>
      <c r="EC105" s="83">
        <f>'[42]ANO 2022'!$E$8</f>
        <v>0</v>
      </c>
      <c r="ED105" s="83">
        <f>'[42]ANO 2022'!$E$9</f>
        <v>64561.79</v>
      </c>
      <c r="EE105" s="83">
        <f t="shared" si="376"/>
        <v>400753.09</v>
      </c>
      <c r="EF105" s="83">
        <f>'[42]ANO 2022'!$E$11</f>
        <v>245641.08</v>
      </c>
      <c r="EG105" s="83">
        <f>'[42]ANO 2022'!$E$12</f>
        <v>29984.79</v>
      </c>
      <c r="EH105" s="83">
        <f>'[42]ANO 2022'!$E$13</f>
        <v>0</v>
      </c>
      <c r="EI105" s="83">
        <f>'[42]ANO 2022'!$E$14</f>
        <v>0</v>
      </c>
      <c r="EJ105" s="83">
        <f>'[42]ANO 2022'!$E$15</f>
        <v>0</v>
      </c>
      <c r="EK105" s="83">
        <f>'[42]ANO 2022'!$E$16</f>
        <v>6739.7</v>
      </c>
      <c r="EL105" s="83">
        <f>SUM(EF105:EK105)</f>
        <v>282365.57</v>
      </c>
      <c r="EM105" s="83">
        <f>[40]PB!$Q$6</f>
        <v>470719.71</v>
      </c>
      <c r="EN105" s="83">
        <f>[40]PB!$R$6</f>
        <v>21089.1</v>
      </c>
      <c r="EO105" s="83"/>
      <c r="EP105" s="83">
        <f>[40]PB!$P$6</f>
        <v>610.28</v>
      </c>
      <c r="EQ105" s="83"/>
      <c r="ER105" s="83">
        <f>[40]PB!$S$6</f>
        <v>33631.589999999997</v>
      </c>
      <c r="ES105" s="83">
        <f t="shared" si="378"/>
        <v>526050.68000000005</v>
      </c>
      <c r="ET105" s="83">
        <f>[40]PB!$U$6</f>
        <v>328669.52</v>
      </c>
      <c r="EU105" s="83">
        <f>[40]PB!$W$6</f>
        <v>28081.21</v>
      </c>
      <c r="EV105" s="83"/>
      <c r="EW105" s="83">
        <f>[40]PB!$T$6</f>
        <v>0</v>
      </c>
      <c r="EX105" s="83"/>
      <c r="EY105" s="83">
        <f>[40]PB!$V$6</f>
        <v>31022.21</v>
      </c>
      <c r="EZ105" s="83">
        <f>SUM(ET105:EY105)</f>
        <v>387772.94000000006</v>
      </c>
      <c r="FA105" s="83">
        <f>[27]PB!$R$14</f>
        <v>418149.13</v>
      </c>
      <c r="FB105" s="83">
        <f>[27]PB!$S$14</f>
        <v>46931.64</v>
      </c>
      <c r="FC105" s="83"/>
      <c r="FD105" s="83">
        <f>[27]PB!$Q$14</f>
        <v>3810.6</v>
      </c>
      <c r="FE105" s="83"/>
      <c r="FF105" s="83">
        <f>[27]PB!$T$14</f>
        <v>26679.61</v>
      </c>
      <c r="FG105" s="10">
        <f t="shared" ref="FG105" si="385">SUM(FA105:FF105)</f>
        <v>495570.98</v>
      </c>
      <c r="FH105" s="83">
        <f>[27]PB!$V$14</f>
        <v>380982.1</v>
      </c>
      <c r="FI105" s="83">
        <f>[27]PB!$W$14</f>
        <v>29243.58</v>
      </c>
      <c r="FJ105" s="83"/>
      <c r="FK105" s="83">
        <f>[27]PB!$U$14</f>
        <v>4204.45</v>
      </c>
      <c r="FL105" s="83"/>
      <c r="FM105" s="83">
        <f>[27]PB!$X$14</f>
        <v>27156.7</v>
      </c>
      <c r="FN105" s="10">
        <f t="shared" ref="FN105" si="386">SUM(FH105:FM105)</f>
        <v>441586.83</v>
      </c>
      <c r="FO105" s="10">
        <f>'[28]PB-2'!R14</f>
        <v>441064.83</v>
      </c>
      <c r="FP105" s="10">
        <f>'[28]PB-2'!S14</f>
        <v>35909.35</v>
      </c>
      <c r="FQ105" s="10"/>
      <c r="FR105" s="10">
        <f>'[28]PB-2'!Q14</f>
        <v>1866.6</v>
      </c>
      <c r="FS105" s="10"/>
      <c r="FT105" s="10">
        <f>'[28]PB-2'!T14</f>
        <v>31145.52</v>
      </c>
      <c r="FU105" s="10">
        <f t="shared" si="366"/>
        <v>509986.3</v>
      </c>
      <c r="FV105" s="10">
        <f>'[28]PB-2'!V14</f>
        <v>418191.63</v>
      </c>
      <c r="FW105" s="10">
        <f>'[28]PB-2'!W14</f>
        <v>45017.1</v>
      </c>
      <c r="FX105" s="10"/>
      <c r="FY105" s="10">
        <f>'[28]PB-2'!U14</f>
        <v>2072.94</v>
      </c>
      <c r="FZ105" s="10"/>
      <c r="GA105" s="10">
        <f>'[28]PB-2'!X14</f>
        <v>28615.13</v>
      </c>
      <c r="GB105" s="10">
        <f t="shared" si="367"/>
        <v>493896.8</v>
      </c>
      <c r="GC105" s="83">
        <f t="shared" si="382"/>
        <v>2757644.4099999997</v>
      </c>
      <c r="GD105" s="83">
        <f t="shared" si="383"/>
        <v>2036170.7500000002</v>
      </c>
      <c r="GE105" s="218"/>
      <c r="GG105" s="36"/>
      <c r="GH105" s="36"/>
      <c r="GI105" s="36"/>
      <c r="GJ105" s="36"/>
    </row>
    <row r="106" spans="1:192" s="5" customFormat="1" ht="12.75" x14ac:dyDescent="0.2">
      <c r="A106" s="256"/>
      <c r="B106" s="15" t="s">
        <v>150</v>
      </c>
      <c r="C106" s="1" t="s">
        <v>95</v>
      </c>
      <c r="D106" s="18">
        <v>42036</v>
      </c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  <c r="AA106" s="82"/>
      <c r="AB106" s="82"/>
      <c r="AC106" s="82"/>
      <c r="AD106" s="82"/>
      <c r="AE106" s="82"/>
      <c r="AF106" s="82"/>
      <c r="AG106" s="82"/>
      <c r="AH106" s="82"/>
      <c r="AI106" s="82"/>
      <c r="AJ106" s="82"/>
      <c r="AK106" s="82"/>
      <c r="AL106" s="82"/>
      <c r="AM106" s="82"/>
      <c r="AN106" s="82"/>
      <c r="AO106" s="82"/>
      <c r="AP106" s="82"/>
      <c r="AQ106" s="146">
        <v>8876.9500000000007</v>
      </c>
      <c r="AR106" s="146">
        <v>7073.71</v>
      </c>
      <c r="AS106" s="128">
        <v>0</v>
      </c>
      <c r="AT106" s="128">
        <v>0</v>
      </c>
      <c r="AU106" s="132"/>
      <c r="AV106" s="128">
        <v>0</v>
      </c>
      <c r="AW106" s="82"/>
      <c r="AX106" s="128">
        <v>0</v>
      </c>
      <c r="AY106" s="83">
        <v>0</v>
      </c>
      <c r="AZ106" s="128">
        <v>0</v>
      </c>
      <c r="BA106" s="128">
        <v>0</v>
      </c>
      <c r="BB106" s="132"/>
      <c r="BC106" s="128">
        <v>0</v>
      </c>
      <c r="BD106" s="82"/>
      <c r="BE106" s="128">
        <v>0</v>
      </c>
      <c r="BF106" s="83">
        <v>0</v>
      </c>
      <c r="BG106" s="83">
        <v>0</v>
      </c>
      <c r="BH106" s="10">
        <v>25.23</v>
      </c>
      <c r="BI106" s="83">
        <v>0</v>
      </c>
      <c r="BJ106" s="83">
        <v>0</v>
      </c>
      <c r="BK106" s="83">
        <v>0</v>
      </c>
      <c r="BL106" s="83">
        <v>4227.0499999999993</v>
      </c>
      <c r="BM106" s="10">
        <f t="shared" si="368"/>
        <v>4252.2799999999988</v>
      </c>
      <c r="BN106" s="83">
        <v>0</v>
      </c>
      <c r="BO106" s="83">
        <v>0</v>
      </c>
      <c r="BP106" s="83">
        <v>0</v>
      </c>
      <c r="BQ106" s="83">
        <v>3947.9</v>
      </c>
      <c r="BR106" s="83">
        <v>0</v>
      </c>
      <c r="BS106" s="83">
        <v>593.96</v>
      </c>
      <c r="BT106" s="10">
        <f t="shared" si="369"/>
        <v>4541.8600000000006</v>
      </c>
      <c r="BU106" s="83"/>
      <c r="BV106" s="83">
        <v>339.57</v>
      </c>
      <c r="BW106" s="83">
        <v>0</v>
      </c>
      <c r="BX106" s="83">
        <v>6131.35</v>
      </c>
      <c r="BY106" s="83">
        <v>0</v>
      </c>
      <c r="BZ106" s="83">
        <v>1707.5</v>
      </c>
      <c r="CA106" s="10">
        <f>SUM(BU106:BZ106)</f>
        <v>8178.42</v>
      </c>
      <c r="CB106" s="83">
        <v>0</v>
      </c>
      <c r="CC106" s="10">
        <v>25.23</v>
      </c>
      <c r="CD106" s="83">
        <v>0</v>
      </c>
      <c r="CE106" s="83">
        <v>274.05</v>
      </c>
      <c r="CF106" s="83">
        <v>0</v>
      </c>
      <c r="CG106" s="10">
        <v>1611.02</v>
      </c>
      <c r="CH106" s="10">
        <f>SUM(CB106:CG106)</f>
        <v>1910.3</v>
      </c>
      <c r="CI106" s="83">
        <v>0</v>
      </c>
      <c r="CJ106" s="83">
        <v>0</v>
      </c>
      <c r="CK106" s="83">
        <v>0</v>
      </c>
      <c r="CL106" s="83">
        <v>21611.35</v>
      </c>
      <c r="CM106" s="83">
        <v>0</v>
      </c>
      <c r="CN106" s="83">
        <v>5588.6</v>
      </c>
      <c r="CO106" s="83">
        <f t="shared" si="370"/>
        <v>27199.949999999997</v>
      </c>
      <c r="CP106" s="83">
        <v>6591.84</v>
      </c>
      <c r="CQ106" s="83">
        <v>0</v>
      </c>
      <c r="CR106" s="83">
        <v>0</v>
      </c>
      <c r="CS106" s="83">
        <v>18446.46</v>
      </c>
      <c r="CT106" s="83">
        <v>0</v>
      </c>
      <c r="CU106" s="83">
        <v>3237.61</v>
      </c>
      <c r="CV106" s="83">
        <f t="shared" si="371"/>
        <v>28275.91</v>
      </c>
      <c r="CW106" s="83">
        <v>6226.9</v>
      </c>
      <c r="CX106" s="83">
        <v>274.05</v>
      </c>
      <c r="CY106" s="83">
        <v>0</v>
      </c>
      <c r="CZ106" s="83">
        <v>6931.35</v>
      </c>
      <c r="DA106" s="83">
        <v>0</v>
      </c>
      <c r="DB106" s="83">
        <v>4116.3</v>
      </c>
      <c r="DC106" s="83">
        <f t="shared" si="372"/>
        <v>17548.599999999999</v>
      </c>
      <c r="DD106" s="83">
        <v>1533</v>
      </c>
      <c r="DE106" s="83">
        <v>273.72000000000003</v>
      </c>
      <c r="DF106" s="83">
        <v>0</v>
      </c>
      <c r="DG106" s="83">
        <v>14661.51</v>
      </c>
      <c r="DH106" s="83">
        <v>0</v>
      </c>
      <c r="DI106" s="83">
        <v>2037.26</v>
      </c>
      <c r="DJ106" s="83">
        <f t="shared" si="373"/>
        <v>18505.489999999998</v>
      </c>
      <c r="DK106" s="83">
        <f>[41]GERAL!$K$125+[41]GERAL!$K$142+[41]GERAL!$K$159+[41]GERAL!$K$176</f>
        <v>6226.89</v>
      </c>
      <c r="DL106" s="83">
        <f>[41]GERAL!$K$126+[41]GERAL!$K$143+[41]GERAL!$K$160+[41]GERAL!$K$177</f>
        <v>679.78</v>
      </c>
      <c r="DM106" s="83">
        <f>[41]GERAL!$K$127+[41]GERAL!$K$144+[41]GERAL!$K$161+[41]GERAL!$K$178</f>
        <v>0</v>
      </c>
      <c r="DN106" s="83">
        <f>[41]GERAL!$K$128+[41]GERAL!$K$145+[41]GERAL!$K$162+[41]GERAL!$K$179</f>
        <v>6931.35</v>
      </c>
      <c r="DO106" s="83">
        <f>[41]GERAL!$K$129+[41]GERAL!$K$146+[41]GERAL!$K$163+[41]GERAL!$K$180</f>
        <v>0</v>
      </c>
      <c r="DP106" s="83">
        <f>[41]GERAL!$K$130+[41]GERAL!$K$147+[41]GERAL!$K$164+[41]GERAL!$K$181</f>
        <v>4103.0800000000008</v>
      </c>
      <c r="DQ106" s="83">
        <f t="shared" si="374"/>
        <v>17941.100000000002</v>
      </c>
      <c r="DR106" s="83">
        <f>[41]GERAL!$K$132+[41]GERAL!$K$149+[41]GERAL!$K$166+[41]GERAL!$K$183</f>
        <v>4151.28</v>
      </c>
      <c r="DS106" s="83">
        <f>[41]GERAL!$K$133+[41]GERAL!$K$150+[41]GERAL!$K$167+[41]GERAL!$K$184</f>
        <v>339.75</v>
      </c>
      <c r="DT106" s="83">
        <f>[41]GERAL!$K$134+[41]GERAL!$K$151+[41]GERAL!$K$168+[41]GERAL!$K$185</f>
        <v>0</v>
      </c>
      <c r="DU106" s="83">
        <f>[41]GERAL!$K$135+[41]GERAL!$K$152+[41]GERAL!$K$169+[41]GERAL!$K$186</f>
        <v>8165.8200000000006</v>
      </c>
      <c r="DV106" s="83">
        <f>[41]GERAL!$K$136+[41]GERAL!$K$153+[41]GERAL!$K$170+[41]GERAL!$K$187</f>
        <v>0</v>
      </c>
      <c r="DW106" s="83">
        <f>[41]GERAL!$K$137+[41]GERAL!$K$154+[41]GERAL!$K$171+[41]GERAL!$K$188</f>
        <v>2371.42</v>
      </c>
      <c r="DX106" s="83">
        <f t="shared" si="375"/>
        <v>15028.27</v>
      </c>
      <c r="DY106" s="83">
        <f>'[42]ANO 2022'!$E$123+'[42]ANO 2022'!$E$140+'[42]ANO 2022'!$E$158+'[42]ANO 2022'!$E$175</f>
        <v>11640.83</v>
      </c>
      <c r="DZ106" s="83">
        <f>'[42]ANO 2022'!$E$124+'[42]ANO 2022'!$E$141+'[42]ANO 2022'!$E$159+'[42]ANO 2022'!$E$176</f>
        <v>274.05</v>
      </c>
      <c r="EA106" s="83">
        <f>'[42]ANO 2022'!$E$125+'[42]ANO 2022'!$E$142+'[42]ANO 2022'!$E$160+'[42]ANO 2022'!$E$177</f>
        <v>0</v>
      </c>
      <c r="EB106" s="83">
        <f>'[42]ANO 2022'!$E$126+'[42]ANO 2022'!$E$143+'[42]ANO 2022'!$E$161+'[42]ANO 2022'!$E$178</f>
        <v>7010.1900000000005</v>
      </c>
      <c r="EC106" s="83">
        <f>'[42]ANO 2022'!$E$127+'[42]ANO 2022'!$E$144+'[42]ANO 2022'!$E$162+'[42]ANO 2022'!$E$179</f>
        <v>8766.82</v>
      </c>
      <c r="ED106" s="83">
        <f>'[42]ANO 2022'!$E$128+'[42]ANO 2022'!$E$145+'[42]ANO 2022'!$E$163+'[42]ANO 2022'!$E$180</f>
        <v>1346.29</v>
      </c>
      <c r="EE106" s="83">
        <f t="shared" si="376"/>
        <v>29038.18</v>
      </c>
      <c r="EF106" s="83">
        <f>'[42]ANO 2022'!$E$130+'[42]ANO 2022'!$E$147+'[42]ANO 2022'!$E$165+'[42]ANO 2022'!$E$182</f>
        <v>7264.74</v>
      </c>
      <c r="EG106" s="83">
        <f>'[42]ANO 2022'!$E$131+'[42]ANO 2022'!$E$148+'[42]ANO 2022'!$E$166+'[42]ANO 2022'!$E$183</f>
        <v>871.97</v>
      </c>
      <c r="EH106" s="83">
        <f>'[42]ANO 2022'!$E$132+'[42]ANO 2022'!$E$149+'[42]ANO 2022'!$E$167+'[42]ANO 2022'!$E$184</f>
        <v>0</v>
      </c>
      <c r="EI106" s="83">
        <f>'[42]ANO 2022'!$E$133+'[42]ANO 2022'!$E$150+'[42]ANO 2022'!$E$168+'[42]ANO 2022'!$E$185</f>
        <v>7679.75</v>
      </c>
      <c r="EJ106" s="83">
        <f>'[42]ANO 2022'!$E$134+'[42]ANO 2022'!$E$151+'[42]ANO 2022'!$E$169+'[42]ANO 2022'!$E$186</f>
        <v>0</v>
      </c>
      <c r="EK106" s="83">
        <f>'[42]ANO 2022'!$E$135+'[42]ANO 2022'!$E$152+'[42]ANO 2022'!$E$170+'[42]ANO 2022'!$E$187</f>
        <v>5116.67</v>
      </c>
      <c r="EL106" s="83">
        <f t="shared" si="377"/>
        <v>20933.129999999997</v>
      </c>
      <c r="EM106" s="83">
        <f>[40]PB!$Q$13+[40]PB!$Q$14+[40]PB!$Q$15+[40]PB!$Q$16</f>
        <v>29559.01</v>
      </c>
      <c r="EN106" s="83">
        <f>[40]PB!$R$13+[40]PB!$R$14+[40]PB!$R$15+[40]PB!$R$16</f>
        <v>1079.97</v>
      </c>
      <c r="EO106" s="83"/>
      <c r="EP106" s="83">
        <f>[40]PB!$P$13+[40]PB!$P$14+[40]PB!$P$15+[40]PB!$P$16</f>
        <v>23227.47</v>
      </c>
      <c r="EQ106" s="83"/>
      <c r="ER106" s="83">
        <f>[40]PB!$S$13+[40]PB!$S$14+[40]PB!$S$15+[40]PB!$S$16</f>
        <v>5731.91</v>
      </c>
      <c r="ES106" s="83">
        <f t="shared" si="378"/>
        <v>59598.36</v>
      </c>
      <c r="ET106" s="83">
        <f>[40]PB!$U$13+[40]PB!$U$14+[40]PB!$U$15+[40]PB!$U$16</f>
        <v>11808.570000000002</v>
      </c>
      <c r="EU106" s="83">
        <f>[40]PB!$W$13+[40]PB!$W$14+[40]PB!$W$15+[40]PB!$W$16</f>
        <v>4957.99</v>
      </c>
      <c r="EV106" s="83"/>
      <c r="EW106" s="83">
        <f>[40]PB!$T$13+[40]PB!$T$14+[40]PB!$T$15+[40]PB!$T$16</f>
        <v>16756.349999999999</v>
      </c>
      <c r="EX106" s="83"/>
      <c r="EY106" s="83">
        <f>[40]PB!$V$13+[40]PB!$V$14+[40]PB!$V$15+[40]PB!$V$16</f>
        <v>805.92</v>
      </c>
      <c r="EZ106" s="83">
        <f t="shared" ref="EZ106:EZ108" si="387">SUM(ET106:EY106)</f>
        <v>34328.83</v>
      </c>
      <c r="FA106" s="83">
        <f>[27]PB!$R$21+FA199+FA200+FA201</f>
        <v>15751.95</v>
      </c>
      <c r="FB106" s="83">
        <f>[27]PB!$S$21+FB199+FB200+FB201</f>
        <v>805.92</v>
      </c>
      <c r="FC106" s="83"/>
      <c r="FD106" s="83">
        <f>[27]PB!$Q$21+FD199+FD200+FD201</f>
        <v>19712.52</v>
      </c>
      <c r="FE106" s="83"/>
      <c r="FF106" s="83">
        <f>[27]PB!$T$21+FF199+FF200+FF201</f>
        <v>5325.84</v>
      </c>
      <c r="FG106" s="10">
        <f t="shared" ref="FG106" si="388">SUM(FA106:FF106)</f>
        <v>41596.229999999996</v>
      </c>
      <c r="FH106" s="83">
        <f>[27]PB!$V$21+FH199+FH200+FH201</f>
        <v>20920.63</v>
      </c>
      <c r="FI106" s="83">
        <f>[27]PB!$W$21+FI199+FI200+FI201</f>
        <v>274.05</v>
      </c>
      <c r="FJ106" s="83"/>
      <c r="FK106" s="83">
        <f>[27]PB!$U$21+FK199+FK200+FK201</f>
        <v>26817.45</v>
      </c>
      <c r="FL106" s="83"/>
      <c r="FM106" s="83">
        <f>[27]PB!$X$21+FM199+FM200+FM201</f>
        <v>8652.35</v>
      </c>
      <c r="FN106" s="10">
        <f t="shared" ref="FN106" si="389">SUM(FH106:FM106)</f>
        <v>56664.480000000003</v>
      </c>
      <c r="FO106" s="10">
        <f>'[28]PB-2'!R21+'[28]PB-2'!R22+'[28]PB-2'!R23+'[28]PB-2'!R24</f>
        <v>65433.07</v>
      </c>
      <c r="FP106" s="10">
        <f>'[28]PB-2'!S21+'[28]PB-2'!S22+'[28]PB-2'!S23+'[28]PB-2'!S24</f>
        <v>6533.83</v>
      </c>
      <c r="FQ106" s="10"/>
      <c r="FR106" s="10">
        <f>'[28]PB-2'!Q21+'[28]PB-2'!Q22+'[28]PB-2'!Q23+'[28]PB-2'!Q24</f>
        <v>15729.47</v>
      </c>
      <c r="FS106" s="10"/>
      <c r="FT106" s="10">
        <f>'[28]PB-2'!T21+'[28]PB-2'!T22+'[28]PB-2'!T23+'[28]PB-2'!T24</f>
        <v>1434.75</v>
      </c>
      <c r="FU106" s="10">
        <f t="shared" si="366"/>
        <v>89131.12</v>
      </c>
      <c r="FV106" s="10">
        <f>'[28]PB-2'!V21+'[28]PB-2'!V22+'[28]PB-2'!V23+'[28]PB-2'!V24</f>
        <v>15701.74</v>
      </c>
      <c r="FW106" s="10">
        <f>'[28]PB-2'!W21+'[28]PB-2'!W22+'[28]PB-2'!W23+'[28]PB-2'!W24</f>
        <v>1133.94</v>
      </c>
      <c r="FX106" s="10"/>
      <c r="FY106" s="10">
        <f>'[28]PB-2'!U21+'[28]PB-2'!U22+'[28]PB-2'!U23+'[28]PB-2'!U24</f>
        <v>15942.61</v>
      </c>
      <c r="FZ106" s="10"/>
      <c r="GA106" s="10">
        <f>'[28]PB-2'!X21+'[28]PB-2'!X22+'[28]PB-2'!X23+'[28]PB-2'!X24</f>
        <v>6623.83</v>
      </c>
      <c r="GB106" s="10">
        <f t="shared" si="367"/>
        <v>39402.120000000003</v>
      </c>
      <c r="GC106" s="83">
        <f t="shared" si="382"/>
        <v>303361.19</v>
      </c>
      <c r="GD106" s="83">
        <f t="shared" si="383"/>
        <v>226664.09999999998</v>
      </c>
      <c r="GE106" s="219"/>
      <c r="GG106" s="36"/>
      <c r="GH106" s="36"/>
      <c r="GI106" s="36"/>
      <c r="GJ106" s="36"/>
    </row>
    <row r="107" spans="1:192" s="5" customFormat="1" ht="12.75" x14ac:dyDescent="0.2">
      <c r="A107" s="257"/>
      <c r="B107" s="258" t="s">
        <v>94</v>
      </c>
      <c r="C107" s="258"/>
      <c r="D107" s="259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  <c r="R107" s="57"/>
      <c r="S107" s="57"/>
      <c r="T107" s="57"/>
      <c r="U107" s="57"/>
      <c r="V107" s="57"/>
      <c r="W107" s="57"/>
      <c r="X107" s="57"/>
      <c r="Y107" s="57"/>
      <c r="Z107" s="57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>
        <f t="shared" ref="AQ107:GD107" si="390">SUM(AQ101:AQ106)</f>
        <v>4124055.88</v>
      </c>
      <c r="AR107" s="57">
        <f t="shared" si="390"/>
        <v>408643.84000000003</v>
      </c>
      <c r="AS107" s="57">
        <f t="shared" si="390"/>
        <v>1196220.2</v>
      </c>
      <c r="AT107" s="57">
        <f t="shared" si="390"/>
        <v>212575.34</v>
      </c>
      <c r="AU107" s="57">
        <f t="shared" si="390"/>
        <v>0</v>
      </c>
      <c r="AV107" s="57">
        <f t="shared" si="390"/>
        <v>471404.11</v>
      </c>
      <c r="AW107" s="57">
        <f t="shared" si="390"/>
        <v>0</v>
      </c>
      <c r="AX107" s="57">
        <f t="shared" si="390"/>
        <v>197639.86000000002</v>
      </c>
      <c r="AY107" s="57">
        <f t="shared" si="390"/>
        <v>2077839.5100000002</v>
      </c>
      <c r="AZ107" s="57">
        <f t="shared" si="390"/>
        <v>0</v>
      </c>
      <c r="BA107" s="57">
        <f t="shared" si="390"/>
        <v>196824.62</v>
      </c>
      <c r="BB107" s="57">
        <f t="shared" si="390"/>
        <v>0</v>
      </c>
      <c r="BC107" s="57">
        <f t="shared" si="390"/>
        <v>354429.17000000004</v>
      </c>
      <c r="BD107" s="57">
        <f t="shared" si="390"/>
        <v>0</v>
      </c>
      <c r="BE107" s="57">
        <f t="shared" si="390"/>
        <v>173492.97999999998</v>
      </c>
      <c r="BF107" s="57">
        <f t="shared" si="390"/>
        <v>724746.77</v>
      </c>
      <c r="BG107" s="57">
        <f t="shared" si="390"/>
        <v>0</v>
      </c>
      <c r="BH107" s="57">
        <f t="shared" si="390"/>
        <v>266186.32999999996</v>
      </c>
      <c r="BI107" s="57">
        <f t="shared" si="390"/>
        <v>0</v>
      </c>
      <c r="BJ107" s="57">
        <f t="shared" si="390"/>
        <v>525841.80000000005</v>
      </c>
      <c r="BK107" s="57">
        <f t="shared" si="390"/>
        <v>0</v>
      </c>
      <c r="BL107" s="57">
        <f t="shared" si="390"/>
        <v>3080727.0599999996</v>
      </c>
      <c r="BM107" s="57">
        <f t="shared" si="390"/>
        <v>3872755.1899999995</v>
      </c>
      <c r="BN107" s="57">
        <f t="shared" si="390"/>
        <v>0</v>
      </c>
      <c r="BO107" s="57">
        <f t="shared" si="390"/>
        <v>239894.36000000002</v>
      </c>
      <c r="BP107" s="57">
        <f t="shared" si="390"/>
        <v>0</v>
      </c>
      <c r="BQ107" s="57">
        <f t="shared" si="390"/>
        <v>387770.68000000005</v>
      </c>
      <c r="BR107" s="57">
        <f t="shared" si="390"/>
        <v>0</v>
      </c>
      <c r="BS107" s="57">
        <f t="shared" si="390"/>
        <v>159725.22999999998</v>
      </c>
      <c r="BT107" s="57">
        <f t="shared" si="390"/>
        <v>787390.27</v>
      </c>
      <c r="BU107" s="57">
        <f t="shared" si="390"/>
        <v>48412.39</v>
      </c>
      <c r="BV107" s="57">
        <f t="shared" si="390"/>
        <v>109448.96000000002</v>
      </c>
      <c r="BW107" s="57">
        <f t="shared" si="390"/>
        <v>0</v>
      </c>
      <c r="BX107" s="57">
        <f t="shared" si="390"/>
        <v>465395.74</v>
      </c>
      <c r="BY107" s="57">
        <f t="shared" si="390"/>
        <v>0</v>
      </c>
      <c r="BZ107" s="57">
        <f t="shared" si="390"/>
        <v>152644.16</v>
      </c>
      <c r="CA107" s="57">
        <f t="shared" si="390"/>
        <v>775901.25000000012</v>
      </c>
      <c r="CB107" s="57">
        <f t="shared" si="390"/>
        <v>0</v>
      </c>
      <c r="CC107" s="57">
        <f t="shared" si="390"/>
        <v>166296.69</v>
      </c>
      <c r="CD107" s="57">
        <f t="shared" si="390"/>
        <v>0</v>
      </c>
      <c r="CE107" s="57">
        <f t="shared" si="390"/>
        <v>450924.67</v>
      </c>
      <c r="CF107" s="57">
        <f t="shared" si="390"/>
        <v>0</v>
      </c>
      <c r="CG107" s="57">
        <f t="shared" si="390"/>
        <v>130086.52</v>
      </c>
      <c r="CH107" s="57">
        <f t="shared" si="390"/>
        <v>747307.88000000012</v>
      </c>
      <c r="CI107" s="57">
        <f t="shared" si="390"/>
        <v>2588478.25</v>
      </c>
      <c r="CJ107" s="57">
        <f t="shared" si="390"/>
        <v>232446.53</v>
      </c>
      <c r="CK107" s="57">
        <f t="shared" si="390"/>
        <v>0</v>
      </c>
      <c r="CL107" s="57">
        <f t="shared" si="390"/>
        <v>695011.25999999989</v>
      </c>
      <c r="CM107" s="57">
        <f t="shared" si="390"/>
        <v>0</v>
      </c>
      <c r="CN107" s="57">
        <f t="shared" si="390"/>
        <v>474513.23000000004</v>
      </c>
      <c r="CO107" s="57">
        <f t="shared" si="390"/>
        <v>3990449.27</v>
      </c>
      <c r="CP107" s="57">
        <f t="shared" si="390"/>
        <v>9064848.3999999985</v>
      </c>
      <c r="CQ107" s="57">
        <f t="shared" si="390"/>
        <v>260295.89</v>
      </c>
      <c r="CR107" s="57">
        <f t="shared" si="390"/>
        <v>0</v>
      </c>
      <c r="CS107" s="57">
        <f t="shared" si="390"/>
        <v>638564.27</v>
      </c>
      <c r="CT107" s="57">
        <f t="shared" si="390"/>
        <v>0</v>
      </c>
      <c r="CU107" s="57">
        <f t="shared" si="390"/>
        <v>342907.64999999997</v>
      </c>
      <c r="CV107" s="57">
        <f t="shared" si="390"/>
        <v>10306616.209999999</v>
      </c>
      <c r="CW107" s="57">
        <f t="shared" si="390"/>
        <v>2953030.4099999997</v>
      </c>
      <c r="CX107" s="57">
        <f t="shared" si="390"/>
        <v>225391.7</v>
      </c>
      <c r="CY107" s="57">
        <f t="shared" si="390"/>
        <v>0</v>
      </c>
      <c r="CZ107" s="57">
        <f t="shared" si="390"/>
        <v>628056.20000000007</v>
      </c>
      <c r="DA107" s="57">
        <f t="shared" si="390"/>
        <v>0</v>
      </c>
      <c r="DB107" s="57">
        <f t="shared" si="390"/>
        <v>332998.45</v>
      </c>
      <c r="DC107" s="57">
        <f t="shared" si="390"/>
        <v>4139476.7600000002</v>
      </c>
      <c r="DD107" s="57">
        <f t="shared" si="390"/>
        <v>3773042.2199999997</v>
      </c>
      <c r="DE107" s="57">
        <f t="shared" si="390"/>
        <v>176194.32000000004</v>
      </c>
      <c r="DF107" s="57">
        <f t="shared" si="390"/>
        <v>0</v>
      </c>
      <c r="DG107" s="57">
        <f t="shared" si="390"/>
        <v>662020.07000000007</v>
      </c>
      <c r="DH107" s="57">
        <f t="shared" si="390"/>
        <v>0</v>
      </c>
      <c r="DI107" s="57">
        <f t="shared" si="390"/>
        <v>295552.32999999996</v>
      </c>
      <c r="DJ107" s="57">
        <f t="shared" si="390"/>
        <v>4906808.9400000004</v>
      </c>
      <c r="DK107" s="57">
        <f t="shared" si="390"/>
        <v>3250615.2900000005</v>
      </c>
      <c r="DL107" s="57">
        <f t="shared" si="390"/>
        <v>230188.32</v>
      </c>
      <c r="DM107" s="57">
        <f t="shared" si="390"/>
        <v>0</v>
      </c>
      <c r="DN107" s="57">
        <f t="shared" si="390"/>
        <v>777630.41999999993</v>
      </c>
      <c r="DO107" s="57">
        <f t="shared" si="390"/>
        <v>0</v>
      </c>
      <c r="DP107" s="57">
        <f t="shared" si="390"/>
        <v>375903.17000000004</v>
      </c>
      <c r="DQ107" s="57">
        <f>SUM(DQ101:DQ106)</f>
        <v>4634337.2</v>
      </c>
      <c r="DR107" s="57">
        <f t="shared" ref="DR107:DW107" si="391">SUM(DR101:DR106)</f>
        <v>2389889.1399999997</v>
      </c>
      <c r="DS107" s="57">
        <f t="shared" si="391"/>
        <v>240527.06</v>
      </c>
      <c r="DT107" s="57">
        <f t="shared" si="391"/>
        <v>0</v>
      </c>
      <c r="DU107" s="57">
        <f t="shared" si="391"/>
        <v>772916.18</v>
      </c>
      <c r="DV107" s="57">
        <f t="shared" si="391"/>
        <v>0</v>
      </c>
      <c r="DW107" s="57">
        <f t="shared" si="391"/>
        <v>345177.60999999993</v>
      </c>
      <c r="DX107" s="57">
        <f t="shared" ref="DX107:EE107" si="392">SUM(DX101:DX106)</f>
        <v>3748509.99</v>
      </c>
      <c r="DY107" s="57">
        <f t="shared" si="392"/>
        <v>4396465.96</v>
      </c>
      <c r="DZ107" s="57">
        <f t="shared" si="392"/>
        <v>290343.65000000002</v>
      </c>
      <c r="EA107" s="57">
        <f t="shared" si="392"/>
        <v>0</v>
      </c>
      <c r="EB107" s="57">
        <f t="shared" si="392"/>
        <v>817815.66999999993</v>
      </c>
      <c r="EC107" s="57">
        <f t="shared" si="392"/>
        <v>8766.82</v>
      </c>
      <c r="ED107" s="57">
        <f t="shared" si="392"/>
        <v>1194387.52</v>
      </c>
      <c r="EE107" s="57">
        <f t="shared" si="392"/>
        <v>6707779.6199999992</v>
      </c>
      <c r="EF107" s="57">
        <f t="shared" ref="EF107:ES107" si="393">SUM(EF101:EF106)</f>
        <v>4095842.08</v>
      </c>
      <c r="EG107" s="57">
        <f t="shared" si="393"/>
        <v>306128.60999999993</v>
      </c>
      <c r="EH107" s="57">
        <f t="shared" si="393"/>
        <v>0</v>
      </c>
      <c r="EI107" s="57">
        <f t="shared" si="393"/>
        <v>799877.19000000006</v>
      </c>
      <c r="EJ107" s="57">
        <f t="shared" si="393"/>
        <v>0</v>
      </c>
      <c r="EK107" s="57">
        <f t="shared" si="393"/>
        <v>388255.36</v>
      </c>
      <c r="EL107" s="57">
        <f t="shared" si="393"/>
        <v>5590103.2400000002</v>
      </c>
      <c r="EM107" s="57">
        <f t="shared" si="393"/>
        <v>4038817.7799999993</v>
      </c>
      <c r="EN107" s="57">
        <f t="shared" si="393"/>
        <v>259717.03000000003</v>
      </c>
      <c r="EO107" s="57">
        <f t="shared" si="393"/>
        <v>0</v>
      </c>
      <c r="EP107" s="57">
        <f t="shared" si="393"/>
        <v>877458.22</v>
      </c>
      <c r="EQ107" s="57">
        <f t="shared" si="393"/>
        <v>0</v>
      </c>
      <c r="ER107" s="57">
        <f t="shared" si="393"/>
        <v>1361867.1</v>
      </c>
      <c r="ES107" s="57">
        <f t="shared" si="393"/>
        <v>6537860.1300000008</v>
      </c>
      <c r="ET107" s="57">
        <f t="shared" ref="ET107:FN107" si="394">SUM(ET101:ET106)</f>
        <v>4119885.01</v>
      </c>
      <c r="EU107" s="57">
        <f t="shared" si="394"/>
        <v>1455912.91</v>
      </c>
      <c r="EV107" s="57">
        <f t="shared" si="394"/>
        <v>0</v>
      </c>
      <c r="EW107" s="57">
        <f t="shared" si="394"/>
        <v>821709.42</v>
      </c>
      <c r="EX107" s="57">
        <f t="shared" si="394"/>
        <v>0</v>
      </c>
      <c r="EY107" s="57">
        <f t="shared" si="394"/>
        <v>292016.33999999997</v>
      </c>
      <c r="EZ107" s="57">
        <f t="shared" si="394"/>
        <v>6689523.6800000006</v>
      </c>
      <c r="FA107" s="57">
        <f t="shared" si="394"/>
        <v>3220459.67</v>
      </c>
      <c r="FB107" s="57">
        <f t="shared" si="394"/>
        <v>219695.9</v>
      </c>
      <c r="FC107" s="57">
        <f t="shared" si="394"/>
        <v>0</v>
      </c>
      <c r="FD107" s="57">
        <f t="shared" si="394"/>
        <v>929560.86</v>
      </c>
      <c r="FE107" s="57">
        <f t="shared" si="394"/>
        <v>0</v>
      </c>
      <c r="FF107" s="57">
        <f t="shared" si="394"/>
        <v>1340923.0900000001</v>
      </c>
      <c r="FG107" s="57">
        <f t="shared" si="394"/>
        <v>5710639.5200000014</v>
      </c>
      <c r="FH107" s="57">
        <f t="shared" si="394"/>
        <v>3931724.78088</v>
      </c>
      <c r="FI107" s="57">
        <f t="shared" si="394"/>
        <v>256363.51999999996</v>
      </c>
      <c r="FJ107" s="57">
        <f t="shared" si="394"/>
        <v>0</v>
      </c>
      <c r="FK107" s="57">
        <f t="shared" si="394"/>
        <v>830662.77</v>
      </c>
      <c r="FL107" s="57">
        <f t="shared" si="394"/>
        <v>0</v>
      </c>
      <c r="FM107" s="57">
        <f t="shared" si="394"/>
        <v>1335298.5</v>
      </c>
      <c r="FN107" s="57">
        <f t="shared" si="394"/>
        <v>6354049.5708800005</v>
      </c>
      <c r="FO107" s="57">
        <f t="shared" ref="FO107:FT107" si="395">SUM(FO101:FO106)</f>
        <v>4117491.6399999997</v>
      </c>
      <c r="FP107" s="57">
        <f t="shared" si="395"/>
        <v>353031.51</v>
      </c>
      <c r="FQ107" s="57">
        <f t="shared" si="395"/>
        <v>0</v>
      </c>
      <c r="FR107" s="57">
        <f t="shared" si="395"/>
        <v>938190.02999999991</v>
      </c>
      <c r="FS107" s="57">
        <f t="shared" si="395"/>
        <v>0</v>
      </c>
      <c r="FT107" s="57">
        <f t="shared" si="395"/>
        <v>1273674.22</v>
      </c>
      <c r="FU107" s="57">
        <f t="shared" ref="FU107:GB107" si="396">SUM(FU101:FU106)</f>
        <v>6682387.4000000004</v>
      </c>
      <c r="FV107" s="57">
        <f t="shared" ref="FV107:GA107" si="397">SUM(FV101:FV106)</f>
        <v>3490284.78</v>
      </c>
      <c r="FW107" s="57">
        <f t="shared" si="397"/>
        <v>267289.42</v>
      </c>
      <c r="FX107" s="57">
        <f t="shared" si="397"/>
        <v>0</v>
      </c>
      <c r="FY107" s="57">
        <f t="shared" si="397"/>
        <v>1024868.43</v>
      </c>
      <c r="FZ107" s="57">
        <f t="shared" si="397"/>
        <v>0</v>
      </c>
      <c r="GA107" s="57">
        <f t="shared" si="397"/>
        <v>773958</v>
      </c>
      <c r="GB107" s="57">
        <f t="shared" si="396"/>
        <v>5556400.6300000008</v>
      </c>
      <c r="GC107" s="57">
        <f>SUM(GC101:GC106)</f>
        <v>49253481.729999997</v>
      </c>
      <c r="GD107" s="57">
        <f t="shared" si="390"/>
        <v>45820101.020880006</v>
      </c>
      <c r="GE107" s="81"/>
      <c r="GG107" s="36"/>
      <c r="GH107" s="36"/>
    </row>
    <row r="108" spans="1:192" s="5" customFormat="1" ht="12.75" x14ac:dyDescent="0.2">
      <c r="A108" s="251" t="s">
        <v>163</v>
      </c>
      <c r="B108" s="15" t="s">
        <v>193</v>
      </c>
      <c r="C108" s="165" t="s">
        <v>164</v>
      </c>
      <c r="D108" s="2">
        <v>45261</v>
      </c>
      <c r="E108" s="50"/>
      <c r="F108" s="50"/>
      <c r="G108" s="50"/>
      <c r="H108" s="50"/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50"/>
      <c r="BN108" s="50"/>
      <c r="BO108" s="50"/>
      <c r="BP108" s="50"/>
      <c r="BQ108" s="50"/>
      <c r="BR108" s="50"/>
      <c r="BS108" s="50"/>
      <c r="BT108" s="50"/>
      <c r="BU108" s="50"/>
      <c r="BV108" s="50"/>
      <c r="BW108" s="50"/>
      <c r="BX108" s="50"/>
      <c r="BY108" s="50"/>
      <c r="BZ108" s="50"/>
      <c r="CA108" s="50"/>
      <c r="CB108" s="50"/>
      <c r="CC108" s="50"/>
      <c r="CD108" s="50"/>
      <c r="CE108" s="50"/>
      <c r="CF108" s="50"/>
      <c r="CG108" s="50"/>
      <c r="CH108" s="50"/>
      <c r="CI108" s="50"/>
      <c r="CJ108" s="50"/>
      <c r="CK108" s="50"/>
      <c r="CL108" s="50"/>
      <c r="CM108" s="50"/>
      <c r="CN108" s="50"/>
      <c r="CO108" s="50"/>
      <c r="CP108" s="50"/>
      <c r="CQ108" s="50"/>
      <c r="CR108" s="50"/>
      <c r="CS108" s="50"/>
      <c r="CT108" s="50"/>
      <c r="CU108" s="50"/>
      <c r="CV108" s="50"/>
      <c r="CW108" s="50"/>
      <c r="CX108" s="50"/>
      <c r="CY108" s="50"/>
      <c r="CZ108" s="50"/>
      <c r="DA108" s="50"/>
      <c r="DB108" s="50"/>
      <c r="DC108" s="50"/>
      <c r="DD108" s="50"/>
      <c r="DE108" s="50"/>
      <c r="DF108" s="50"/>
      <c r="DG108" s="50"/>
      <c r="DH108" s="50"/>
      <c r="DI108" s="50"/>
      <c r="DJ108" s="50"/>
      <c r="DK108" s="50"/>
      <c r="DL108" s="50"/>
      <c r="DM108" s="50"/>
      <c r="DN108" s="50"/>
      <c r="DO108" s="50"/>
      <c r="DP108" s="50"/>
      <c r="DQ108" s="50"/>
      <c r="DR108" s="50"/>
      <c r="DS108" s="50"/>
      <c r="DT108" s="50"/>
      <c r="DU108" s="50"/>
      <c r="DV108" s="50"/>
      <c r="DW108" s="50"/>
      <c r="DX108" s="50"/>
      <c r="DY108" s="50"/>
      <c r="DZ108" s="50"/>
      <c r="EA108" s="50"/>
      <c r="EB108" s="50"/>
      <c r="EC108" s="50"/>
      <c r="ED108" s="50"/>
      <c r="EE108" s="50"/>
      <c r="EF108" s="50"/>
      <c r="EG108" s="50"/>
      <c r="EH108" s="50"/>
      <c r="EI108" s="50"/>
      <c r="EJ108" s="50"/>
      <c r="EK108" s="50"/>
      <c r="EL108" s="50"/>
      <c r="EM108" s="146">
        <f>[40]ES!$Q$6</f>
        <v>275928.17</v>
      </c>
      <c r="EN108" s="146">
        <f>[40]ES!$R$6</f>
        <v>5126.43</v>
      </c>
      <c r="EO108" s="146"/>
      <c r="EP108" s="146">
        <f>[40]ES!$P$6</f>
        <v>3207.67</v>
      </c>
      <c r="EQ108" s="146"/>
      <c r="ER108" s="146">
        <f>[40]ES!$S$6</f>
        <v>3169.58</v>
      </c>
      <c r="ES108" s="83">
        <f t="shared" si="378"/>
        <v>287431.84999999998</v>
      </c>
      <c r="ET108" s="146">
        <f>[40]ES!$U$6</f>
        <v>275928.17</v>
      </c>
      <c r="EU108" s="146">
        <f>[40]ES!$V$6</f>
        <v>3588.5</v>
      </c>
      <c r="EV108" s="146"/>
      <c r="EW108" s="146">
        <f>[40]ES!$T$6</f>
        <v>3207.67</v>
      </c>
      <c r="EX108" s="146"/>
      <c r="EY108" s="146">
        <f>[40]ES!$W$6</f>
        <v>2218.71</v>
      </c>
      <c r="EZ108" s="83">
        <f t="shared" si="387"/>
        <v>284943.05</v>
      </c>
      <c r="FA108" s="83">
        <f>[27]ES!$R$14</f>
        <v>5471045</v>
      </c>
      <c r="FB108" s="83">
        <f>[27]ES!$S$14</f>
        <v>93740</v>
      </c>
      <c r="FC108" s="83"/>
      <c r="FD108" s="83">
        <f>[27]ES!$Q$14</f>
        <v>49259</v>
      </c>
      <c r="FE108" s="83"/>
      <c r="FF108" s="83">
        <f>[27]ES!$T$14</f>
        <v>3169.58</v>
      </c>
      <c r="FG108" s="10">
        <f t="shared" ref="FG108:FG109" si="398">SUM(FA108:FF108)</f>
        <v>5617213.5800000001</v>
      </c>
      <c r="FH108" s="83"/>
      <c r="FI108" s="83"/>
      <c r="FJ108" s="83"/>
      <c r="FK108" s="83"/>
      <c r="FL108" s="83"/>
      <c r="FM108" s="83"/>
      <c r="FN108" s="10">
        <f t="shared" ref="FN108:FN109" si="399">SUM(FH108:FM108)</f>
        <v>0</v>
      </c>
      <c r="FO108" s="83">
        <f>[28]ES!$R$14</f>
        <v>8193923.9299999997</v>
      </c>
      <c r="FP108" s="83">
        <f>[28]ES!$S$14</f>
        <v>135651.67000000001</v>
      </c>
      <c r="FQ108" s="83"/>
      <c r="FR108" s="83">
        <f>[28]ES!$Q$14</f>
        <v>49259</v>
      </c>
      <c r="FS108" s="83"/>
      <c r="FT108" s="83">
        <f>[28]ES!$T$14</f>
        <v>359592.5</v>
      </c>
      <c r="FU108" s="10">
        <f t="shared" ref="FU108:FU109" si="400">SUM(FO108:FT108)</f>
        <v>8738427.0999999996</v>
      </c>
      <c r="FV108" s="83">
        <f>[28]ES!$V$14</f>
        <v>1746400</v>
      </c>
      <c r="FW108" s="83">
        <f>[28]ES!$W$14</f>
        <v>21097.759999999998</v>
      </c>
      <c r="FX108" s="83"/>
      <c r="FY108" s="83">
        <f>[28]ES!$U$14</f>
        <v>23185.73</v>
      </c>
      <c r="FZ108" s="83"/>
      <c r="GA108" s="83">
        <f>[28]ES!$X$14</f>
        <v>214945.89</v>
      </c>
      <c r="GB108" s="10">
        <f t="shared" ref="GB108:GB109" si="401">SUM(FV108:GA108)</f>
        <v>2005629.38</v>
      </c>
      <c r="GC108" s="146">
        <f>ES108+FG108+FU108</f>
        <v>14643072.529999999</v>
      </c>
      <c r="GD108" s="146">
        <f>EZ108+FN108+GB108</f>
        <v>2290572.4299999997</v>
      </c>
      <c r="GE108" s="217" t="s">
        <v>166</v>
      </c>
      <c r="GG108" s="36"/>
      <c r="GH108" s="36"/>
    </row>
    <row r="109" spans="1:192" s="5" customFormat="1" ht="12.75" x14ac:dyDescent="0.2">
      <c r="A109" s="252"/>
      <c r="B109" s="15" t="s">
        <v>25</v>
      </c>
      <c r="C109" s="165" t="s">
        <v>164</v>
      </c>
      <c r="D109" s="2">
        <v>45627</v>
      </c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132"/>
      <c r="BU109" s="132"/>
      <c r="BV109" s="132"/>
      <c r="BW109" s="132"/>
      <c r="BX109" s="132"/>
      <c r="BY109" s="132"/>
      <c r="BZ109" s="132"/>
      <c r="CA109" s="132"/>
      <c r="CB109" s="132"/>
      <c r="CC109" s="132"/>
      <c r="CD109" s="132"/>
      <c r="CE109" s="132"/>
      <c r="CF109" s="132"/>
      <c r="CG109" s="132"/>
      <c r="CH109" s="132"/>
      <c r="CI109" s="132"/>
      <c r="CJ109" s="132"/>
      <c r="CK109" s="132"/>
      <c r="CL109" s="132"/>
      <c r="CM109" s="132"/>
      <c r="CN109" s="132"/>
      <c r="CO109" s="132"/>
      <c r="CP109" s="132"/>
      <c r="CQ109" s="132"/>
      <c r="CR109" s="132"/>
      <c r="CS109" s="132"/>
      <c r="CT109" s="132"/>
      <c r="CU109" s="132"/>
      <c r="CV109" s="132"/>
      <c r="CW109" s="132"/>
      <c r="CX109" s="132"/>
      <c r="CY109" s="132"/>
      <c r="CZ109" s="132"/>
      <c r="DA109" s="132"/>
      <c r="DB109" s="132"/>
      <c r="DC109" s="132"/>
      <c r="DD109" s="132"/>
      <c r="DE109" s="132"/>
      <c r="DF109" s="132"/>
      <c r="DG109" s="132"/>
      <c r="DH109" s="132"/>
      <c r="DI109" s="132"/>
      <c r="DJ109" s="132"/>
      <c r="DK109" s="132"/>
      <c r="DL109" s="132"/>
      <c r="DM109" s="132"/>
      <c r="DN109" s="132"/>
      <c r="DO109" s="132"/>
      <c r="DP109" s="132"/>
      <c r="DQ109" s="132"/>
      <c r="DR109" s="132"/>
      <c r="DS109" s="132"/>
      <c r="DT109" s="132"/>
      <c r="DU109" s="132"/>
      <c r="DV109" s="132"/>
      <c r="DW109" s="132"/>
      <c r="DX109" s="132"/>
      <c r="DY109" s="132"/>
      <c r="DZ109" s="132"/>
      <c r="EA109" s="132"/>
      <c r="EB109" s="132"/>
      <c r="EC109" s="132"/>
      <c r="ED109" s="132"/>
      <c r="EE109" s="132"/>
      <c r="EF109" s="132"/>
      <c r="EG109" s="132"/>
      <c r="EH109" s="132"/>
      <c r="EI109" s="132"/>
      <c r="EJ109" s="132"/>
      <c r="EK109" s="132"/>
      <c r="EL109" s="132"/>
      <c r="EM109" s="132"/>
      <c r="EN109" s="132"/>
      <c r="EO109" s="132"/>
      <c r="EP109" s="132"/>
      <c r="EQ109" s="132"/>
      <c r="ER109" s="132"/>
      <c r="ES109" s="132"/>
      <c r="ET109" s="132"/>
      <c r="EU109" s="132"/>
      <c r="EV109" s="132"/>
      <c r="EW109" s="132"/>
      <c r="EX109" s="132"/>
      <c r="EY109" s="132"/>
      <c r="EZ109" s="132"/>
      <c r="FA109" s="83">
        <f>[27]ES!$R$15</f>
        <v>25122.83</v>
      </c>
      <c r="FB109" s="83">
        <f>[27]ES!$S$15</f>
        <v>982.42</v>
      </c>
      <c r="FC109" s="83"/>
      <c r="FD109" s="83">
        <f>[27]ES!$Q$15</f>
        <v>104.06</v>
      </c>
      <c r="FE109" s="83"/>
      <c r="FF109" s="83">
        <f>[27]ES!$T$15</f>
        <v>687.99</v>
      </c>
      <c r="FG109" s="10">
        <f t="shared" si="398"/>
        <v>26897.300000000003</v>
      </c>
      <c r="FH109" s="83"/>
      <c r="FI109" s="83"/>
      <c r="FJ109" s="83"/>
      <c r="FK109" s="83"/>
      <c r="FL109" s="83"/>
      <c r="FM109" s="83"/>
      <c r="FN109" s="10">
        <f t="shared" si="399"/>
        <v>0</v>
      </c>
      <c r="FO109" s="83">
        <f>[28]ES!$R$15</f>
        <v>21779.03</v>
      </c>
      <c r="FP109" s="83">
        <f>[28]ES!$S$15</f>
        <v>851.6</v>
      </c>
      <c r="FQ109" s="83"/>
      <c r="FR109" s="83">
        <f>[28]ES!$Q$15</f>
        <v>103.5</v>
      </c>
      <c r="FS109" s="83"/>
      <c r="FT109" s="83">
        <f>[28]ES!$T$15</f>
        <v>2894.8</v>
      </c>
      <c r="FU109" s="10">
        <f t="shared" si="400"/>
        <v>25628.929999999997</v>
      </c>
      <c r="FV109" s="83">
        <f>[28]ES!$V$15</f>
        <v>21455.599999999999</v>
      </c>
      <c r="FW109" s="83">
        <f>[28]ES!$W$15</f>
        <v>0</v>
      </c>
      <c r="FX109" s="83"/>
      <c r="FY109" s="83">
        <f>[28]ES!$U$15</f>
        <v>0</v>
      </c>
      <c r="FZ109" s="83"/>
      <c r="GA109" s="83">
        <f>[28]ES!$X$15</f>
        <v>2643.79</v>
      </c>
      <c r="GB109" s="10">
        <f t="shared" si="401"/>
        <v>24099.39</v>
      </c>
      <c r="GC109" s="146">
        <f>ES109+FG109+FU109</f>
        <v>52526.229999999996</v>
      </c>
      <c r="GD109" s="146">
        <f>EZ109+FN109+GB109</f>
        <v>24099.39</v>
      </c>
      <c r="GE109" s="219"/>
      <c r="GG109" s="36"/>
      <c r="GH109" s="36"/>
    </row>
    <row r="110" spans="1:192" s="5" customFormat="1" ht="12.75" x14ac:dyDescent="0.2">
      <c r="A110" s="252"/>
      <c r="B110" s="249" t="s">
        <v>165</v>
      </c>
      <c r="C110" s="250"/>
      <c r="D110" s="250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166"/>
      <c r="X110" s="166"/>
      <c r="Y110" s="166"/>
      <c r="Z110" s="166"/>
      <c r="AA110" s="166"/>
      <c r="AB110" s="166"/>
      <c r="AC110" s="166"/>
      <c r="AD110" s="166"/>
      <c r="AE110" s="166"/>
      <c r="AF110" s="166"/>
      <c r="AG110" s="166"/>
      <c r="AH110" s="166"/>
      <c r="AI110" s="166"/>
      <c r="AJ110" s="166"/>
      <c r="AK110" s="166"/>
      <c r="AL110" s="166"/>
      <c r="AM110" s="166"/>
      <c r="AN110" s="166"/>
      <c r="AO110" s="166"/>
      <c r="AP110" s="166"/>
      <c r="AQ110" s="166"/>
      <c r="AR110" s="166"/>
      <c r="AS110" s="166"/>
      <c r="AT110" s="166"/>
      <c r="AU110" s="166"/>
      <c r="AV110" s="166"/>
      <c r="AW110" s="166"/>
      <c r="AX110" s="166"/>
      <c r="AY110" s="166"/>
      <c r="AZ110" s="166"/>
      <c r="BA110" s="166"/>
      <c r="BB110" s="166"/>
      <c r="BC110" s="166"/>
      <c r="BD110" s="166"/>
      <c r="BE110" s="166"/>
      <c r="BF110" s="166"/>
      <c r="BG110" s="166"/>
      <c r="BH110" s="166"/>
      <c r="BI110" s="166"/>
      <c r="BJ110" s="166"/>
      <c r="BK110" s="166"/>
      <c r="BL110" s="166"/>
      <c r="BM110" s="166"/>
      <c r="BN110" s="166"/>
      <c r="BO110" s="166"/>
      <c r="BP110" s="166"/>
      <c r="BQ110" s="166"/>
      <c r="BR110" s="166"/>
      <c r="BS110" s="166"/>
      <c r="BT110" s="166"/>
      <c r="BU110" s="166"/>
      <c r="BV110" s="166"/>
      <c r="BW110" s="166"/>
      <c r="BX110" s="166"/>
      <c r="BY110" s="166"/>
      <c r="BZ110" s="166"/>
      <c r="CA110" s="166"/>
      <c r="CB110" s="166"/>
      <c r="CC110" s="166"/>
      <c r="CD110" s="166"/>
      <c r="CE110" s="166"/>
      <c r="CF110" s="166"/>
      <c r="CG110" s="166"/>
      <c r="CH110" s="166"/>
      <c r="CI110" s="166"/>
      <c r="CJ110" s="166"/>
      <c r="CK110" s="166"/>
      <c r="CL110" s="166"/>
      <c r="CM110" s="166"/>
      <c r="CN110" s="166"/>
      <c r="CO110" s="166"/>
      <c r="CP110" s="166"/>
      <c r="CQ110" s="166"/>
      <c r="CR110" s="166"/>
      <c r="CS110" s="166"/>
      <c r="CT110" s="166"/>
      <c r="CU110" s="166"/>
      <c r="CV110" s="166"/>
      <c r="CW110" s="166"/>
      <c r="CX110" s="166"/>
      <c r="CY110" s="166"/>
      <c r="CZ110" s="166"/>
      <c r="DA110" s="166"/>
      <c r="DB110" s="166"/>
      <c r="DC110" s="166"/>
      <c r="DD110" s="166"/>
      <c r="DE110" s="166"/>
      <c r="DF110" s="166"/>
      <c r="DG110" s="166"/>
      <c r="DH110" s="166"/>
      <c r="DI110" s="166"/>
      <c r="DJ110" s="166"/>
      <c r="DK110" s="166"/>
      <c r="DL110" s="166"/>
      <c r="DM110" s="166"/>
      <c r="DN110" s="166"/>
      <c r="DO110" s="166"/>
      <c r="DP110" s="166"/>
      <c r="DQ110" s="166"/>
      <c r="DR110" s="166"/>
      <c r="DS110" s="166"/>
      <c r="DT110" s="166"/>
      <c r="DU110" s="166"/>
      <c r="DV110" s="166"/>
      <c r="DW110" s="166"/>
      <c r="DX110" s="166"/>
      <c r="DY110" s="166"/>
      <c r="DZ110" s="166"/>
      <c r="EA110" s="166"/>
      <c r="EB110" s="166"/>
      <c r="EC110" s="166"/>
      <c r="ED110" s="166"/>
      <c r="EE110" s="166"/>
      <c r="EF110" s="166"/>
      <c r="EG110" s="166"/>
      <c r="EH110" s="166"/>
      <c r="EI110" s="166"/>
      <c r="EJ110" s="166"/>
      <c r="EK110" s="166"/>
      <c r="EL110" s="166"/>
      <c r="EM110" s="166">
        <f>EM108</f>
        <v>275928.17</v>
      </c>
      <c r="EN110" s="166">
        <f t="shared" ref="EN110:ER110" si="402">EN108</f>
        <v>5126.43</v>
      </c>
      <c r="EO110" s="166">
        <f t="shared" si="402"/>
        <v>0</v>
      </c>
      <c r="EP110" s="166">
        <f t="shared" si="402"/>
        <v>3207.67</v>
      </c>
      <c r="EQ110" s="166">
        <f t="shared" si="402"/>
        <v>0</v>
      </c>
      <c r="ER110" s="166">
        <f t="shared" si="402"/>
        <v>3169.58</v>
      </c>
      <c r="ES110" s="166">
        <f>SUM(ES108:ES109)</f>
        <v>287431.84999999998</v>
      </c>
      <c r="ET110" s="166">
        <f t="shared" ref="ET110:EZ110" si="403">SUM(ET108:ET109)</f>
        <v>275928.17</v>
      </c>
      <c r="EU110" s="166">
        <f t="shared" si="403"/>
        <v>3588.5</v>
      </c>
      <c r="EV110" s="166">
        <f t="shared" si="403"/>
        <v>0</v>
      </c>
      <c r="EW110" s="166">
        <f t="shared" si="403"/>
        <v>3207.67</v>
      </c>
      <c r="EX110" s="166">
        <f t="shared" si="403"/>
        <v>0</v>
      </c>
      <c r="EY110" s="166">
        <f t="shared" si="403"/>
        <v>2218.71</v>
      </c>
      <c r="EZ110" s="166">
        <f t="shared" si="403"/>
        <v>284943.05</v>
      </c>
      <c r="FA110" s="166">
        <f t="shared" ref="FA110" si="404">SUM(FA108:FA109)</f>
        <v>5496167.8300000001</v>
      </c>
      <c r="FB110" s="166">
        <f t="shared" ref="FB110" si="405">SUM(FB108:FB109)</f>
        <v>94722.42</v>
      </c>
      <c r="FC110" s="166">
        <f t="shared" ref="FC110" si="406">SUM(FC108:FC109)</f>
        <v>0</v>
      </c>
      <c r="FD110" s="166">
        <f t="shared" ref="FD110" si="407">SUM(FD108:FD109)</f>
        <v>49363.06</v>
      </c>
      <c r="FE110" s="166">
        <f t="shared" ref="FE110" si="408">SUM(FE108:FE109)</f>
        <v>0</v>
      </c>
      <c r="FF110" s="166">
        <f t="shared" ref="FF110" si="409">SUM(FF108:FF109)</f>
        <v>3857.5699999999997</v>
      </c>
      <c r="FG110" s="166">
        <f t="shared" ref="FG110" si="410">SUM(FG108:FG109)</f>
        <v>5644110.8799999999</v>
      </c>
      <c r="FH110" s="166">
        <f t="shared" ref="FH110" si="411">SUM(FH108:FH109)</f>
        <v>0</v>
      </c>
      <c r="FI110" s="166">
        <f t="shared" ref="FI110" si="412">SUM(FI108:FI109)</f>
        <v>0</v>
      </c>
      <c r="FJ110" s="166">
        <f t="shared" ref="FJ110" si="413">SUM(FJ108:FJ109)</f>
        <v>0</v>
      </c>
      <c r="FK110" s="166">
        <f t="shared" ref="FK110" si="414">SUM(FK108:FK109)</f>
        <v>0</v>
      </c>
      <c r="FL110" s="166">
        <f t="shared" ref="FL110" si="415">SUM(FL108:FL109)</f>
        <v>0</v>
      </c>
      <c r="FM110" s="166">
        <f t="shared" ref="FM110" si="416">SUM(FM108:FM109)</f>
        <v>0</v>
      </c>
      <c r="FN110" s="166">
        <f>SUM(FN108:FN109)</f>
        <v>0</v>
      </c>
      <c r="FO110" s="166">
        <f t="shared" ref="FO110:GA110" si="417">SUM(FO108:FO109)</f>
        <v>8215702.96</v>
      </c>
      <c r="FP110" s="166">
        <f t="shared" si="417"/>
        <v>136503.27000000002</v>
      </c>
      <c r="FQ110" s="166">
        <f t="shared" si="417"/>
        <v>0</v>
      </c>
      <c r="FR110" s="166">
        <f t="shared" si="417"/>
        <v>49362.5</v>
      </c>
      <c r="FS110" s="166">
        <f t="shared" si="417"/>
        <v>0</v>
      </c>
      <c r="FT110" s="166">
        <f t="shared" si="417"/>
        <v>362487.3</v>
      </c>
      <c r="FU110" s="166">
        <f t="shared" si="417"/>
        <v>8764056.0299999993</v>
      </c>
      <c r="FV110" s="166">
        <f t="shared" si="417"/>
        <v>1767855.6</v>
      </c>
      <c r="FW110" s="166">
        <f t="shared" si="417"/>
        <v>21097.759999999998</v>
      </c>
      <c r="FX110" s="166">
        <f t="shared" si="417"/>
        <v>0</v>
      </c>
      <c r="FY110" s="166">
        <f t="shared" si="417"/>
        <v>23185.73</v>
      </c>
      <c r="FZ110" s="166">
        <f t="shared" si="417"/>
        <v>0</v>
      </c>
      <c r="GA110" s="166">
        <f t="shared" si="417"/>
        <v>217589.68000000002</v>
      </c>
      <c r="GB110" s="166">
        <f>SUM(GB108:GB109)</f>
        <v>2029728.7699999998</v>
      </c>
      <c r="GC110" s="166">
        <f t="shared" ref="GC110:GD110" si="418">SUM(GC108:GC109)</f>
        <v>14695598.76</v>
      </c>
      <c r="GD110" s="166">
        <f t="shared" si="418"/>
        <v>2314671.8199999998</v>
      </c>
      <c r="GE110" s="167"/>
      <c r="GG110" s="36"/>
      <c r="GH110" s="36"/>
    </row>
    <row r="111" spans="1:192" s="5" customFormat="1" ht="12.75" x14ac:dyDescent="0.2">
      <c r="A111" s="255" t="s">
        <v>194</v>
      </c>
      <c r="B111" s="15" t="s">
        <v>196</v>
      </c>
      <c r="C111" s="1" t="s">
        <v>200</v>
      </c>
      <c r="D111" s="18">
        <v>45292</v>
      </c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  <c r="AA111" s="82"/>
      <c r="AB111" s="82"/>
      <c r="AC111" s="82"/>
      <c r="AD111" s="82"/>
      <c r="AE111" s="82"/>
      <c r="AF111" s="82"/>
      <c r="AG111" s="82"/>
      <c r="AH111" s="82"/>
      <c r="AI111" s="82"/>
      <c r="AJ111" s="82"/>
      <c r="AK111" s="82"/>
      <c r="AL111" s="82"/>
      <c r="AM111" s="82"/>
      <c r="AN111" s="82"/>
      <c r="AO111" s="82"/>
      <c r="AP111" s="82"/>
      <c r="AQ111" s="132"/>
      <c r="AR111" s="132"/>
      <c r="AS111" s="173"/>
      <c r="AT111" s="173"/>
      <c r="AU111" s="50"/>
      <c r="AV111" s="173"/>
      <c r="AW111" s="174"/>
      <c r="AX111" s="173"/>
      <c r="AY111" s="50"/>
      <c r="AZ111" s="173"/>
      <c r="BA111" s="173"/>
      <c r="BB111" s="50"/>
      <c r="BC111" s="173"/>
      <c r="BD111" s="174"/>
      <c r="BE111" s="173"/>
      <c r="BF111" s="50"/>
      <c r="BG111" s="132"/>
      <c r="BH111" s="132"/>
      <c r="BI111" s="132"/>
      <c r="BJ111" s="132"/>
      <c r="BK111" s="132"/>
      <c r="BL111" s="132"/>
      <c r="BM111" s="50"/>
      <c r="BN111" s="132"/>
      <c r="BO111" s="132"/>
      <c r="BP111" s="132"/>
      <c r="BQ111" s="132"/>
      <c r="BR111" s="132"/>
      <c r="BS111" s="132"/>
      <c r="BT111" s="50"/>
      <c r="BU111" s="132"/>
      <c r="BV111" s="132"/>
      <c r="BW111" s="132"/>
      <c r="BX111" s="132"/>
      <c r="BY111" s="132"/>
      <c r="BZ111" s="132"/>
      <c r="CA111" s="50"/>
      <c r="CB111" s="132"/>
      <c r="CC111" s="132"/>
      <c r="CD111" s="132"/>
      <c r="CE111" s="132"/>
      <c r="CF111" s="132"/>
      <c r="CG111" s="132"/>
      <c r="CH111" s="50"/>
      <c r="CI111" s="132"/>
      <c r="CJ111" s="132"/>
      <c r="CK111" s="132"/>
      <c r="CL111" s="132"/>
      <c r="CM111" s="132"/>
      <c r="CN111" s="132"/>
      <c r="CO111" s="132"/>
      <c r="CP111" s="132"/>
      <c r="CQ111" s="132"/>
      <c r="CR111" s="132"/>
      <c r="CS111" s="132"/>
      <c r="CT111" s="132"/>
      <c r="CU111" s="132"/>
      <c r="CV111" s="132"/>
      <c r="CW111" s="132"/>
      <c r="CX111" s="132"/>
      <c r="CY111" s="132"/>
      <c r="CZ111" s="132"/>
      <c r="DA111" s="132"/>
      <c r="DB111" s="132"/>
      <c r="DC111" s="132"/>
      <c r="DD111" s="132"/>
      <c r="DE111" s="132"/>
      <c r="DF111" s="132"/>
      <c r="DG111" s="132"/>
      <c r="DH111" s="132"/>
      <c r="DI111" s="132"/>
      <c r="DJ111" s="132"/>
      <c r="DK111" s="132"/>
      <c r="DL111" s="132"/>
      <c r="DM111" s="132"/>
      <c r="DN111" s="132"/>
      <c r="DO111" s="132"/>
      <c r="DP111" s="132"/>
      <c r="DQ111" s="132"/>
      <c r="DR111" s="132"/>
      <c r="DS111" s="132"/>
      <c r="DT111" s="132"/>
      <c r="DU111" s="132"/>
      <c r="DV111" s="132"/>
      <c r="DW111" s="132"/>
      <c r="DX111" s="132"/>
      <c r="DY111" s="132"/>
      <c r="DZ111" s="132"/>
      <c r="EA111" s="132"/>
      <c r="EB111" s="132"/>
      <c r="EC111" s="132"/>
      <c r="ED111" s="132"/>
      <c r="EE111" s="132"/>
      <c r="EF111" s="132"/>
      <c r="EG111" s="132"/>
      <c r="EH111" s="132"/>
      <c r="EI111" s="132"/>
      <c r="EJ111" s="132"/>
      <c r="EK111" s="132"/>
      <c r="EL111" s="132"/>
      <c r="EM111" s="132"/>
      <c r="EN111" s="132"/>
      <c r="EO111" s="132"/>
      <c r="EP111" s="132"/>
      <c r="EQ111" s="132"/>
      <c r="ER111" s="132"/>
      <c r="ES111" s="132"/>
      <c r="ET111" s="132"/>
      <c r="EU111" s="132"/>
      <c r="EV111" s="132"/>
      <c r="EW111" s="132"/>
      <c r="EX111" s="132"/>
      <c r="EY111" s="132"/>
      <c r="EZ111" s="132"/>
      <c r="FA111" s="83">
        <f>[27]RN!$R$14</f>
        <v>87694.38</v>
      </c>
      <c r="FB111" s="83"/>
      <c r="FC111" s="83"/>
      <c r="FD111" s="83"/>
      <c r="FE111" s="83"/>
      <c r="FF111" s="83"/>
      <c r="FG111" s="10">
        <f t="shared" ref="FG111" si="419">SUM(FA111:FF111)</f>
        <v>87694.38</v>
      </c>
      <c r="FH111" s="83">
        <f>[27]RN!$V$14</f>
        <v>87694.38</v>
      </c>
      <c r="FI111" s="83"/>
      <c r="FJ111" s="83"/>
      <c r="FK111" s="83"/>
      <c r="FL111" s="83"/>
      <c r="FM111" s="83"/>
      <c r="FN111" s="10">
        <f t="shared" ref="FN111" si="420">SUM(FH111:FM111)</f>
        <v>87694.38</v>
      </c>
      <c r="FO111" s="83">
        <f>[28]RN!R15</f>
        <v>354106.55</v>
      </c>
      <c r="FP111" s="83">
        <f>[28]RN!S15</f>
        <v>0</v>
      </c>
      <c r="FQ111" s="83"/>
      <c r="FR111" s="83">
        <f>[28]RN!Q15</f>
        <v>173330.7</v>
      </c>
      <c r="FS111" s="83"/>
      <c r="FT111" s="83">
        <f>[28]RN!T15</f>
        <v>3272.85</v>
      </c>
      <c r="FU111" s="10">
        <f t="shared" ref="FU111:FU116" si="421">SUM(FO111:FT111)</f>
        <v>530710.1</v>
      </c>
      <c r="FV111" s="83"/>
      <c r="FW111" s="83"/>
      <c r="FX111" s="83"/>
      <c r="FY111" s="83"/>
      <c r="FZ111" s="83"/>
      <c r="GA111" s="83"/>
      <c r="GB111" s="10">
        <f t="shared" ref="GB111:GB116" si="422">SUM(FV111:GA111)</f>
        <v>0</v>
      </c>
      <c r="GC111" s="83">
        <f>AQ111+AY111+BM111+CA111+CO111+DC111+DQ111+EE111+ES111+FG111+FU111</f>
        <v>618404.48</v>
      </c>
      <c r="GD111" s="83">
        <f>AR111+BF111+BT111+CH111+CV111+DJ111+DX111+EL111+EZ111+FN111+GB111</f>
        <v>87694.38</v>
      </c>
      <c r="GE111" s="217" t="s">
        <v>201</v>
      </c>
      <c r="GG111" s="36"/>
      <c r="GH111" s="36"/>
      <c r="GI111" s="36"/>
      <c r="GJ111" s="36"/>
    </row>
    <row r="112" spans="1:192" s="5" customFormat="1" ht="12.75" x14ac:dyDescent="0.2">
      <c r="A112" s="256"/>
      <c r="B112" s="15" t="s">
        <v>197</v>
      </c>
      <c r="C112" s="1" t="s">
        <v>200</v>
      </c>
      <c r="D112" s="18">
        <v>45292</v>
      </c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  <c r="AA112" s="82"/>
      <c r="AB112" s="82"/>
      <c r="AC112" s="82"/>
      <c r="AD112" s="82"/>
      <c r="AE112" s="82"/>
      <c r="AF112" s="82"/>
      <c r="AG112" s="82"/>
      <c r="AH112" s="82"/>
      <c r="AI112" s="82"/>
      <c r="AJ112" s="82"/>
      <c r="AK112" s="82"/>
      <c r="AL112" s="82"/>
      <c r="AM112" s="82"/>
      <c r="AN112" s="82"/>
      <c r="AO112" s="82"/>
      <c r="AP112" s="82"/>
      <c r="AQ112" s="132"/>
      <c r="AR112" s="132"/>
      <c r="AS112" s="173"/>
      <c r="AT112" s="173"/>
      <c r="AU112" s="50"/>
      <c r="AV112" s="173"/>
      <c r="AW112" s="174"/>
      <c r="AX112" s="173"/>
      <c r="AY112" s="50"/>
      <c r="AZ112" s="173"/>
      <c r="BA112" s="173"/>
      <c r="BB112" s="50"/>
      <c r="BC112" s="173"/>
      <c r="BD112" s="174"/>
      <c r="BE112" s="173"/>
      <c r="BF112" s="50"/>
      <c r="BG112" s="132"/>
      <c r="BH112" s="132"/>
      <c r="BI112" s="132"/>
      <c r="BJ112" s="132"/>
      <c r="BK112" s="132"/>
      <c r="BL112" s="132"/>
      <c r="BM112" s="50"/>
      <c r="BN112" s="132"/>
      <c r="BO112" s="132"/>
      <c r="BP112" s="132"/>
      <c r="BQ112" s="132"/>
      <c r="BR112" s="132"/>
      <c r="BS112" s="132"/>
      <c r="BT112" s="50"/>
      <c r="BU112" s="132"/>
      <c r="BV112" s="132"/>
      <c r="BW112" s="132"/>
      <c r="BX112" s="132"/>
      <c r="BY112" s="132"/>
      <c r="BZ112" s="132"/>
      <c r="CA112" s="50"/>
      <c r="CB112" s="132"/>
      <c r="CC112" s="132"/>
      <c r="CD112" s="132"/>
      <c r="CE112" s="132"/>
      <c r="CF112" s="132"/>
      <c r="CG112" s="132"/>
      <c r="CH112" s="50"/>
      <c r="CI112" s="132"/>
      <c r="CJ112" s="132"/>
      <c r="CK112" s="132"/>
      <c r="CL112" s="132"/>
      <c r="CM112" s="132"/>
      <c r="CN112" s="132"/>
      <c r="CO112" s="132"/>
      <c r="CP112" s="132"/>
      <c r="CQ112" s="132"/>
      <c r="CR112" s="132"/>
      <c r="CS112" s="132"/>
      <c r="CT112" s="132"/>
      <c r="CU112" s="132"/>
      <c r="CV112" s="132"/>
      <c r="CW112" s="132"/>
      <c r="CX112" s="132"/>
      <c r="CY112" s="132"/>
      <c r="CZ112" s="132"/>
      <c r="DA112" s="132"/>
      <c r="DB112" s="132"/>
      <c r="DC112" s="132"/>
      <c r="DD112" s="132"/>
      <c r="DE112" s="132"/>
      <c r="DF112" s="132"/>
      <c r="DG112" s="132"/>
      <c r="DH112" s="132"/>
      <c r="DI112" s="132"/>
      <c r="DJ112" s="132"/>
      <c r="DK112" s="132"/>
      <c r="DL112" s="132"/>
      <c r="DM112" s="132"/>
      <c r="DN112" s="132"/>
      <c r="DO112" s="132"/>
      <c r="DP112" s="132"/>
      <c r="DQ112" s="132"/>
      <c r="DR112" s="132"/>
      <c r="DS112" s="132"/>
      <c r="DT112" s="132"/>
      <c r="DU112" s="132"/>
      <c r="DV112" s="132"/>
      <c r="DW112" s="132"/>
      <c r="DX112" s="132"/>
      <c r="DY112" s="132"/>
      <c r="DZ112" s="132"/>
      <c r="EA112" s="132"/>
      <c r="EB112" s="132"/>
      <c r="EC112" s="132"/>
      <c r="ED112" s="132"/>
      <c r="EE112" s="132"/>
      <c r="EF112" s="132"/>
      <c r="EG112" s="132"/>
      <c r="EH112" s="132"/>
      <c r="EI112" s="132"/>
      <c r="EJ112" s="132"/>
      <c r="EK112" s="132"/>
      <c r="EL112" s="132"/>
      <c r="EM112" s="132"/>
      <c r="EN112" s="132"/>
      <c r="EO112" s="132"/>
      <c r="EP112" s="132"/>
      <c r="EQ112" s="132"/>
      <c r="ER112" s="132"/>
      <c r="ES112" s="132"/>
      <c r="ET112" s="132"/>
      <c r="EU112" s="132"/>
      <c r="EV112" s="132"/>
      <c r="EW112" s="132"/>
      <c r="EX112" s="132"/>
      <c r="EY112" s="132"/>
      <c r="EZ112" s="132"/>
      <c r="FA112" s="83">
        <f>[27]RN!$R$15</f>
        <v>14401.81</v>
      </c>
      <c r="FB112" s="83"/>
      <c r="FC112" s="83"/>
      <c r="FD112" s="83"/>
      <c r="FE112" s="83"/>
      <c r="FF112" s="83"/>
      <c r="FG112" s="10">
        <f t="shared" ref="FG112:FG113" si="423">SUM(FA112:FF112)</f>
        <v>14401.81</v>
      </c>
      <c r="FH112" s="83">
        <f>[27]RN!$V$15</f>
        <v>14401.81</v>
      </c>
      <c r="FI112" s="83"/>
      <c r="FJ112" s="83"/>
      <c r="FK112" s="83"/>
      <c r="FL112" s="83"/>
      <c r="FM112" s="83"/>
      <c r="FN112" s="10">
        <f t="shared" ref="FN112:FN115" si="424">SUM(FH112:FM112)</f>
        <v>14401.81</v>
      </c>
      <c r="FO112" s="83">
        <f>[28]RN!R16</f>
        <v>76300</v>
      </c>
      <c r="FP112" s="83">
        <f>[28]RN!S16</f>
        <v>0</v>
      </c>
      <c r="FQ112" s="83"/>
      <c r="FR112" s="83">
        <f>[28]RN!Q16</f>
        <v>21314.75</v>
      </c>
      <c r="FS112" s="83"/>
      <c r="FT112" s="83">
        <f>[28]RN!T16</f>
        <v>165499.68</v>
      </c>
      <c r="FU112" s="10">
        <f t="shared" si="421"/>
        <v>263114.43</v>
      </c>
      <c r="FV112" s="83"/>
      <c r="FW112" s="83"/>
      <c r="FX112" s="83"/>
      <c r="FY112" s="83"/>
      <c r="FZ112" s="83"/>
      <c r="GA112" s="83"/>
      <c r="GB112" s="10">
        <f t="shared" si="422"/>
        <v>0</v>
      </c>
      <c r="GC112" s="83">
        <f t="shared" ref="GC112:GC116" si="425">AQ112+AY112+BM112+CA112+CO112+DC112+DQ112+EE112+ES112+FG112+FU112</f>
        <v>277516.24</v>
      </c>
      <c r="GD112" s="83">
        <f t="shared" ref="GD112:GD116" si="426">AR112+BF112+BT112+CH112+CV112+DJ112+DX112+EL112+EZ112+FN112+GB112</f>
        <v>14401.81</v>
      </c>
      <c r="GE112" s="218"/>
      <c r="GG112" s="36"/>
      <c r="GH112" s="36"/>
      <c r="GI112" s="36"/>
      <c r="GJ112" s="36"/>
    </row>
    <row r="113" spans="1:192" s="5" customFormat="1" ht="12.75" x14ac:dyDescent="0.2">
      <c r="A113" s="256"/>
      <c r="B113" s="15" t="s">
        <v>198</v>
      </c>
      <c r="C113" s="1" t="s">
        <v>200</v>
      </c>
      <c r="D113" s="18">
        <v>45292</v>
      </c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  <c r="AA113" s="82"/>
      <c r="AB113" s="82"/>
      <c r="AC113" s="82"/>
      <c r="AD113" s="82"/>
      <c r="AE113" s="82"/>
      <c r="AF113" s="82"/>
      <c r="AG113" s="82"/>
      <c r="AH113" s="82"/>
      <c r="AI113" s="82"/>
      <c r="AJ113" s="82"/>
      <c r="AK113" s="82"/>
      <c r="AL113" s="82"/>
      <c r="AM113" s="82"/>
      <c r="AN113" s="82"/>
      <c r="AO113" s="82"/>
      <c r="AP113" s="82"/>
      <c r="AQ113" s="174"/>
      <c r="AR113" s="174"/>
      <c r="AS113" s="174"/>
      <c r="AT113" s="174"/>
      <c r="AU113" s="174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4"/>
      <c r="BF113" s="174"/>
      <c r="BG113" s="174"/>
      <c r="BH113" s="174"/>
      <c r="BI113" s="174"/>
      <c r="BJ113" s="174"/>
      <c r="BK113" s="174"/>
      <c r="BL113" s="174"/>
      <c r="BM113" s="174"/>
      <c r="BN113" s="174"/>
      <c r="BO113" s="174"/>
      <c r="BP113" s="174"/>
      <c r="BQ113" s="174"/>
      <c r="BR113" s="174"/>
      <c r="BS113" s="174"/>
      <c r="BT113" s="174"/>
      <c r="BU113" s="174"/>
      <c r="BV113" s="174"/>
      <c r="BW113" s="174"/>
      <c r="BX113" s="174"/>
      <c r="BY113" s="174"/>
      <c r="BZ113" s="174"/>
      <c r="CA113" s="174"/>
      <c r="CB113" s="174"/>
      <c r="CC113" s="174"/>
      <c r="CD113" s="174"/>
      <c r="CE113" s="174"/>
      <c r="CF113" s="174"/>
      <c r="CG113" s="174"/>
      <c r="CH113" s="174"/>
      <c r="CI113" s="174"/>
      <c r="CJ113" s="174"/>
      <c r="CK113" s="174"/>
      <c r="CL113" s="174"/>
      <c r="CM113" s="174"/>
      <c r="CN113" s="174"/>
      <c r="CO113" s="174"/>
      <c r="CP113" s="174"/>
      <c r="CQ113" s="174"/>
      <c r="CR113" s="174"/>
      <c r="CS113" s="174"/>
      <c r="CT113" s="174"/>
      <c r="CU113" s="174"/>
      <c r="CV113" s="174"/>
      <c r="CW113" s="174"/>
      <c r="CX113" s="174"/>
      <c r="CY113" s="174"/>
      <c r="CZ113" s="174"/>
      <c r="DA113" s="174"/>
      <c r="DB113" s="174"/>
      <c r="DC113" s="174"/>
      <c r="DD113" s="174"/>
      <c r="DE113" s="174"/>
      <c r="DF113" s="174"/>
      <c r="DG113" s="174"/>
      <c r="DH113" s="174"/>
      <c r="DI113" s="174"/>
      <c r="DJ113" s="174"/>
      <c r="DK113" s="174"/>
      <c r="DL113" s="174"/>
      <c r="DM113" s="174"/>
      <c r="DN113" s="174"/>
      <c r="DO113" s="174"/>
      <c r="DP113" s="174"/>
      <c r="DQ113" s="174"/>
      <c r="DR113" s="174"/>
      <c r="DS113" s="174"/>
      <c r="DT113" s="174"/>
      <c r="DU113" s="174"/>
      <c r="DV113" s="174"/>
      <c r="DW113" s="174"/>
      <c r="DX113" s="174"/>
      <c r="DY113" s="132"/>
      <c r="DZ113" s="132"/>
      <c r="EA113" s="132"/>
      <c r="EB113" s="132"/>
      <c r="EC113" s="132"/>
      <c r="ED113" s="132"/>
      <c r="EE113" s="132"/>
      <c r="EF113" s="132"/>
      <c r="EG113" s="132"/>
      <c r="EH113" s="132"/>
      <c r="EI113" s="132"/>
      <c r="EJ113" s="132"/>
      <c r="EK113" s="132"/>
      <c r="EL113" s="132"/>
      <c r="EM113" s="132"/>
      <c r="EN113" s="132"/>
      <c r="EO113" s="132"/>
      <c r="EP113" s="132"/>
      <c r="EQ113" s="132"/>
      <c r="ER113" s="132"/>
      <c r="ES113" s="132"/>
      <c r="ET113" s="132"/>
      <c r="EU113" s="132"/>
      <c r="EV113" s="132"/>
      <c r="EW113" s="132"/>
      <c r="EX113" s="132"/>
      <c r="EY113" s="132"/>
      <c r="EZ113" s="132"/>
      <c r="FA113" s="83">
        <f>[27]RN!$R$19</f>
        <v>0</v>
      </c>
      <c r="FB113" s="83"/>
      <c r="FC113" s="83"/>
      <c r="FD113" s="83"/>
      <c r="FE113" s="83"/>
      <c r="FF113" s="83"/>
      <c r="FG113" s="10">
        <f t="shared" si="423"/>
        <v>0</v>
      </c>
      <c r="FH113" s="83">
        <f>[27]RN!$V$19</f>
        <v>0</v>
      </c>
      <c r="FI113" s="83"/>
      <c r="FJ113" s="83"/>
      <c r="FK113" s="83"/>
      <c r="FL113" s="83"/>
      <c r="FM113" s="83"/>
      <c r="FN113" s="10">
        <f t="shared" si="424"/>
        <v>0</v>
      </c>
      <c r="FO113" s="83">
        <f>[28]RN!R20</f>
        <v>0</v>
      </c>
      <c r="FP113" s="83">
        <f>[28]RN!S20</f>
        <v>0</v>
      </c>
      <c r="FQ113" s="83"/>
      <c r="FR113" s="83">
        <f>[28]RN!Q20</f>
        <v>12419.95</v>
      </c>
      <c r="FS113" s="83"/>
      <c r="FT113" s="83">
        <f>[28]RN!$T$20</f>
        <v>1178.3499999999999</v>
      </c>
      <c r="FU113" s="10">
        <f t="shared" si="421"/>
        <v>13598.300000000001</v>
      </c>
      <c r="FV113" s="83"/>
      <c r="FW113" s="83"/>
      <c r="FX113" s="83"/>
      <c r="FY113" s="83"/>
      <c r="FZ113" s="83"/>
      <c r="GA113" s="83"/>
      <c r="GB113" s="10">
        <f t="shared" si="422"/>
        <v>0</v>
      </c>
      <c r="GC113" s="83">
        <f t="shared" si="425"/>
        <v>13598.300000000001</v>
      </c>
      <c r="GD113" s="83">
        <f t="shared" si="426"/>
        <v>0</v>
      </c>
      <c r="GE113" s="218"/>
      <c r="GG113" s="36"/>
      <c r="GH113" s="36"/>
      <c r="GI113" s="36"/>
      <c r="GJ113" s="36"/>
    </row>
    <row r="114" spans="1:192" s="5" customFormat="1" ht="12.75" x14ac:dyDescent="0.2">
      <c r="A114" s="256"/>
      <c r="B114" s="15" t="s">
        <v>199</v>
      </c>
      <c r="C114" s="1" t="s">
        <v>200</v>
      </c>
      <c r="D114" s="18">
        <v>45292</v>
      </c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  <c r="AA114" s="82"/>
      <c r="AB114" s="82"/>
      <c r="AC114" s="82"/>
      <c r="AD114" s="82"/>
      <c r="AE114" s="82"/>
      <c r="AF114" s="82"/>
      <c r="AG114" s="82"/>
      <c r="AH114" s="82"/>
      <c r="AI114" s="82"/>
      <c r="AJ114" s="82"/>
      <c r="AK114" s="82"/>
      <c r="AL114" s="82"/>
      <c r="AM114" s="82"/>
      <c r="AN114" s="82"/>
      <c r="AO114" s="82"/>
      <c r="AP114" s="82"/>
      <c r="AQ114" s="132"/>
      <c r="AR114" s="132"/>
      <c r="AS114" s="173"/>
      <c r="AT114" s="173"/>
      <c r="AU114" s="50"/>
      <c r="AV114" s="173"/>
      <c r="AW114" s="174"/>
      <c r="AX114" s="50"/>
      <c r="AY114" s="50"/>
      <c r="AZ114" s="173"/>
      <c r="BA114" s="50"/>
      <c r="BB114" s="50"/>
      <c r="BC114" s="173"/>
      <c r="BD114" s="174"/>
      <c r="BE114" s="50"/>
      <c r="BF114" s="50"/>
      <c r="BG114" s="132"/>
      <c r="BH114" s="132"/>
      <c r="BI114" s="132"/>
      <c r="BJ114" s="132"/>
      <c r="BK114" s="132"/>
      <c r="BL114" s="132"/>
      <c r="BM114" s="50"/>
      <c r="BN114" s="132"/>
      <c r="BO114" s="132"/>
      <c r="BP114" s="132"/>
      <c r="BQ114" s="132"/>
      <c r="BR114" s="132"/>
      <c r="BS114" s="132"/>
      <c r="BT114" s="50"/>
      <c r="BU114" s="132"/>
      <c r="BV114" s="132"/>
      <c r="BW114" s="132"/>
      <c r="BX114" s="132"/>
      <c r="BY114" s="132"/>
      <c r="BZ114" s="132"/>
      <c r="CA114" s="50"/>
      <c r="CB114" s="132"/>
      <c r="CC114" s="132"/>
      <c r="CD114" s="132"/>
      <c r="CE114" s="132"/>
      <c r="CF114" s="132"/>
      <c r="CG114" s="132"/>
      <c r="CH114" s="50"/>
      <c r="CI114" s="132"/>
      <c r="CJ114" s="132"/>
      <c r="CK114" s="132"/>
      <c r="CL114" s="132"/>
      <c r="CM114" s="132"/>
      <c r="CN114" s="132"/>
      <c r="CO114" s="132"/>
      <c r="CP114" s="132"/>
      <c r="CQ114" s="132"/>
      <c r="CR114" s="132"/>
      <c r="CS114" s="132"/>
      <c r="CT114" s="132"/>
      <c r="CU114" s="132"/>
      <c r="CV114" s="132"/>
      <c r="CW114" s="132"/>
      <c r="CX114" s="132"/>
      <c r="CY114" s="132"/>
      <c r="CZ114" s="132"/>
      <c r="DA114" s="132"/>
      <c r="DB114" s="132"/>
      <c r="DC114" s="132"/>
      <c r="DD114" s="132"/>
      <c r="DE114" s="132"/>
      <c r="DF114" s="132"/>
      <c r="DG114" s="132"/>
      <c r="DH114" s="132"/>
      <c r="DI114" s="132"/>
      <c r="DJ114" s="132"/>
      <c r="DK114" s="132"/>
      <c r="DL114" s="132"/>
      <c r="DM114" s="132"/>
      <c r="DN114" s="132"/>
      <c r="DO114" s="132"/>
      <c r="DP114" s="132"/>
      <c r="DQ114" s="132"/>
      <c r="DR114" s="132"/>
      <c r="DS114" s="132"/>
      <c r="DT114" s="132"/>
      <c r="DU114" s="132"/>
      <c r="DV114" s="132"/>
      <c r="DW114" s="132"/>
      <c r="DX114" s="132"/>
      <c r="DY114" s="132"/>
      <c r="DZ114" s="132"/>
      <c r="EA114" s="132"/>
      <c r="EB114" s="132"/>
      <c r="EC114" s="132"/>
      <c r="ED114" s="132"/>
      <c r="EE114" s="132"/>
      <c r="EF114" s="132"/>
      <c r="EG114" s="132"/>
      <c r="EH114" s="132"/>
      <c r="EI114" s="132"/>
      <c r="EJ114" s="132"/>
      <c r="EK114" s="132"/>
      <c r="EL114" s="132"/>
      <c r="EM114" s="132"/>
      <c r="EN114" s="132"/>
      <c r="EO114" s="132"/>
      <c r="EP114" s="132"/>
      <c r="EQ114" s="132"/>
      <c r="ER114" s="132"/>
      <c r="ES114" s="132"/>
      <c r="ET114" s="132"/>
      <c r="EU114" s="132"/>
      <c r="EV114" s="132"/>
      <c r="EW114" s="132"/>
      <c r="EX114" s="132"/>
      <c r="EY114" s="132"/>
      <c r="EZ114" s="132"/>
      <c r="FA114" s="83">
        <f>[27]RN!$R$20+[27]RN!$R$21+[27]RN!$R$36</f>
        <v>169181.55</v>
      </c>
      <c r="FB114" s="83"/>
      <c r="FC114" s="83"/>
      <c r="FD114" s="83"/>
      <c r="FE114" s="83"/>
      <c r="FF114" s="83"/>
      <c r="FG114" s="10">
        <f t="shared" ref="FG114:FG115" si="427">SUM(FA114:FF114)</f>
        <v>169181.55</v>
      </c>
      <c r="FH114" s="83">
        <f>[27]RN!$V$20+[27]RN!$V$21+[27]RN!$V$36</f>
        <v>169181.55</v>
      </c>
      <c r="FI114" s="83"/>
      <c r="FJ114" s="83"/>
      <c r="FK114" s="83"/>
      <c r="FL114" s="83"/>
      <c r="FM114" s="83"/>
      <c r="FN114" s="10">
        <f t="shared" si="424"/>
        <v>169181.55</v>
      </c>
      <c r="FO114" s="83">
        <f>[28]RN!R21+[28]RN!R22+[28]RN!R37</f>
        <v>666406.13</v>
      </c>
      <c r="FP114" s="83">
        <f>[28]RN!S21+[28]RN!S22+[28]RN!S37</f>
        <v>0</v>
      </c>
      <c r="FQ114" s="83"/>
      <c r="FR114" s="83">
        <f>[28]RN!Q21+[28]RN!Q22+[28]RN!Q37</f>
        <v>10514.95</v>
      </c>
      <c r="FS114" s="83"/>
      <c r="FT114" s="83">
        <f>[28]RN!T21+[28]RN!T22+[28]RN!T37</f>
        <v>4457.29</v>
      </c>
      <c r="FU114" s="10">
        <f t="shared" si="421"/>
        <v>681378.37</v>
      </c>
      <c r="FV114" s="83"/>
      <c r="FW114" s="83"/>
      <c r="FX114" s="83"/>
      <c r="FY114" s="83"/>
      <c r="FZ114" s="83"/>
      <c r="GA114" s="83"/>
      <c r="GB114" s="10">
        <f t="shared" si="422"/>
        <v>0</v>
      </c>
      <c r="GC114" s="83">
        <f t="shared" si="425"/>
        <v>850559.91999999993</v>
      </c>
      <c r="GD114" s="83">
        <f t="shared" si="426"/>
        <v>169181.55</v>
      </c>
      <c r="GE114" s="218"/>
      <c r="GG114" s="36"/>
      <c r="GH114" s="36"/>
      <c r="GI114" s="36"/>
      <c r="GJ114" s="36"/>
    </row>
    <row r="115" spans="1:192" s="5" customFormat="1" ht="12.75" x14ac:dyDescent="0.2">
      <c r="A115" s="256"/>
      <c r="B115" s="15" t="s">
        <v>252</v>
      </c>
      <c r="C115" s="1" t="s">
        <v>200</v>
      </c>
      <c r="D115" s="18">
        <v>45292</v>
      </c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  <c r="AA115" s="82"/>
      <c r="AB115" s="82"/>
      <c r="AC115" s="82"/>
      <c r="AD115" s="82"/>
      <c r="AE115" s="82"/>
      <c r="AF115" s="82"/>
      <c r="AG115" s="82"/>
      <c r="AH115" s="82"/>
      <c r="AI115" s="82"/>
      <c r="AJ115" s="82"/>
      <c r="AK115" s="82"/>
      <c r="AL115" s="82"/>
      <c r="AM115" s="82"/>
      <c r="AN115" s="82"/>
      <c r="AO115" s="82"/>
      <c r="AP115" s="82"/>
      <c r="AQ115" s="132"/>
      <c r="AR115" s="132"/>
      <c r="AS115" s="173"/>
      <c r="AT115" s="173"/>
      <c r="AU115" s="132"/>
      <c r="AV115" s="173"/>
      <c r="AW115" s="174"/>
      <c r="AX115" s="132"/>
      <c r="AY115" s="50"/>
      <c r="AZ115" s="173"/>
      <c r="BA115" s="132"/>
      <c r="BB115" s="132"/>
      <c r="BC115" s="173"/>
      <c r="BD115" s="174"/>
      <c r="BE115" s="132"/>
      <c r="BF115" s="50"/>
      <c r="BG115" s="132"/>
      <c r="BH115" s="132"/>
      <c r="BI115" s="132"/>
      <c r="BJ115" s="132"/>
      <c r="BK115" s="132"/>
      <c r="BL115" s="132"/>
      <c r="BM115" s="50"/>
      <c r="BN115" s="132"/>
      <c r="BO115" s="132"/>
      <c r="BP115" s="132"/>
      <c r="BQ115" s="132"/>
      <c r="BR115" s="132"/>
      <c r="BS115" s="132"/>
      <c r="BT115" s="50"/>
      <c r="BU115" s="132"/>
      <c r="BV115" s="132"/>
      <c r="BW115" s="132"/>
      <c r="BX115" s="132"/>
      <c r="BY115" s="132"/>
      <c r="BZ115" s="132"/>
      <c r="CA115" s="50"/>
      <c r="CB115" s="132"/>
      <c r="CC115" s="132"/>
      <c r="CD115" s="132"/>
      <c r="CE115" s="132"/>
      <c r="CF115" s="132"/>
      <c r="CG115" s="132"/>
      <c r="CH115" s="50"/>
      <c r="CI115" s="132"/>
      <c r="CJ115" s="132"/>
      <c r="CK115" s="132"/>
      <c r="CL115" s="132"/>
      <c r="CM115" s="132"/>
      <c r="CN115" s="132"/>
      <c r="CO115" s="132"/>
      <c r="CP115" s="132"/>
      <c r="CQ115" s="132"/>
      <c r="CR115" s="132"/>
      <c r="CS115" s="132"/>
      <c r="CT115" s="132"/>
      <c r="CU115" s="132"/>
      <c r="CV115" s="132"/>
      <c r="CW115" s="132"/>
      <c r="CX115" s="132"/>
      <c r="CY115" s="132"/>
      <c r="CZ115" s="132"/>
      <c r="DA115" s="132"/>
      <c r="DB115" s="132"/>
      <c r="DC115" s="132"/>
      <c r="DD115" s="132"/>
      <c r="DE115" s="132"/>
      <c r="DF115" s="132"/>
      <c r="DG115" s="132"/>
      <c r="DH115" s="132"/>
      <c r="DI115" s="132"/>
      <c r="DJ115" s="132"/>
      <c r="DK115" s="132"/>
      <c r="DL115" s="132"/>
      <c r="DM115" s="132"/>
      <c r="DN115" s="132"/>
      <c r="DO115" s="132"/>
      <c r="DP115" s="132"/>
      <c r="DQ115" s="132"/>
      <c r="DR115" s="132"/>
      <c r="DS115" s="132"/>
      <c r="DT115" s="132"/>
      <c r="DU115" s="132"/>
      <c r="DV115" s="132"/>
      <c r="DW115" s="132"/>
      <c r="DX115" s="132"/>
      <c r="DY115" s="132"/>
      <c r="DZ115" s="132"/>
      <c r="EA115" s="132"/>
      <c r="EB115" s="132"/>
      <c r="EC115" s="132"/>
      <c r="ED115" s="132"/>
      <c r="EE115" s="132"/>
      <c r="EF115" s="132"/>
      <c r="EG115" s="132"/>
      <c r="EH115" s="132"/>
      <c r="EI115" s="132"/>
      <c r="EJ115" s="132"/>
      <c r="EK115" s="132"/>
      <c r="EL115" s="132"/>
      <c r="EM115" s="132"/>
      <c r="EN115" s="132"/>
      <c r="EO115" s="132"/>
      <c r="EP115" s="132"/>
      <c r="EQ115" s="132"/>
      <c r="ER115" s="132"/>
      <c r="ES115" s="132"/>
      <c r="ET115" s="132"/>
      <c r="EU115" s="132"/>
      <c r="EV115" s="132"/>
      <c r="EW115" s="132"/>
      <c r="EX115" s="132"/>
      <c r="EY115" s="132"/>
      <c r="EZ115" s="132"/>
      <c r="FA115" s="83">
        <f>[27]RN!$R$16+[27]RN!$R$17+[27]RN!$R$18+[27]RN!$R$28+[27]RN!$R$29+[27]RN!$R$30</f>
        <v>22802.7</v>
      </c>
      <c r="FB115" s="83"/>
      <c r="FC115" s="83"/>
      <c r="FD115" s="83"/>
      <c r="FE115" s="83"/>
      <c r="FF115" s="83"/>
      <c r="FG115" s="10">
        <f t="shared" si="427"/>
        <v>22802.7</v>
      </c>
      <c r="FH115" s="83">
        <f>[27]RN!$V$16+[27]RN!$V$17+[27]RN!$V$18++[27]RN!$V$28+[27]RN!$V$29+[27]RN!$V$30</f>
        <v>22802.7</v>
      </c>
      <c r="FI115" s="83"/>
      <c r="FJ115" s="83"/>
      <c r="FK115" s="83"/>
      <c r="FL115" s="83"/>
      <c r="FM115" s="83"/>
      <c r="FN115" s="10">
        <f t="shared" si="424"/>
        <v>22802.7</v>
      </c>
      <c r="FO115" s="83">
        <f>[28]RN!R17+[28]RN!R18+[28]RN!R19+[28]RN!R29+[28]RN!R30+[28]RN!R31</f>
        <v>68450.080000000002</v>
      </c>
      <c r="FP115" s="83">
        <f>[28]RN!S17+[28]RN!S18+[28]RN!S19+[28]RN!S29+[28]RN!S30+[28]RN!S31</f>
        <v>0</v>
      </c>
      <c r="FQ115" s="83"/>
      <c r="FR115" s="83">
        <f>[28]RN!Q17+[28]RN!Q18+[28]RN!Q19+[28]RN!Q29+[28]RN!Q30+[28]RN!Q31</f>
        <v>31115.98</v>
      </c>
      <c r="FS115" s="83"/>
      <c r="FT115" s="83">
        <f>[28]RN!T17+[28]RN!T18+[28]RN!T19+[28]RN!T29+[28]RN!T30+[28]RN!T31</f>
        <v>0</v>
      </c>
      <c r="FU115" s="10">
        <f t="shared" si="421"/>
        <v>99566.06</v>
      </c>
      <c r="FV115" s="83"/>
      <c r="FW115" s="83"/>
      <c r="FX115" s="83"/>
      <c r="FY115" s="83"/>
      <c r="FZ115" s="83"/>
      <c r="GA115" s="83"/>
      <c r="GB115" s="10">
        <f t="shared" si="422"/>
        <v>0</v>
      </c>
      <c r="GC115" s="83">
        <f t="shared" ref="GC115" si="428">AQ115+AY115+BM115+CA115+CO115+DC115+DQ115+EE115+ES115+FG115+FU115</f>
        <v>122368.76</v>
      </c>
      <c r="GD115" s="83">
        <f t="shared" ref="GD115" si="429">AR115+BF115+BT115+CH115+CV115+DJ115+DX115+EL115+EZ115+FN115+GB115</f>
        <v>22802.7</v>
      </c>
      <c r="GE115" s="218"/>
      <c r="GG115" s="36"/>
      <c r="GH115" s="36"/>
      <c r="GI115" s="36"/>
      <c r="GJ115" s="36"/>
    </row>
    <row r="116" spans="1:192" s="5" customFormat="1" ht="12.75" x14ac:dyDescent="0.2">
      <c r="A116" s="256"/>
      <c r="B116" s="15" t="s">
        <v>109</v>
      </c>
      <c r="C116" s="1" t="s">
        <v>200</v>
      </c>
      <c r="D116" s="18">
        <v>45292</v>
      </c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  <c r="AA116" s="82"/>
      <c r="AB116" s="82"/>
      <c r="AC116" s="82"/>
      <c r="AD116" s="82"/>
      <c r="AE116" s="82"/>
      <c r="AF116" s="82"/>
      <c r="AG116" s="82"/>
      <c r="AH116" s="82"/>
      <c r="AI116" s="82"/>
      <c r="AJ116" s="82"/>
      <c r="AK116" s="82"/>
      <c r="AL116" s="82"/>
      <c r="AM116" s="82"/>
      <c r="AN116" s="82"/>
      <c r="AO116" s="82"/>
      <c r="AP116" s="82"/>
      <c r="AQ116" s="132"/>
      <c r="AR116" s="132"/>
      <c r="AS116" s="173"/>
      <c r="AT116" s="173"/>
      <c r="AU116" s="132"/>
      <c r="AV116" s="173"/>
      <c r="AW116" s="174"/>
      <c r="AX116" s="173"/>
      <c r="AY116" s="50"/>
      <c r="AZ116" s="173"/>
      <c r="BA116" s="173"/>
      <c r="BB116" s="132"/>
      <c r="BC116" s="173"/>
      <c r="BD116" s="174"/>
      <c r="BE116" s="173"/>
      <c r="BF116" s="50"/>
      <c r="BG116" s="132"/>
      <c r="BH116" s="175"/>
      <c r="BI116" s="132"/>
      <c r="BJ116" s="132"/>
      <c r="BK116" s="132"/>
      <c r="BL116" s="132"/>
      <c r="BM116" s="50"/>
      <c r="BN116" s="132"/>
      <c r="BO116" s="132"/>
      <c r="BP116" s="132"/>
      <c r="BQ116" s="132"/>
      <c r="BR116" s="132"/>
      <c r="BS116" s="132"/>
      <c r="BT116" s="50"/>
      <c r="BU116" s="132"/>
      <c r="BV116" s="132"/>
      <c r="BW116" s="132"/>
      <c r="BX116" s="132"/>
      <c r="BY116" s="132"/>
      <c r="BZ116" s="132"/>
      <c r="CA116" s="50"/>
      <c r="CB116" s="132"/>
      <c r="CC116" s="175"/>
      <c r="CD116" s="132"/>
      <c r="CE116" s="132"/>
      <c r="CF116" s="132"/>
      <c r="CG116" s="175"/>
      <c r="CH116" s="50"/>
      <c r="CI116" s="132"/>
      <c r="CJ116" s="132"/>
      <c r="CK116" s="132"/>
      <c r="CL116" s="132"/>
      <c r="CM116" s="132"/>
      <c r="CN116" s="132"/>
      <c r="CO116" s="132"/>
      <c r="CP116" s="132"/>
      <c r="CQ116" s="132"/>
      <c r="CR116" s="132"/>
      <c r="CS116" s="132"/>
      <c r="CT116" s="132"/>
      <c r="CU116" s="132"/>
      <c r="CV116" s="132"/>
      <c r="CW116" s="132"/>
      <c r="CX116" s="132"/>
      <c r="CY116" s="132"/>
      <c r="CZ116" s="132"/>
      <c r="DA116" s="132"/>
      <c r="DB116" s="132"/>
      <c r="DC116" s="132"/>
      <c r="DD116" s="132"/>
      <c r="DE116" s="132"/>
      <c r="DF116" s="132"/>
      <c r="DG116" s="132"/>
      <c r="DH116" s="132"/>
      <c r="DI116" s="132"/>
      <c r="DJ116" s="132"/>
      <c r="DK116" s="132"/>
      <c r="DL116" s="132"/>
      <c r="DM116" s="132"/>
      <c r="DN116" s="132"/>
      <c r="DO116" s="132"/>
      <c r="DP116" s="132"/>
      <c r="DQ116" s="132"/>
      <c r="DR116" s="132"/>
      <c r="DS116" s="132"/>
      <c r="DT116" s="132"/>
      <c r="DU116" s="132"/>
      <c r="DV116" s="132"/>
      <c r="DW116" s="132"/>
      <c r="DX116" s="132"/>
      <c r="DY116" s="132"/>
      <c r="DZ116" s="132"/>
      <c r="EA116" s="132"/>
      <c r="EB116" s="132"/>
      <c r="EC116" s="132"/>
      <c r="ED116" s="132"/>
      <c r="EE116" s="132"/>
      <c r="EF116" s="132"/>
      <c r="EG116" s="132"/>
      <c r="EH116" s="132"/>
      <c r="EI116" s="132"/>
      <c r="EJ116" s="132"/>
      <c r="EK116" s="132"/>
      <c r="EL116" s="132"/>
      <c r="EM116" s="132"/>
      <c r="EN116" s="132"/>
      <c r="EO116" s="132"/>
      <c r="EP116" s="132"/>
      <c r="EQ116" s="132"/>
      <c r="ER116" s="132"/>
      <c r="ES116" s="132"/>
      <c r="ET116" s="132"/>
      <c r="EU116" s="132"/>
      <c r="EV116" s="132"/>
      <c r="EW116" s="132"/>
      <c r="EX116" s="132"/>
      <c r="EY116" s="132"/>
      <c r="EZ116" s="132"/>
      <c r="FA116" s="83">
        <f>[27]RN!$R$22+[27]RN!$R$23+[27]RN!$R$24+[27]RN!$R$25+[27]RN!$R$26+[27]RN!$R$27+[27]RN!$R$31+[27]RN!$R$32+[27]RN!$R$33+[27]RN!$R$34+[27]RN!$R$35+[27]RN!$R$37+[27]RN!$R$38+[27]RN!$R$39</f>
        <v>263383.36</v>
      </c>
      <c r="FB116" s="83"/>
      <c r="FC116" s="83"/>
      <c r="FD116" s="83"/>
      <c r="FE116" s="83"/>
      <c r="FF116" s="83"/>
      <c r="FG116" s="10">
        <f t="shared" ref="FG116" si="430">SUM(FA116:FF116)</f>
        <v>263383.36</v>
      </c>
      <c r="FH116" s="83">
        <f>[27]RN!$V$22+[27]RN!$V$23+[27]RN!$V$24+[27]RN!$V$25+[27]RN!$V$26+[27]RN!$V$27+[27]RN!$V$31+[27]RN!$V$32+[27]RN!$V$33+[27]RN!$V$34+[27]RN!$V$35+[27]RN!$V$37+[27]RN!$V$38+[27]RN!$V$39</f>
        <v>263383.36</v>
      </c>
      <c r="FI116" s="83"/>
      <c r="FJ116" s="83"/>
      <c r="FK116" s="83"/>
      <c r="FL116" s="83"/>
      <c r="FM116" s="83"/>
      <c r="FN116" s="10">
        <f t="shared" ref="FN116" si="431">SUM(FH116:FM116)</f>
        <v>263383.36</v>
      </c>
      <c r="FO116" s="83">
        <f>SUM([28]RN!R23:R28)+SUM([28]RN!R32:R36)+SUM([28]RN!R38:R40)</f>
        <v>645569.54999999993</v>
      </c>
      <c r="FP116" s="83">
        <f>SUM([28]RN!S23:S28)+SUM([28]RN!S32:S36)+SUM([28]RN!S38:S40)</f>
        <v>0</v>
      </c>
      <c r="FQ116" s="83"/>
      <c r="FR116" s="83">
        <f>SUM([28]RN!Q23:Q28)+SUM([28]RN!Q32:Q36)+SUM([28]RN!Q38:Q40)</f>
        <v>81804.150000000009</v>
      </c>
      <c r="FS116" s="83"/>
      <c r="FT116" s="83">
        <f>SUM([28]RN!T23:T28)+SUM([28]RN!T32:T36)+SUM([28]RN!T38:T40)</f>
        <v>6247.3099999999995</v>
      </c>
      <c r="FU116" s="10">
        <f t="shared" si="421"/>
        <v>733621.01</v>
      </c>
      <c r="FV116" s="83"/>
      <c r="FW116" s="83"/>
      <c r="FX116" s="83"/>
      <c r="FY116" s="83"/>
      <c r="FZ116" s="83"/>
      <c r="GA116" s="83"/>
      <c r="GB116" s="10">
        <f t="shared" si="422"/>
        <v>0</v>
      </c>
      <c r="GC116" s="83">
        <f t="shared" si="425"/>
        <v>997004.37</v>
      </c>
      <c r="GD116" s="83">
        <f t="shared" si="426"/>
        <v>263383.36</v>
      </c>
      <c r="GE116" s="219"/>
      <c r="GG116" s="36"/>
      <c r="GH116" s="36"/>
      <c r="GI116" s="36"/>
      <c r="GJ116" s="36"/>
    </row>
    <row r="117" spans="1:192" s="5" customFormat="1" ht="12.75" x14ac:dyDescent="0.2">
      <c r="A117" s="257"/>
      <c r="B117" s="258" t="s">
        <v>195</v>
      </c>
      <c r="C117" s="258"/>
      <c r="D117" s="253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  <c r="R117" s="57"/>
      <c r="S117" s="57"/>
      <c r="T117" s="57"/>
      <c r="U117" s="57"/>
      <c r="V117" s="57"/>
      <c r="W117" s="57"/>
      <c r="X117" s="57"/>
      <c r="Y117" s="57"/>
      <c r="Z117" s="57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AY117" s="57"/>
      <c r="AZ117" s="57"/>
      <c r="BA117" s="57"/>
      <c r="BB117" s="57"/>
      <c r="BC117" s="57"/>
      <c r="BD117" s="57"/>
      <c r="BE117" s="57"/>
      <c r="BF117" s="57"/>
      <c r="BG117" s="57"/>
      <c r="BH117" s="57"/>
      <c r="BI117" s="57"/>
      <c r="BJ117" s="57"/>
      <c r="BK117" s="57"/>
      <c r="BL117" s="57"/>
      <c r="BM117" s="57"/>
      <c r="BN117" s="57"/>
      <c r="BO117" s="57"/>
      <c r="BP117" s="57"/>
      <c r="BQ117" s="57"/>
      <c r="BR117" s="57"/>
      <c r="BS117" s="57"/>
      <c r="BT117" s="57"/>
      <c r="BU117" s="57"/>
      <c r="BV117" s="57"/>
      <c r="BW117" s="57"/>
      <c r="BX117" s="57"/>
      <c r="BY117" s="57"/>
      <c r="BZ117" s="57"/>
      <c r="CA117" s="57"/>
      <c r="CB117" s="57"/>
      <c r="CC117" s="57"/>
      <c r="CD117" s="57"/>
      <c r="CE117" s="57"/>
      <c r="CF117" s="57"/>
      <c r="CG117" s="57"/>
      <c r="CH117" s="57"/>
      <c r="CI117" s="57"/>
      <c r="CJ117" s="57"/>
      <c r="CK117" s="57"/>
      <c r="CL117" s="57"/>
      <c r="CM117" s="57"/>
      <c r="CN117" s="57"/>
      <c r="CO117" s="57"/>
      <c r="CP117" s="57"/>
      <c r="CQ117" s="57"/>
      <c r="CR117" s="57"/>
      <c r="CS117" s="57"/>
      <c r="CT117" s="57"/>
      <c r="CU117" s="57"/>
      <c r="CV117" s="57"/>
      <c r="CW117" s="57"/>
      <c r="CX117" s="57"/>
      <c r="CY117" s="57"/>
      <c r="CZ117" s="57"/>
      <c r="DA117" s="57"/>
      <c r="DB117" s="57"/>
      <c r="DC117" s="57"/>
      <c r="DD117" s="57"/>
      <c r="DE117" s="57"/>
      <c r="DF117" s="57"/>
      <c r="DG117" s="57"/>
      <c r="DH117" s="57"/>
      <c r="DI117" s="57"/>
      <c r="DJ117" s="57"/>
      <c r="DK117" s="57"/>
      <c r="DL117" s="57"/>
      <c r="DM117" s="57"/>
      <c r="DN117" s="57"/>
      <c r="DO117" s="57"/>
      <c r="DP117" s="57"/>
      <c r="DQ117" s="57"/>
      <c r="DR117" s="57"/>
      <c r="DS117" s="57"/>
      <c r="DT117" s="57"/>
      <c r="DU117" s="57"/>
      <c r="DV117" s="57"/>
      <c r="DW117" s="57"/>
      <c r="DX117" s="57"/>
      <c r="DY117" s="57"/>
      <c r="DZ117" s="57"/>
      <c r="EA117" s="57"/>
      <c r="EB117" s="57"/>
      <c r="EC117" s="57"/>
      <c r="ED117" s="57"/>
      <c r="EE117" s="57"/>
      <c r="EF117" s="57"/>
      <c r="EG117" s="57"/>
      <c r="EH117" s="57"/>
      <c r="EI117" s="57"/>
      <c r="EJ117" s="57"/>
      <c r="EK117" s="57"/>
      <c r="EL117" s="57"/>
      <c r="EM117" s="57"/>
      <c r="EN117" s="57"/>
      <c r="EO117" s="57"/>
      <c r="EP117" s="57"/>
      <c r="EQ117" s="57"/>
      <c r="ER117" s="57"/>
      <c r="ES117" s="57"/>
      <c r="ET117" s="57"/>
      <c r="EU117" s="57"/>
      <c r="EV117" s="57"/>
      <c r="EW117" s="57"/>
      <c r="EX117" s="57"/>
      <c r="EY117" s="57"/>
      <c r="EZ117" s="57"/>
      <c r="FA117" s="57">
        <f t="shared" ref="FA117:GD117" si="432">SUM(FA111:FA116)</f>
        <v>557463.80000000005</v>
      </c>
      <c r="FB117" s="57">
        <f t="shared" si="432"/>
        <v>0</v>
      </c>
      <c r="FC117" s="57">
        <f t="shared" si="432"/>
        <v>0</v>
      </c>
      <c r="FD117" s="57">
        <f t="shared" si="432"/>
        <v>0</v>
      </c>
      <c r="FE117" s="57">
        <f t="shared" si="432"/>
        <v>0</v>
      </c>
      <c r="FF117" s="57">
        <f t="shared" si="432"/>
        <v>0</v>
      </c>
      <c r="FG117" s="57">
        <f t="shared" si="432"/>
        <v>557463.80000000005</v>
      </c>
      <c r="FH117" s="57">
        <f t="shared" si="432"/>
        <v>557463.80000000005</v>
      </c>
      <c r="FI117" s="57">
        <f t="shared" si="432"/>
        <v>0</v>
      </c>
      <c r="FJ117" s="57">
        <f t="shared" si="432"/>
        <v>0</v>
      </c>
      <c r="FK117" s="57">
        <f t="shared" si="432"/>
        <v>0</v>
      </c>
      <c r="FL117" s="57">
        <f t="shared" si="432"/>
        <v>0</v>
      </c>
      <c r="FM117" s="57">
        <f t="shared" si="432"/>
        <v>0</v>
      </c>
      <c r="FN117" s="57">
        <f t="shared" si="432"/>
        <v>557463.80000000005</v>
      </c>
      <c r="FO117" s="57">
        <f t="shared" ref="FO117:GB117" si="433">SUM(FO111:FO116)</f>
        <v>1810832.31</v>
      </c>
      <c r="FP117" s="57">
        <f t="shared" si="433"/>
        <v>0</v>
      </c>
      <c r="FQ117" s="57">
        <f t="shared" si="433"/>
        <v>0</v>
      </c>
      <c r="FR117" s="57">
        <f t="shared" si="433"/>
        <v>330500.48000000004</v>
      </c>
      <c r="FS117" s="57">
        <f t="shared" si="433"/>
        <v>0</v>
      </c>
      <c r="FT117" s="57">
        <f t="shared" si="433"/>
        <v>180655.48</v>
      </c>
      <c r="FU117" s="57">
        <f t="shared" si="433"/>
        <v>2321988.2700000005</v>
      </c>
      <c r="FV117" s="57">
        <f t="shared" si="433"/>
        <v>0</v>
      </c>
      <c r="FW117" s="57">
        <f t="shared" si="433"/>
        <v>0</v>
      </c>
      <c r="FX117" s="57">
        <f t="shared" si="433"/>
        <v>0</v>
      </c>
      <c r="FY117" s="57">
        <f t="shared" si="433"/>
        <v>0</v>
      </c>
      <c r="FZ117" s="57">
        <f t="shared" si="433"/>
        <v>0</v>
      </c>
      <c r="GA117" s="57">
        <f t="shared" si="433"/>
        <v>0</v>
      </c>
      <c r="GB117" s="57">
        <f t="shared" si="433"/>
        <v>0</v>
      </c>
      <c r="GC117" s="57">
        <f t="shared" si="432"/>
        <v>2879452.07</v>
      </c>
      <c r="GD117" s="57">
        <f t="shared" si="432"/>
        <v>557463.80000000005</v>
      </c>
      <c r="GE117" s="81"/>
      <c r="GG117" s="36"/>
      <c r="GH117" s="36"/>
    </row>
    <row r="118" spans="1:192" s="5" customFormat="1" ht="12.75" x14ac:dyDescent="0.2">
      <c r="A118" s="251" t="s">
        <v>207</v>
      </c>
      <c r="B118" s="5" t="s">
        <v>251</v>
      </c>
      <c r="C118" s="165" t="s">
        <v>208</v>
      </c>
      <c r="D118" s="2">
        <v>45292</v>
      </c>
      <c r="E118" s="212"/>
      <c r="F118" s="212"/>
      <c r="G118" s="212"/>
      <c r="H118" s="212"/>
      <c r="I118" s="212"/>
      <c r="J118" s="212"/>
      <c r="K118" s="212"/>
      <c r="L118" s="212"/>
      <c r="M118" s="212"/>
      <c r="N118" s="212"/>
      <c r="O118" s="212"/>
      <c r="P118" s="212"/>
      <c r="Q118" s="212"/>
      <c r="R118" s="212"/>
      <c r="S118" s="212"/>
      <c r="T118" s="212"/>
      <c r="U118" s="212"/>
      <c r="V118" s="212"/>
      <c r="W118" s="212"/>
      <c r="X118" s="212"/>
      <c r="Y118" s="212"/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  <c r="AK118" s="212"/>
      <c r="AL118" s="212"/>
      <c r="AM118" s="212"/>
      <c r="AN118" s="212"/>
      <c r="AO118" s="212"/>
      <c r="AP118" s="212"/>
      <c r="AQ118" s="212"/>
      <c r="AR118" s="212"/>
      <c r="AS118" s="212"/>
      <c r="AT118" s="212"/>
      <c r="AU118" s="212"/>
      <c r="AV118" s="212"/>
      <c r="AW118" s="212"/>
      <c r="AX118" s="212"/>
      <c r="AY118" s="212"/>
      <c r="AZ118" s="212"/>
      <c r="BA118" s="212"/>
      <c r="BB118" s="212"/>
      <c r="BC118" s="212"/>
      <c r="BD118" s="212"/>
      <c r="BE118" s="212"/>
      <c r="BF118" s="212"/>
      <c r="BG118" s="212"/>
      <c r="BH118" s="212"/>
      <c r="BI118" s="212"/>
      <c r="BJ118" s="212"/>
      <c r="BK118" s="212"/>
      <c r="BL118" s="212"/>
      <c r="BM118" s="212"/>
      <c r="BN118" s="212"/>
      <c r="BO118" s="212"/>
      <c r="BP118" s="212"/>
      <c r="BQ118" s="212"/>
      <c r="BR118" s="212"/>
      <c r="BS118" s="212"/>
      <c r="BT118" s="212"/>
      <c r="BU118" s="212"/>
      <c r="BV118" s="212"/>
      <c r="BW118" s="212"/>
      <c r="BX118" s="212"/>
      <c r="BY118" s="212"/>
      <c r="BZ118" s="212"/>
      <c r="CA118" s="212"/>
      <c r="CB118" s="212"/>
      <c r="CC118" s="212"/>
      <c r="CD118" s="212"/>
      <c r="CE118" s="212"/>
      <c r="CF118" s="212"/>
      <c r="CG118" s="212"/>
      <c r="CH118" s="212"/>
      <c r="CI118" s="212"/>
      <c r="CJ118" s="212"/>
      <c r="CK118" s="212"/>
      <c r="CL118" s="212"/>
      <c r="CM118" s="212"/>
      <c r="CN118" s="212"/>
      <c r="CO118" s="212"/>
      <c r="CP118" s="212"/>
      <c r="CQ118" s="212"/>
      <c r="CR118" s="212"/>
      <c r="CS118" s="212"/>
      <c r="CT118" s="212"/>
      <c r="CU118" s="212"/>
      <c r="CV118" s="212"/>
      <c r="CW118" s="212"/>
      <c r="CX118" s="212"/>
      <c r="CY118" s="212"/>
      <c r="CZ118" s="212"/>
      <c r="DA118" s="212"/>
      <c r="DB118" s="212"/>
      <c r="DC118" s="212"/>
      <c r="DD118" s="212"/>
      <c r="DE118" s="212"/>
      <c r="DF118" s="212"/>
      <c r="DG118" s="212"/>
      <c r="DH118" s="212"/>
      <c r="DI118" s="212"/>
      <c r="DJ118" s="212"/>
      <c r="DK118" s="212"/>
      <c r="DL118" s="212"/>
      <c r="DM118" s="212"/>
      <c r="DN118" s="212"/>
      <c r="DO118" s="212"/>
      <c r="DP118" s="212"/>
      <c r="DQ118" s="212"/>
      <c r="DR118" s="212"/>
      <c r="DS118" s="212"/>
      <c r="DT118" s="212"/>
      <c r="DU118" s="212"/>
      <c r="DV118" s="212"/>
      <c r="DW118" s="212"/>
      <c r="DX118" s="212"/>
      <c r="DY118" s="212"/>
      <c r="DZ118" s="212"/>
      <c r="EA118" s="212"/>
      <c r="EB118" s="212"/>
      <c r="EC118" s="212"/>
      <c r="ED118" s="212"/>
      <c r="EE118" s="212"/>
      <c r="EF118" s="212"/>
      <c r="EG118" s="212"/>
      <c r="EH118" s="212"/>
      <c r="EI118" s="212"/>
      <c r="EJ118" s="212"/>
      <c r="EK118" s="212"/>
      <c r="EL118" s="212"/>
      <c r="EM118" s="212"/>
      <c r="EN118" s="212"/>
      <c r="EO118" s="212"/>
      <c r="EP118" s="212"/>
      <c r="EQ118" s="212"/>
      <c r="ER118" s="212"/>
      <c r="ES118" s="212"/>
      <c r="ET118" s="212"/>
      <c r="EU118" s="212"/>
      <c r="EV118" s="212"/>
      <c r="EW118" s="212"/>
      <c r="EX118" s="212"/>
      <c r="EY118" s="212"/>
      <c r="EZ118" s="212"/>
      <c r="FA118" s="212"/>
      <c r="FB118" s="212"/>
      <c r="FC118" s="212"/>
      <c r="FD118" s="212"/>
      <c r="FE118" s="212"/>
      <c r="FF118" s="212"/>
      <c r="FG118" s="212"/>
      <c r="FH118" s="212"/>
      <c r="FI118" s="212"/>
      <c r="FJ118" s="212"/>
      <c r="FK118" s="212"/>
      <c r="FL118" s="212"/>
      <c r="FM118" s="212"/>
      <c r="FN118" s="212"/>
      <c r="FO118" s="83">
        <f>[28]DF!R14</f>
        <v>0</v>
      </c>
      <c r="FP118" s="83">
        <f>[28]DF!S14</f>
        <v>0</v>
      </c>
      <c r="FQ118" s="83"/>
      <c r="FR118" s="83">
        <f>[28]DF!Q14</f>
        <v>0</v>
      </c>
      <c r="FS118" s="83"/>
      <c r="FT118" s="83">
        <f>[28]DF!T14</f>
        <v>0</v>
      </c>
      <c r="FU118" s="10">
        <f t="shared" ref="FU118:FU119" si="434">SUM(FO118:FT118)</f>
        <v>0</v>
      </c>
      <c r="FV118" s="83">
        <f>[28]DF!V14</f>
        <v>0</v>
      </c>
      <c r="FW118" s="83">
        <f>[28]DF!W14</f>
        <v>0</v>
      </c>
      <c r="FX118" s="83"/>
      <c r="FY118" s="83">
        <f>[28]DF!U14</f>
        <v>0</v>
      </c>
      <c r="FZ118" s="83"/>
      <c r="GA118" s="83">
        <f>[28]DF!X14</f>
        <v>0</v>
      </c>
      <c r="GB118" s="10">
        <f t="shared" ref="GB118:GB119" si="435">SUM(FV118:GA118)</f>
        <v>0</v>
      </c>
      <c r="GC118" s="146">
        <f t="shared" ref="GC118:GC119" si="436">FU118</f>
        <v>0</v>
      </c>
      <c r="GD118" s="146">
        <f t="shared" ref="GD118:GD119" si="437">GB118</f>
        <v>0</v>
      </c>
      <c r="GE118" s="217" t="s">
        <v>209</v>
      </c>
      <c r="GG118" s="36"/>
      <c r="GH118" s="36"/>
    </row>
    <row r="119" spans="1:192" s="5" customFormat="1" ht="12.75" x14ac:dyDescent="0.2">
      <c r="A119" s="252"/>
      <c r="B119" s="15" t="s">
        <v>250</v>
      </c>
      <c r="C119" s="165" t="s">
        <v>208</v>
      </c>
      <c r="D119" s="2">
        <v>45292</v>
      </c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132"/>
      <c r="AB119" s="132"/>
      <c r="AC119" s="132"/>
      <c r="AD119" s="132"/>
      <c r="AE119" s="132"/>
      <c r="AF119" s="132"/>
      <c r="AG119" s="132"/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2"/>
      <c r="BF119" s="132"/>
      <c r="BG119" s="132"/>
      <c r="BH119" s="132"/>
      <c r="BI119" s="132"/>
      <c r="BJ119" s="132"/>
      <c r="BK119" s="132"/>
      <c r="BL119" s="132"/>
      <c r="BM119" s="132"/>
      <c r="BN119" s="132"/>
      <c r="BO119" s="132"/>
      <c r="BP119" s="132"/>
      <c r="BQ119" s="132"/>
      <c r="BR119" s="132"/>
      <c r="BS119" s="132"/>
      <c r="BT119" s="132"/>
      <c r="BU119" s="132"/>
      <c r="BV119" s="132"/>
      <c r="BW119" s="132"/>
      <c r="BX119" s="132"/>
      <c r="BY119" s="132"/>
      <c r="BZ119" s="132"/>
      <c r="CA119" s="132"/>
      <c r="CB119" s="132"/>
      <c r="CC119" s="132"/>
      <c r="CD119" s="132"/>
      <c r="CE119" s="132"/>
      <c r="CF119" s="132"/>
      <c r="CG119" s="132"/>
      <c r="CH119" s="132"/>
      <c r="CI119" s="132"/>
      <c r="CJ119" s="132"/>
      <c r="CK119" s="132"/>
      <c r="CL119" s="132"/>
      <c r="CM119" s="132"/>
      <c r="CN119" s="132"/>
      <c r="CO119" s="132"/>
      <c r="CP119" s="132"/>
      <c r="CQ119" s="132"/>
      <c r="CR119" s="132"/>
      <c r="CS119" s="132"/>
      <c r="CT119" s="132"/>
      <c r="CU119" s="132"/>
      <c r="CV119" s="132"/>
      <c r="CW119" s="132"/>
      <c r="CX119" s="132"/>
      <c r="CY119" s="132"/>
      <c r="CZ119" s="132"/>
      <c r="DA119" s="132"/>
      <c r="DB119" s="132"/>
      <c r="DC119" s="132"/>
      <c r="DD119" s="132"/>
      <c r="DE119" s="132"/>
      <c r="DF119" s="132"/>
      <c r="DG119" s="132"/>
      <c r="DH119" s="132"/>
      <c r="DI119" s="132"/>
      <c r="DJ119" s="132"/>
      <c r="DK119" s="132"/>
      <c r="DL119" s="132"/>
      <c r="DM119" s="132"/>
      <c r="DN119" s="132"/>
      <c r="DO119" s="132"/>
      <c r="DP119" s="132"/>
      <c r="DQ119" s="132"/>
      <c r="DR119" s="132"/>
      <c r="DS119" s="132"/>
      <c r="DT119" s="132"/>
      <c r="DU119" s="132"/>
      <c r="DV119" s="132"/>
      <c r="DW119" s="132"/>
      <c r="DX119" s="132"/>
      <c r="DY119" s="132"/>
      <c r="DZ119" s="132"/>
      <c r="EA119" s="132"/>
      <c r="EB119" s="132"/>
      <c r="EC119" s="132"/>
      <c r="ED119" s="132"/>
      <c r="EE119" s="132"/>
      <c r="EF119" s="132"/>
      <c r="EG119" s="132"/>
      <c r="EH119" s="132"/>
      <c r="EI119" s="132"/>
      <c r="EJ119" s="132"/>
      <c r="EK119" s="132"/>
      <c r="EL119" s="132"/>
      <c r="EM119" s="132"/>
      <c r="EN119" s="132"/>
      <c r="EO119" s="132"/>
      <c r="EP119" s="132"/>
      <c r="EQ119" s="132"/>
      <c r="ER119" s="132"/>
      <c r="ES119" s="132"/>
      <c r="ET119" s="132"/>
      <c r="EU119" s="132"/>
      <c r="EV119" s="132"/>
      <c r="EW119" s="132"/>
      <c r="EX119" s="132"/>
      <c r="EY119" s="132"/>
      <c r="EZ119" s="132"/>
      <c r="FA119" s="132"/>
      <c r="FB119" s="132"/>
      <c r="FC119" s="132"/>
      <c r="FD119" s="132"/>
      <c r="FE119" s="132"/>
      <c r="FF119" s="132"/>
      <c r="FG119" s="132"/>
      <c r="FH119" s="132"/>
      <c r="FI119" s="132"/>
      <c r="FJ119" s="132"/>
      <c r="FK119" s="132"/>
      <c r="FL119" s="132"/>
      <c r="FM119" s="132"/>
      <c r="FN119" s="132"/>
      <c r="FO119" s="83">
        <f>[28]DF!R15</f>
        <v>0</v>
      </c>
      <c r="FP119" s="83">
        <f>[28]DF!S15</f>
        <v>0</v>
      </c>
      <c r="FQ119" s="83"/>
      <c r="FR119" s="83">
        <f>[28]DF!Q15</f>
        <v>0</v>
      </c>
      <c r="FS119" s="83"/>
      <c r="FT119" s="83">
        <f>[28]DF!T15</f>
        <v>0</v>
      </c>
      <c r="FU119" s="10">
        <f t="shared" si="434"/>
        <v>0</v>
      </c>
      <c r="FV119" s="83">
        <f>[28]DF!V15</f>
        <v>0</v>
      </c>
      <c r="FW119" s="83">
        <f>[28]DF!W15</f>
        <v>0</v>
      </c>
      <c r="FX119" s="83"/>
      <c r="FY119" s="83">
        <f>[28]DF!U15</f>
        <v>0</v>
      </c>
      <c r="FZ119" s="83"/>
      <c r="GA119" s="83">
        <f>[28]DF!X15</f>
        <v>0</v>
      </c>
      <c r="GB119" s="10">
        <f t="shared" si="435"/>
        <v>0</v>
      </c>
      <c r="GC119" s="146">
        <f t="shared" si="436"/>
        <v>0</v>
      </c>
      <c r="GD119" s="146">
        <f t="shared" si="437"/>
        <v>0</v>
      </c>
      <c r="GE119" s="218"/>
      <c r="GG119" s="36"/>
      <c r="GH119" s="36"/>
    </row>
    <row r="120" spans="1:192" s="5" customFormat="1" ht="12.75" x14ac:dyDescent="0.2">
      <c r="A120" s="252"/>
      <c r="B120" s="15" t="s">
        <v>249</v>
      </c>
      <c r="C120" s="165" t="s">
        <v>208</v>
      </c>
      <c r="D120" s="2">
        <v>45292</v>
      </c>
      <c r="E120" s="50"/>
      <c r="F120" s="50"/>
      <c r="G120" s="50"/>
      <c r="H120" s="50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  <c r="AJ120" s="50"/>
      <c r="AK120" s="50"/>
      <c r="AL120" s="50"/>
      <c r="AM120" s="50"/>
      <c r="AN120" s="50"/>
      <c r="AO120" s="50"/>
      <c r="AP120" s="50"/>
      <c r="AQ120" s="50"/>
      <c r="AR120" s="50"/>
      <c r="AS120" s="50"/>
      <c r="AT120" s="50"/>
      <c r="AU120" s="50"/>
      <c r="AV120" s="50"/>
      <c r="AW120" s="50"/>
      <c r="AX120" s="50"/>
      <c r="AY120" s="50"/>
      <c r="AZ120" s="50"/>
      <c r="BA120" s="50"/>
      <c r="BB120" s="50"/>
      <c r="BC120" s="50"/>
      <c r="BD120" s="50"/>
      <c r="BE120" s="50"/>
      <c r="BF120" s="50"/>
      <c r="BG120" s="50"/>
      <c r="BH120" s="50"/>
      <c r="BI120" s="50"/>
      <c r="BJ120" s="50"/>
      <c r="BK120" s="50"/>
      <c r="BL120" s="50"/>
      <c r="BM120" s="50"/>
      <c r="BN120" s="50"/>
      <c r="BO120" s="50"/>
      <c r="BP120" s="50"/>
      <c r="BQ120" s="50"/>
      <c r="BR120" s="50"/>
      <c r="BS120" s="50"/>
      <c r="BT120" s="50"/>
      <c r="BU120" s="50"/>
      <c r="BV120" s="50"/>
      <c r="BW120" s="50"/>
      <c r="BX120" s="50"/>
      <c r="BY120" s="50"/>
      <c r="BZ120" s="50"/>
      <c r="CA120" s="50"/>
      <c r="CB120" s="50"/>
      <c r="CC120" s="50"/>
      <c r="CD120" s="50"/>
      <c r="CE120" s="50"/>
      <c r="CF120" s="50"/>
      <c r="CG120" s="50"/>
      <c r="CH120" s="50"/>
      <c r="CI120" s="50"/>
      <c r="CJ120" s="50"/>
      <c r="CK120" s="50"/>
      <c r="CL120" s="50"/>
      <c r="CM120" s="50"/>
      <c r="CN120" s="50"/>
      <c r="CO120" s="50"/>
      <c r="CP120" s="50"/>
      <c r="CQ120" s="50"/>
      <c r="CR120" s="50"/>
      <c r="CS120" s="50"/>
      <c r="CT120" s="50"/>
      <c r="CU120" s="50"/>
      <c r="CV120" s="50"/>
      <c r="CW120" s="50"/>
      <c r="CX120" s="50"/>
      <c r="CY120" s="50"/>
      <c r="CZ120" s="50"/>
      <c r="DA120" s="50"/>
      <c r="DB120" s="50"/>
      <c r="DC120" s="50"/>
      <c r="DD120" s="50"/>
      <c r="DE120" s="50"/>
      <c r="DF120" s="50"/>
      <c r="DG120" s="50"/>
      <c r="DH120" s="50"/>
      <c r="DI120" s="50"/>
      <c r="DJ120" s="50"/>
      <c r="DK120" s="50"/>
      <c r="DL120" s="50"/>
      <c r="DM120" s="50"/>
      <c r="DN120" s="50"/>
      <c r="DO120" s="50"/>
      <c r="DP120" s="50"/>
      <c r="DQ120" s="50"/>
      <c r="DR120" s="50"/>
      <c r="DS120" s="50"/>
      <c r="DT120" s="50"/>
      <c r="DU120" s="50"/>
      <c r="DV120" s="50"/>
      <c r="DW120" s="50"/>
      <c r="DX120" s="50"/>
      <c r="DY120" s="50"/>
      <c r="DZ120" s="50"/>
      <c r="EA120" s="50"/>
      <c r="EB120" s="50"/>
      <c r="EC120" s="50"/>
      <c r="ED120" s="50"/>
      <c r="EE120" s="50"/>
      <c r="EF120" s="50"/>
      <c r="EG120" s="50"/>
      <c r="EH120" s="50"/>
      <c r="EI120" s="50"/>
      <c r="EJ120" s="50"/>
      <c r="EK120" s="50"/>
      <c r="EL120" s="50"/>
      <c r="EM120" s="50"/>
      <c r="EN120" s="50"/>
      <c r="EO120" s="50"/>
      <c r="EP120" s="50"/>
      <c r="EQ120" s="50"/>
      <c r="ER120" s="50"/>
      <c r="ES120" s="50"/>
      <c r="ET120" s="50"/>
      <c r="EU120" s="50"/>
      <c r="EV120" s="50"/>
      <c r="EW120" s="50"/>
      <c r="EX120" s="50"/>
      <c r="EY120" s="50"/>
      <c r="EZ120" s="50"/>
      <c r="FA120" s="50"/>
      <c r="FB120" s="50"/>
      <c r="FC120" s="50"/>
      <c r="FD120" s="50"/>
      <c r="FE120" s="50"/>
      <c r="FF120" s="50"/>
      <c r="FG120" s="50"/>
      <c r="FH120" s="50"/>
      <c r="FI120" s="50"/>
      <c r="FJ120" s="50"/>
      <c r="FK120" s="50"/>
      <c r="FL120" s="50"/>
      <c r="FM120" s="50"/>
      <c r="FN120" s="50"/>
      <c r="FO120" s="83">
        <f>[28]DF!R16</f>
        <v>671848.92</v>
      </c>
      <c r="FP120" s="83">
        <f>[28]DF!S16</f>
        <v>621448.63</v>
      </c>
      <c r="FQ120" s="83"/>
      <c r="FR120" s="83">
        <f>[28]DF!Q16</f>
        <v>1137681.45</v>
      </c>
      <c r="FS120" s="83"/>
      <c r="FT120" s="83">
        <f>[28]DF!T16</f>
        <v>218658.87</v>
      </c>
      <c r="FU120" s="10">
        <f t="shared" ref="FU120" si="438">SUM(FO120:FT120)</f>
        <v>2649637.87</v>
      </c>
      <c r="FV120" s="83">
        <f>[28]DF!V16</f>
        <v>67822.100000000006</v>
      </c>
      <c r="FW120" s="83">
        <f>[28]DF!W16</f>
        <v>358597.2</v>
      </c>
      <c r="FX120" s="83"/>
      <c r="FY120" s="83">
        <f>[28]DF!U16</f>
        <v>312017.09000000003</v>
      </c>
      <c r="FZ120" s="83"/>
      <c r="GA120" s="83">
        <f>[28]DF!X16</f>
        <v>12060.84</v>
      </c>
      <c r="GB120" s="10">
        <f t="shared" ref="GB120" si="439">SUM(FV120:GA120)</f>
        <v>750497.2300000001</v>
      </c>
      <c r="GC120" s="146">
        <f>FU120</f>
        <v>2649637.87</v>
      </c>
      <c r="GD120" s="146">
        <f>GB120</f>
        <v>750497.2300000001</v>
      </c>
      <c r="GE120" s="219"/>
      <c r="GG120" s="36"/>
      <c r="GH120" s="36"/>
    </row>
    <row r="121" spans="1:192" s="5" customFormat="1" ht="12.75" x14ac:dyDescent="0.2">
      <c r="A121" s="252"/>
      <c r="B121" s="249" t="s">
        <v>210</v>
      </c>
      <c r="C121" s="250"/>
      <c r="D121" s="250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  <c r="W121" s="166"/>
      <c r="X121" s="166"/>
      <c r="Y121" s="166"/>
      <c r="Z121" s="166"/>
      <c r="AA121" s="166"/>
      <c r="AB121" s="166"/>
      <c r="AC121" s="166"/>
      <c r="AD121" s="166"/>
      <c r="AE121" s="166"/>
      <c r="AF121" s="166"/>
      <c r="AG121" s="166"/>
      <c r="AH121" s="166"/>
      <c r="AI121" s="166"/>
      <c r="AJ121" s="166"/>
      <c r="AK121" s="166"/>
      <c r="AL121" s="166"/>
      <c r="AM121" s="166"/>
      <c r="AN121" s="166"/>
      <c r="AO121" s="166"/>
      <c r="AP121" s="166"/>
      <c r="AQ121" s="166"/>
      <c r="AR121" s="166"/>
      <c r="AS121" s="166"/>
      <c r="AT121" s="166"/>
      <c r="AU121" s="166"/>
      <c r="AV121" s="166"/>
      <c r="AW121" s="166"/>
      <c r="AX121" s="166"/>
      <c r="AY121" s="166"/>
      <c r="AZ121" s="166"/>
      <c r="BA121" s="166"/>
      <c r="BB121" s="166"/>
      <c r="BC121" s="166"/>
      <c r="BD121" s="166"/>
      <c r="BE121" s="166"/>
      <c r="BF121" s="166"/>
      <c r="BG121" s="166"/>
      <c r="BH121" s="166"/>
      <c r="BI121" s="166"/>
      <c r="BJ121" s="166"/>
      <c r="BK121" s="166"/>
      <c r="BL121" s="166"/>
      <c r="BM121" s="166"/>
      <c r="BN121" s="166"/>
      <c r="BO121" s="166"/>
      <c r="BP121" s="166"/>
      <c r="BQ121" s="166"/>
      <c r="BR121" s="166"/>
      <c r="BS121" s="166"/>
      <c r="BT121" s="166"/>
      <c r="BU121" s="166"/>
      <c r="BV121" s="166"/>
      <c r="BW121" s="166"/>
      <c r="BX121" s="166"/>
      <c r="BY121" s="166"/>
      <c r="BZ121" s="166"/>
      <c r="CA121" s="166"/>
      <c r="CB121" s="166"/>
      <c r="CC121" s="166"/>
      <c r="CD121" s="166"/>
      <c r="CE121" s="166"/>
      <c r="CF121" s="166"/>
      <c r="CG121" s="166"/>
      <c r="CH121" s="166"/>
      <c r="CI121" s="166"/>
      <c r="CJ121" s="166"/>
      <c r="CK121" s="166"/>
      <c r="CL121" s="166"/>
      <c r="CM121" s="166"/>
      <c r="CN121" s="166"/>
      <c r="CO121" s="166"/>
      <c r="CP121" s="166"/>
      <c r="CQ121" s="166"/>
      <c r="CR121" s="166"/>
      <c r="CS121" s="166"/>
      <c r="CT121" s="166"/>
      <c r="CU121" s="166"/>
      <c r="CV121" s="166"/>
      <c r="CW121" s="166"/>
      <c r="CX121" s="166"/>
      <c r="CY121" s="166"/>
      <c r="CZ121" s="166"/>
      <c r="DA121" s="166"/>
      <c r="DB121" s="166"/>
      <c r="DC121" s="166"/>
      <c r="DD121" s="166"/>
      <c r="DE121" s="166"/>
      <c r="DF121" s="166"/>
      <c r="DG121" s="166"/>
      <c r="DH121" s="166"/>
      <c r="DI121" s="166"/>
      <c r="DJ121" s="166"/>
      <c r="DK121" s="166"/>
      <c r="DL121" s="166"/>
      <c r="DM121" s="166"/>
      <c r="DN121" s="166"/>
      <c r="DO121" s="166"/>
      <c r="DP121" s="166"/>
      <c r="DQ121" s="166"/>
      <c r="DR121" s="166"/>
      <c r="DS121" s="166"/>
      <c r="DT121" s="166"/>
      <c r="DU121" s="166"/>
      <c r="DV121" s="166"/>
      <c r="DW121" s="166"/>
      <c r="DX121" s="166"/>
      <c r="DY121" s="166"/>
      <c r="DZ121" s="166"/>
      <c r="EA121" s="166"/>
      <c r="EB121" s="166"/>
      <c r="EC121" s="166"/>
      <c r="ED121" s="166"/>
      <c r="EE121" s="166"/>
      <c r="EF121" s="166"/>
      <c r="EG121" s="166"/>
      <c r="EH121" s="166"/>
      <c r="EI121" s="166"/>
      <c r="EJ121" s="166"/>
      <c r="EK121" s="166"/>
      <c r="EL121" s="166"/>
      <c r="EM121" s="166"/>
      <c r="EN121" s="166"/>
      <c r="EO121" s="166"/>
      <c r="EP121" s="166"/>
      <c r="EQ121" s="166"/>
      <c r="ER121" s="166"/>
      <c r="ES121" s="166"/>
      <c r="ET121" s="166"/>
      <c r="EU121" s="166"/>
      <c r="EV121" s="166"/>
      <c r="EW121" s="166"/>
      <c r="EX121" s="166"/>
      <c r="EY121" s="166"/>
      <c r="EZ121" s="166"/>
      <c r="FA121" s="166"/>
      <c r="FB121" s="166"/>
      <c r="FC121" s="166"/>
      <c r="FD121" s="166"/>
      <c r="FE121" s="166"/>
      <c r="FF121" s="166"/>
      <c r="FG121" s="166"/>
      <c r="FH121" s="166"/>
      <c r="FI121" s="166"/>
      <c r="FJ121" s="166"/>
      <c r="FK121" s="166"/>
      <c r="FL121" s="166"/>
      <c r="FM121" s="166"/>
      <c r="FN121" s="166"/>
      <c r="FO121" s="166">
        <f t="shared" ref="FO121:FT121" si="440">SUM(FO120:FO120)</f>
        <v>671848.92</v>
      </c>
      <c r="FP121" s="166">
        <f t="shared" si="440"/>
        <v>621448.63</v>
      </c>
      <c r="FQ121" s="166">
        <f t="shared" si="440"/>
        <v>0</v>
      </c>
      <c r="FR121" s="166">
        <f t="shared" si="440"/>
        <v>1137681.45</v>
      </c>
      <c r="FS121" s="166">
        <f t="shared" si="440"/>
        <v>0</v>
      </c>
      <c r="FT121" s="166">
        <f t="shared" si="440"/>
        <v>218658.87</v>
      </c>
      <c r="FU121" s="166">
        <f t="shared" ref="FU121:GC121" si="441">SUM(FU118:FU120)</f>
        <v>2649637.87</v>
      </c>
      <c r="FV121" s="166">
        <f t="shared" si="441"/>
        <v>67822.100000000006</v>
      </c>
      <c r="FW121" s="166">
        <f t="shared" si="441"/>
        <v>358597.2</v>
      </c>
      <c r="FX121" s="166">
        <f t="shared" si="441"/>
        <v>0</v>
      </c>
      <c r="FY121" s="166">
        <f t="shared" si="441"/>
        <v>312017.09000000003</v>
      </c>
      <c r="FZ121" s="166">
        <f t="shared" si="441"/>
        <v>0</v>
      </c>
      <c r="GA121" s="166">
        <f t="shared" si="441"/>
        <v>12060.84</v>
      </c>
      <c r="GB121" s="166">
        <f t="shared" si="441"/>
        <v>750497.2300000001</v>
      </c>
      <c r="GC121" s="166">
        <f t="shared" si="441"/>
        <v>2649637.87</v>
      </c>
      <c r="GD121" s="166">
        <f>SUM(GD118:GD120)</f>
        <v>750497.2300000001</v>
      </c>
      <c r="GE121" s="167"/>
      <c r="GG121" s="36"/>
      <c r="GH121" s="36"/>
    </row>
    <row r="122" spans="1:192" s="5" customFormat="1" ht="25.5" x14ac:dyDescent="0.2">
      <c r="A122" s="255" t="s">
        <v>211</v>
      </c>
      <c r="B122" s="15" t="s">
        <v>255</v>
      </c>
      <c r="C122" s="1" t="s">
        <v>213</v>
      </c>
      <c r="D122" s="18">
        <v>45292</v>
      </c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  <c r="AA122" s="82"/>
      <c r="AB122" s="82"/>
      <c r="AC122" s="82"/>
      <c r="AD122" s="82"/>
      <c r="AE122" s="82"/>
      <c r="AF122" s="82"/>
      <c r="AG122" s="82"/>
      <c r="AH122" s="82"/>
      <c r="AI122" s="82"/>
      <c r="AJ122" s="82"/>
      <c r="AK122" s="82"/>
      <c r="AL122" s="82"/>
      <c r="AM122" s="82"/>
      <c r="AN122" s="82"/>
      <c r="AO122" s="82"/>
      <c r="AP122" s="82"/>
      <c r="AQ122" s="132"/>
      <c r="AR122" s="132"/>
      <c r="AS122" s="173"/>
      <c r="AT122" s="173"/>
      <c r="AU122" s="50"/>
      <c r="AV122" s="173"/>
      <c r="AW122" s="174"/>
      <c r="AX122" s="173"/>
      <c r="AY122" s="50"/>
      <c r="AZ122" s="173"/>
      <c r="BA122" s="173"/>
      <c r="BB122" s="50"/>
      <c r="BC122" s="173"/>
      <c r="BD122" s="174"/>
      <c r="BE122" s="173"/>
      <c r="BF122" s="50"/>
      <c r="BG122" s="132"/>
      <c r="BH122" s="132"/>
      <c r="BI122" s="132"/>
      <c r="BJ122" s="132"/>
      <c r="BK122" s="132"/>
      <c r="BL122" s="132"/>
      <c r="BM122" s="50"/>
      <c r="BN122" s="132"/>
      <c r="BO122" s="132"/>
      <c r="BP122" s="132"/>
      <c r="BQ122" s="132"/>
      <c r="BR122" s="132"/>
      <c r="BS122" s="132"/>
      <c r="BT122" s="50"/>
      <c r="BU122" s="132"/>
      <c r="BV122" s="132"/>
      <c r="BW122" s="132"/>
      <c r="BX122" s="132"/>
      <c r="BY122" s="132"/>
      <c r="BZ122" s="132"/>
      <c r="CA122" s="50"/>
      <c r="CB122" s="132"/>
      <c r="CC122" s="132"/>
      <c r="CD122" s="132"/>
      <c r="CE122" s="132"/>
      <c r="CF122" s="132"/>
      <c r="CG122" s="132"/>
      <c r="CH122" s="50"/>
      <c r="CI122" s="132"/>
      <c r="CJ122" s="132"/>
      <c r="CK122" s="132"/>
      <c r="CL122" s="132"/>
      <c r="CM122" s="132"/>
      <c r="CN122" s="132"/>
      <c r="CO122" s="132"/>
      <c r="CP122" s="132"/>
      <c r="CQ122" s="132"/>
      <c r="CR122" s="132"/>
      <c r="CS122" s="132"/>
      <c r="CT122" s="132"/>
      <c r="CU122" s="132"/>
      <c r="CV122" s="132"/>
      <c r="CW122" s="132"/>
      <c r="CX122" s="132"/>
      <c r="CY122" s="132"/>
      <c r="CZ122" s="132"/>
      <c r="DA122" s="132"/>
      <c r="DB122" s="132"/>
      <c r="DC122" s="132"/>
      <c r="DD122" s="132"/>
      <c r="DE122" s="132"/>
      <c r="DF122" s="132"/>
      <c r="DG122" s="132"/>
      <c r="DH122" s="132"/>
      <c r="DI122" s="132"/>
      <c r="DJ122" s="132"/>
      <c r="DK122" s="132"/>
      <c r="DL122" s="132"/>
      <c r="DM122" s="132"/>
      <c r="DN122" s="132"/>
      <c r="DO122" s="132"/>
      <c r="DP122" s="132"/>
      <c r="DQ122" s="132"/>
      <c r="DR122" s="132"/>
      <c r="DS122" s="132"/>
      <c r="DT122" s="132"/>
      <c r="DU122" s="132"/>
      <c r="DV122" s="132"/>
      <c r="DW122" s="132"/>
      <c r="DX122" s="132"/>
      <c r="DY122" s="132"/>
      <c r="DZ122" s="132"/>
      <c r="EA122" s="132"/>
      <c r="EB122" s="132"/>
      <c r="EC122" s="132"/>
      <c r="ED122" s="132"/>
      <c r="EE122" s="132"/>
      <c r="EF122" s="132"/>
      <c r="EG122" s="132"/>
      <c r="EH122" s="132"/>
      <c r="EI122" s="132"/>
      <c r="EJ122" s="132"/>
      <c r="EK122" s="132"/>
      <c r="EL122" s="132"/>
      <c r="EM122" s="132"/>
      <c r="EN122" s="132"/>
      <c r="EO122" s="132"/>
      <c r="EP122" s="132"/>
      <c r="EQ122" s="132"/>
      <c r="ER122" s="132"/>
      <c r="ES122" s="132"/>
      <c r="ET122" s="132"/>
      <c r="EU122" s="132"/>
      <c r="EV122" s="132"/>
      <c r="EW122" s="132"/>
      <c r="EX122" s="132"/>
      <c r="EY122" s="132"/>
      <c r="EZ122" s="132"/>
      <c r="FA122" s="132"/>
      <c r="FB122" s="132"/>
      <c r="FC122" s="132"/>
      <c r="FD122" s="132"/>
      <c r="FE122" s="132"/>
      <c r="FF122" s="132"/>
      <c r="FG122" s="132"/>
      <c r="FH122" s="132"/>
      <c r="FI122" s="132"/>
      <c r="FJ122" s="132"/>
      <c r="FK122" s="132"/>
      <c r="FL122" s="132"/>
      <c r="FM122" s="132"/>
      <c r="FN122" s="132"/>
      <c r="FO122" s="83">
        <f>[28]GO!R14</f>
        <v>2224696.64</v>
      </c>
      <c r="FP122" s="83">
        <f>[28]GO!S14</f>
        <v>650441.97</v>
      </c>
      <c r="FQ122" s="83"/>
      <c r="FR122" s="83"/>
      <c r="FS122" s="83"/>
      <c r="FT122" s="83">
        <f>[28]GO!T14</f>
        <v>1286541.94</v>
      </c>
      <c r="FU122" s="185">
        <f t="shared" ref="FU122:FU127" si="442">SUM(FO122:FT122)</f>
        <v>4161680.5500000003</v>
      </c>
      <c r="FV122" s="186">
        <f>[28]GO!V14</f>
        <v>197.76</v>
      </c>
      <c r="FW122" s="186">
        <f>[28]GO!W14</f>
        <v>11543.97</v>
      </c>
      <c r="FX122" s="186"/>
      <c r="FY122" s="186"/>
      <c r="FZ122" s="186"/>
      <c r="GA122" s="186">
        <f>[28]GO!X14</f>
        <v>2660.08</v>
      </c>
      <c r="GB122" s="185">
        <f t="shared" ref="GB122:GB127" si="443">SUM(FV122:GA122)</f>
        <v>14401.81</v>
      </c>
      <c r="GC122" s="186">
        <f>FU122</f>
        <v>4161680.5500000003</v>
      </c>
      <c r="GD122" s="186">
        <f>GB122</f>
        <v>14401.81</v>
      </c>
      <c r="GE122" s="217" t="s">
        <v>217</v>
      </c>
      <c r="GG122" s="36"/>
      <c r="GH122" s="36"/>
      <c r="GI122" s="36"/>
      <c r="GJ122" s="36"/>
    </row>
    <row r="123" spans="1:192" s="5" customFormat="1" ht="12.75" x14ac:dyDescent="0.2">
      <c r="A123" s="256"/>
      <c r="B123" s="15" t="s">
        <v>214</v>
      </c>
      <c r="C123" s="1" t="s">
        <v>213</v>
      </c>
      <c r="D123" s="18">
        <v>45292</v>
      </c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  <c r="AA123" s="82"/>
      <c r="AB123" s="82"/>
      <c r="AC123" s="82"/>
      <c r="AD123" s="82"/>
      <c r="AE123" s="82"/>
      <c r="AF123" s="82"/>
      <c r="AG123" s="82"/>
      <c r="AH123" s="82"/>
      <c r="AI123" s="82"/>
      <c r="AJ123" s="82"/>
      <c r="AK123" s="82"/>
      <c r="AL123" s="82"/>
      <c r="AM123" s="82"/>
      <c r="AN123" s="82"/>
      <c r="AO123" s="82"/>
      <c r="AP123" s="82"/>
      <c r="AQ123" s="132"/>
      <c r="AR123" s="132"/>
      <c r="AS123" s="173"/>
      <c r="AT123" s="173"/>
      <c r="AU123" s="50"/>
      <c r="AV123" s="173"/>
      <c r="AW123" s="174"/>
      <c r="AX123" s="173"/>
      <c r="AY123" s="50"/>
      <c r="AZ123" s="173"/>
      <c r="BA123" s="173"/>
      <c r="BB123" s="50"/>
      <c r="BC123" s="173"/>
      <c r="BD123" s="174"/>
      <c r="BE123" s="173"/>
      <c r="BF123" s="50"/>
      <c r="BG123" s="132"/>
      <c r="BH123" s="132"/>
      <c r="BI123" s="132"/>
      <c r="BJ123" s="132"/>
      <c r="BK123" s="132"/>
      <c r="BL123" s="132"/>
      <c r="BM123" s="50"/>
      <c r="BN123" s="132"/>
      <c r="BO123" s="132"/>
      <c r="BP123" s="132"/>
      <c r="BQ123" s="132"/>
      <c r="BR123" s="132"/>
      <c r="BS123" s="132"/>
      <c r="BT123" s="50"/>
      <c r="BU123" s="132"/>
      <c r="BV123" s="132"/>
      <c r="BW123" s="132"/>
      <c r="BX123" s="132"/>
      <c r="BY123" s="132"/>
      <c r="BZ123" s="132"/>
      <c r="CA123" s="50"/>
      <c r="CB123" s="132"/>
      <c r="CC123" s="132"/>
      <c r="CD123" s="132"/>
      <c r="CE123" s="132"/>
      <c r="CF123" s="132"/>
      <c r="CG123" s="132"/>
      <c r="CH123" s="50"/>
      <c r="CI123" s="132"/>
      <c r="CJ123" s="132"/>
      <c r="CK123" s="132"/>
      <c r="CL123" s="132"/>
      <c r="CM123" s="132"/>
      <c r="CN123" s="132"/>
      <c r="CO123" s="132"/>
      <c r="CP123" s="132"/>
      <c r="CQ123" s="132"/>
      <c r="CR123" s="132"/>
      <c r="CS123" s="132"/>
      <c r="CT123" s="132"/>
      <c r="CU123" s="132"/>
      <c r="CV123" s="132"/>
      <c r="CW123" s="132"/>
      <c r="CX123" s="132"/>
      <c r="CY123" s="132"/>
      <c r="CZ123" s="132"/>
      <c r="DA123" s="132"/>
      <c r="DB123" s="132"/>
      <c r="DC123" s="132"/>
      <c r="DD123" s="132"/>
      <c r="DE123" s="132"/>
      <c r="DF123" s="132"/>
      <c r="DG123" s="132"/>
      <c r="DH123" s="132"/>
      <c r="DI123" s="132"/>
      <c r="DJ123" s="132"/>
      <c r="DK123" s="132"/>
      <c r="DL123" s="132"/>
      <c r="DM123" s="132"/>
      <c r="DN123" s="132"/>
      <c r="DO123" s="132"/>
      <c r="DP123" s="132"/>
      <c r="DQ123" s="132"/>
      <c r="DR123" s="132"/>
      <c r="DS123" s="132"/>
      <c r="DT123" s="132"/>
      <c r="DU123" s="132"/>
      <c r="DV123" s="132"/>
      <c r="DW123" s="132"/>
      <c r="DX123" s="132"/>
      <c r="DY123" s="132"/>
      <c r="DZ123" s="132"/>
      <c r="EA123" s="132"/>
      <c r="EB123" s="132"/>
      <c r="EC123" s="132"/>
      <c r="ED123" s="132"/>
      <c r="EE123" s="132"/>
      <c r="EF123" s="132"/>
      <c r="EG123" s="132"/>
      <c r="EH123" s="132"/>
      <c r="EI123" s="132"/>
      <c r="EJ123" s="132"/>
      <c r="EK123" s="132"/>
      <c r="EL123" s="132"/>
      <c r="EM123" s="132"/>
      <c r="EN123" s="132"/>
      <c r="EO123" s="132"/>
      <c r="EP123" s="132"/>
      <c r="EQ123" s="132"/>
      <c r="ER123" s="132"/>
      <c r="ES123" s="132"/>
      <c r="ET123" s="132"/>
      <c r="EU123" s="132"/>
      <c r="EV123" s="132"/>
      <c r="EW123" s="132"/>
      <c r="EX123" s="132"/>
      <c r="EY123" s="132"/>
      <c r="EZ123" s="132"/>
      <c r="FA123" s="132"/>
      <c r="FB123" s="132"/>
      <c r="FC123" s="132"/>
      <c r="FD123" s="132"/>
      <c r="FE123" s="132"/>
      <c r="FF123" s="132"/>
      <c r="FG123" s="132"/>
      <c r="FH123" s="132"/>
      <c r="FI123" s="132"/>
      <c r="FJ123" s="132"/>
      <c r="FK123" s="132"/>
      <c r="FL123" s="132"/>
      <c r="FM123" s="132"/>
      <c r="FN123" s="132"/>
      <c r="FO123" s="83">
        <f>[28]GO!R15</f>
        <v>6904626.9699999997</v>
      </c>
      <c r="FP123" s="83">
        <f>[28]GO!S15</f>
        <v>1803454.53</v>
      </c>
      <c r="FQ123" s="83"/>
      <c r="FR123" s="83"/>
      <c r="FS123" s="83"/>
      <c r="FT123" s="83">
        <f>[28]GO!T15</f>
        <v>78815.759999999995</v>
      </c>
      <c r="FU123" s="10">
        <f t="shared" si="442"/>
        <v>8786897.2599999998</v>
      </c>
      <c r="FV123" s="83">
        <f>[28]GO!V15</f>
        <v>1061.9000000000001</v>
      </c>
      <c r="FW123" s="83">
        <f>[28]GO!W15</f>
        <v>208513.88</v>
      </c>
      <c r="FX123" s="83"/>
      <c r="FY123" s="83"/>
      <c r="FZ123" s="83"/>
      <c r="GA123" s="83">
        <f>[28]GO!X15</f>
        <v>0</v>
      </c>
      <c r="GB123" s="10">
        <f t="shared" si="443"/>
        <v>209575.78</v>
      </c>
      <c r="GC123" s="83">
        <f t="shared" ref="GC123:GC127" si="444">FU123</f>
        <v>8786897.2599999998</v>
      </c>
      <c r="GD123" s="83">
        <f t="shared" ref="GD123:GD127" si="445">GB123</f>
        <v>209575.78</v>
      </c>
      <c r="GE123" s="218"/>
      <c r="GG123" s="36"/>
      <c r="GH123" s="36"/>
      <c r="GI123" s="36"/>
      <c r="GJ123" s="36"/>
    </row>
    <row r="124" spans="1:192" s="5" customFormat="1" ht="12.75" x14ac:dyDescent="0.2">
      <c r="A124" s="256"/>
      <c r="B124" s="15" t="s">
        <v>253</v>
      </c>
      <c r="C124" s="1" t="s">
        <v>213</v>
      </c>
      <c r="D124" s="18">
        <v>45292</v>
      </c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  <c r="AA124" s="82"/>
      <c r="AB124" s="82"/>
      <c r="AC124" s="82"/>
      <c r="AD124" s="82"/>
      <c r="AE124" s="82"/>
      <c r="AF124" s="82"/>
      <c r="AG124" s="82"/>
      <c r="AH124" s="82"/>
      <c r="AI124" s="82"/>
      <c r="AJ124" s="82"/>
      <c r="AK124" s="82"/>
      <c r="AL124" s="82"/>
      <c r="AM124" s="82"/>
      <c r="AN124" s="82"/>
      <c r="AO124" s="82"/>
      <c r="AP124" s="82"/>
      <c r="AQ124" s="174"/>
      <c r="AR124" s="174"/>
      <c r="AS124" s="174"/>
      <c r="AT124" s="174"/>
      <c r="AU124" s="174"/>
      <c r="AV124" s="174"/>
      <c r="AW124" s="174"/>
      <c r="AX124" s="174"/>
      <c r="AY124" s="174"/>
      <c r="AZ124" s="174"/>
      <c r="BA124" s="174"/>
      <c r="BB124" s="174"/>
      <c r="BC124" s="174"/>
      <c r="BD124" s="174"/>
      <c r="BE124" s="174"/>
      <c r="BF124" s="174"/>
      <c r="BG124" s="174"/>
      <c r="BH124" s="174"/>
      <c r="BI124" s="174"/>
      <c r="BJ124" s="174"/>
      <c r="BK124" s="174"/>
      <c r="BL124" s="174"/>
      <c r="BM124" s="174"/>
      <c r="BN124" s="174"/>
      <c r="BO124" s="174"/>
      <c r="BP124" s="174"/>
      <c r="BQ124" s="174"/>
      <c r="BR124" s="174"/>
      <c r="BS124" s="174"/>
      <c r="BT124" s="174"/>
      <c r="BU124" s="174"/>
      <c r="BV124" s="174"/>
      <c r="BW124" s="174"/>
      <c r="BX124" s="174"/>
      <c r="BY124" s="174"/>
      <c r="BZ124" s="174"/>
      <c r="CA124" s="174"/>
      <c r="CB124" s="174"/>
      <c r="CC124" s="174"/>
      <c r="CD124" s="174"/>
      <c r="CE124" s="174"/>
      <c r="CF124" s="174"/>
      <c r="CG124" s="174"/>
      <c r="CH124" s="174"/>
      <c r="CI124" s="174"/>
      <c r="CJ124" s="174"/>
      <c r="CK124" s="174"/>
      <c r="CL124" s="174"/>
      <c r="CM124" s="174"/>
      <c r="CN124" s="174"/>
      <c r="CO124" s="174"/>
      <c r="CP124" s="174"/>
      <c r="CQ124" s="174"/>
      <c r="CR124" s="174"/>
      <c r="CS124" s="174"/>
      <c r="CT124" s="174"/>
      <c r="CU124" s="174"/>
      <c r="CV124" s="174"/>
      <c r="CW124" s="174"/>
      <c r="CX124" s="174"/>
      <c r="CY124" s="174"/>
      <c r="CZ124" s="174"/>
      <c r="DA124" s="174"/>
      <c r="DB124" s="174"/>
      <c r="DC124" s="174"/>
      <c r="DD124" s="174"/>
      <c r="DE124" s="174"/>
      <c r="DF124" s="174"/>
      <c r="DG124" s="174"/>
      <c r="DH124" s="174"/>
      <c r="DI124" s="174"/>
      <c r="DJ124" s="174"/>
      <c r="DK124" s="174"/>
      <c r="DL124" s="174"/>
      <c r="DM124" s="174"/>
      <c r="DN124" s="174"/>
      <c r="DO124" s="174"/>
      <c r="DP124" s="174"/>
      <c r="DQ124" s="174"/>
      <c r="DR124" s="174"/>
      <c r="DS124" s="174"/>
      <c r="DT124" s="174"/>
      <c r="DU124" s="174"/>
      <c r="DV124" s="174"/>
      <c r="DW124" s="174"/>
      <c r="DX124" s="174"/>
      <c r="DY124" s="132"/>
      <c r="DZ124" s="132"/>
      <c r="EA124" s="132"/>
      <c r="EB124" s="132"/>
      <c r="EC124" s="132"/>
      <c r="ED124" s="132"/>
      <c r="EE124" s="132"/>
      <c r="EF124" s="132"/>
      <c r="EG124" s="132"/>
      <c r="EH124" s="132"/>
      <c r="EI124" s="132"/>
      <c r="EJ124" s="132"/>
      <c r="EK124" s="132"/>
      <c r="EL124" s="132"/>
      <c r="EM124" s="132"/>
      <c r="EN124" s="132"/>
      <c r="EO124" s="132"/>
      <c r="EP124" s="132"/>
      <c r="EQ124" s="132"/>
      <c r="ER124" s="132"/>
      <c r="ES124" s="132"/>
      <c r="ET124" s="132"/>
      <c r="EU124" s="132"/>
      <c r="EV124" s="132"/>
      <c r="EW124" s="132"/>
      <c r="EX124" s="132"/>
      <c r="EY124" s="132"/>
      <c r="EZ124" s="132"/>
      <c r="FA124" s="132"/>
      <c r="FB124" s="132"/>
      <c r="FC124" s="132"/>
      <c r="FD124" s="132"/>
      <c r="FE124" s="132"/>
      <c r="FF124" s="132"/>
      <c r="FG124" s="132"/>
      <c r="FH124" s="132"/>
      <c r="FI124" s="132"/>
      <c r="FJ124" s="132"/>
      <c r="FK124" s="132"/>
      <c r="FL124" s="132"/>
      <c r="FM124" s="132"/>
      <c r="FN124" s="132"/>
      <c r="FO124" s="83">
        <f>[28]GO!R16</f>
        <v>1400400.69</v>
      </c>
      <c r="FP124" s="83">
        <f>[28]GO!S16</f>
        <v>1709149.14</v>
      </c>
      <c r="FQ124" s="83"/>
      <c r="FR124" s="83"/>
      <c r="FS124" s="83"/>
      <c r="FT124" s="83">
        <f>[28]GO!T16</f>
        <v>42629.34</v>
      </c>
      <c r="FU124" s="10">
        <f t="shared" si="442"/>
        <v>3152179.17</v>
      </c>
      <c r="FV124" s="83">
        <f>[28]GO!V16</f>
        <v>812.73</v>
      </c>
      <c r="FW124" s="83">
        <f>[28]GO!W16</f>
        <v>61483.46</v>
      </c>
      <c r="FX124" s="83"/>
      <c r="FY124" s="83"/>
      <c r="FZ124" s="83"/>
      <c r="GA124" s="83">
        <f>[28]GO!X16</f>
        <v>0</v>
      </c>
      <c r="GB124" s="10">
        <f t="shared" si="443"/>
        <v>62296.19</v>
      </c>
      <c r="GC124" s="83">
        <f t="shared" si="444"/>
        <v>3152179.17</v>
      </c>
      <c r="GD124" s="83">
        <f t="shared" si="445"/>
        <v>62296.19</v>
      </c>
      <c r="GE124" s="218"/>
      <c r="GG124" s="36"/>
      <c r="GH124" s="36"/>
      <c r="GI124" s="36"/>
      <c r="GJ124" s="36"/>
    </row>
    <row r="125" spans="1:192" s="5" customFormat="1" ht="12.75" x14ac:dyDescent="0.2">
      <c r="A125" s="256"/>
      <c r="B125" s="15" t="s">
        <v>215</v>
      </c>
      <c r="C125" s="1" t="s">
        <v>213</v>
      </c>
      <c r="D125" s="18">
        <v>45292</v>
      </c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  <c r="AA125" s="82"/>
      <c r="AB125" s="82"/>
      <c r="AC125" s="82"/>
      <c r="AD125" s="82"/>
      <c r="AE125" s="82"/>
      <c r="AF125" s="82"/>
      <c r="AG125" s="82"/>
      <c r="AH125" s="82"/>
      <c r="AI125" s="82"/>
      <c r="AJ125" s="82"/>
      <c r="AK125" s="82"/>
      <c r="AL125" s="82"/>
      <c r="AM125" s="82"/>
      <c r="AN125" s="82"/>
      <c r="AO125" s="82"/>
      <c r="AP125" s="82"/>
      <c r="AQ125" s="174"/>
      <c r="AR125" s="174"/>
      <c r="AS125" s="174"/>
      <c r="AT125" s="174"/>
      <c r="AU125" s="174"/>
      <c r="AV125" s="174"/>
      <c r="AW125" s="174"/>
      <c r="AX125" s="174"/>
      <c r="AY125" s="174"/>
      <c r="AZ125" s="174"/>
      <c r="BA125" s="174"/>
      <c r="BB125" s="174"/>
      <c r="BC125" s="174"/>
      <c r="BD125" s="174"/>
      <c r="BE125" s="174"/>
      <c r="BF125" s="174"/>
      <c r="BG125" s="174"/>
      <c r="BH125" s="174"/>
      <c r="BI125" s="174"/>
      <c r="BJ125" s="174"/>
      <c r="BK125" s="174"/>
      <c r="BL125" s="174"/>
      <c r="BM125" s="174"/>
      <c r="BN125" s="174"/>
      <c r="BO125" s="174"/>
      <c r="BP125" s="174"/>
      <c r="BQ125" s="174"/>
      <c r="BR125" s="174"/>
      <c r="BS125" s="174"/>
      <c r="BT125" s="174"/>
      <c r="BU125" s="174"/>
      <c r="BV125" s="174"/>
      <c r="BW125" s="174"/>
      <c r="BX125" s="174"/>
      <c r="BY125" s="174"/>
      <c r="BZ125" s="174"/>
      <c r="CA125" s="174"/>
      <c r="CB125" s="174"/>
      <c r="CC125" s="174"/>
      <c r="CD125" s="174"/>
      <c r="CE125" s="174"/>
      <c r="CF125" s="174"/>
      <c r="CG125" s="174"/>
      <c r="CH125" s="174"/>
      <c r="CI125" s="174"/>
      <c r="CJ125" s="174"/>
      <c r="CK125" s="174"/>
      <c r="CL125" s="174"/>
      <c r="CM125" s="174"/>
      <c r="CN125" s="174"/>
      <c r="CO125" s="174"/>
      <c r="CP125" s="174"/>
      <c r="CQ125" s="174"/>
      <c r="CR125" s="174"/>
      <c r="CS125" s="174"/>
      <c r="CT125" s="174"/>
      <c r="CU125" s="174"/>
      <c r="CV125" s="174"/>
      <c r="CW125" s="174"/>
      <c r="CX125" s="174"/>
      <c r="CY125" s="174"/>
      <c r="CZ125" s="174"/>
      <c r="DA125" s="174"/>
      <c r="DB125" s="174"/>
      <c r="DC125" s="174"/>
      <c r="DD125" s="174"/>
      <c r="DE125" s="174"/>
      <c r="DF125" s="174"/>
      <c r="DG125" s="174"/>
      <c r="DH125" s="174"/>
      <c r="DI125" s="174"/>
      <c r="DJ125" s="174"/>
      <c r="DK125" s="174"/>
      <c r="DL125" s="174"/>
      <c r="DM125" s="174"/>
      <c r="DN125" s="174"/>
      <c r="DO125" s="174"/>
      <c r="DP125" s="174"/>
      <c r="DQ125" s="174"/>
      <c r="DR125" s="174"/>
      <c r="DS125" s="174"/>
      <c r="DT125" s="174"/>
      <c r="DU125" s="174"/>
      <c r="DV125" s="174"/>
      <c r="DW125" s="174"/>
      <c r="DX125" s="174"/>
      <c r="DY125" s="132"/>
      <c r="DZ125" s="132"/>
      <c r="EA125" s="132"/>
      <c r="EB125" s="132"/>
      <c r="EC125" s="132"/>
      <c r="ED125" s="132"/>
      <c r="EE125" s="132"/>
      <c r="EF125" s="132"/>
      <c r="EG125" s="132"/>
      <c r="EH125" s="132"/>
      <c r="EI125" s="132"/>
      <c r="EJ125" s="132"/>
      <c r="EK125" s="132"/>
      <c r="EL125" s="132"/>
      <c r="EM125" s="132"/>
      <c r="EN125" s="132"/>
      <c r="EO125" s="132"/>
      <c r="EP125" s="132"/>
      <c r="EQ125" s="132"/>
      <c r="ER125" s="132"/>
      <c r="ES125" s="132"/>
      <c r="ET125" s="132"/>
      <c r="EU125" s="132"/>
      <c r="EV125" s="132"/>
      <c r="EW125" s="132"/>
      <c r="EX125" s="132"/>
      <c r="EY125" s="132"/>
      <c r="EZ125" s="132"/>
      <c r="FA125" s="132"/>
      <c r="FB125" s="132"/>
      <c r="FC125" s="132"/>
      <c r="FD125" s="132"/>
      <c r="FE125" s="132"/>
      <c r="FF125" s="132"/>
      <c r="FG125" s="132"/>
      <c r="FH125" s="132"/>
      <c r="FI125" s="132"/>
      <c r="FJ125" s="132"/>
      <c r="FK125" s="132"/>
      <c r="FL125" s="132"/>
      <c r="FM125" s="132"/>
      <c r="FN125" s="132"/>
      <c r="FO125" s="83">
        <f>[28]GO!R17</f>
        <v>609649.65</v>
      </c>
      <c r="FP125" s="83">
        <f>[28]GO!S17</f>
        <v>28004.65</v>
      </c>
      <c r="FQ125" s="83"/>
      <c r="FR125" s="83"/>
      <c r="FS125" s="83"/>
      <c r="FT125" s="83">
        <f>[28]GO!T17</f>
        <v>68728.37</v>
      </c>
      <c r="FU125" s="10">
        <f t="shared" si="442"/>
        <v>706382.67</v>
      </c>
      <c r="FV125" s="83">
        <f>[28]GO!V17</f>
        <v>17115.16</v>
      </c>
      <c r="FW125" s="83">
        <f>[28]GO!W17</f>
        <v>3420.48</v>
      </c>
      <c r="FX125" s="83"/>
      <c r="FY125" s="83"/>
      <c r="FZ125" s="83"/>
      <c r="GA125" s="83">
        <f>[28]GO!X17</f>
        <v>914.58</v>
      </c>
      <c r="GB125" s="10">
        <f t="shared" si="443"/>
        <v>21450.22</v>
      </c>
      <c r="GC125" s="83">
        <f t="shared" si="444"/>
        <v>706382.67</v>
      </c>
      <c r="GD125" s="83">
        <f t="shared" si="445"/>
        <v>21450.22</v>
      </c>
      <c r="GE125" s="218"/>
      <c r="GG125" s="36"/>
      <c r="GH125" s="36"/>
      <c r="GI125" s="36"/>
      <c r="GJ125" s="36"/>
    </row>
    <row r="126" spans="1:192" s="5" customFormat="1" ht="12.75" x14ac:dyDescent="0.2">
      <c r="A126" s="256"/>
      <c r="B126" s="15" t="s">
        <v>216</v>
      </c>
      <c r="C126" s="1" t="s">
        <v>213</v>
      </c>
      <c r="D126" s="18">
        <v>45292</v>
      </c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  <c r="AA126" s="82"/>
      <c r="AB126" s="82"/>
      <c r="AC126" s="82"/>
      <c r="AD126" s="82"/>
      <c r="AE126" s="82"/>
      <c r="AF126" s="82"/>
      <c r="AG126" s="82"/>
      <c r="AH126" s="82"/>
      <c r="AI126" s="82"/>
      <c r="AJ126" s="82"/>
      <c r="AK126" s="82"/>
      <c r="AL126" s="82"/>
      <c r="AM126" s="82"/>
      <c r="AN126" s="82"/>
      <c r="AO126" s="82"/>
      <c r="AP126" s="82"/>
      <c r="AQ126" s="132"/>
      <c r="AR126" s="132"/>
      <c r="AS126" s="173"/>
      <c r="AT126" s="173"/>
      <c r="AU126" s="50"/>
      <c r="AV126" s="173"/>
      <c r="AW126" s="174"/>
      <c r="AX126" s="50"/>
      <c r="AY126" s="50"/>
      <c r="AZ126" s="173"/>
      <c r="BA126" s="50"/>
      <c r="BB126" s="50"/>
      <c r="BC126" s="173"/>
      <c r="BD126" s="174"/>
      <c r="BE126" s="50"/>
      <c r="BF126" s="50"/>
      <c r="BG126" s="132"/>
      <c r="BH126" s="132"/>
      <c r="BI126" s="132"/>
      <c r="BJ126" s="132"/>
      <c r="BK126" s="132"/>
      <c r="BL126" s="132"/>
      <c r="BM126" s="50"/>
      <c r="BN126" s="132"/>
      <c r="BO126" s="132"/>
      <c r="BP126" s="132"/>
      <c r="BQ126" s="132"/>
      <c r="BR126" s="132"/>
      <c r="BS126" s="132"/>
      <c r="BT126" s="50"/>
      <c r="BU126" s="132"/>
      <c r="BV126" s="132"/>
      <c r="BW126" s="132"/>
      <c r="BX126" s="132"/>
      <c r="BY126" s="132"/>
      <c r="BZ126" s="132"/>
      <c r="CA126" s="50"/>
      <c r="CB126" s="132"/>
      <c r="CC126" s="132"/>
      <c r="CD126" s="132"/>
      <c r="CE126" s="132"/>
      <c r="CF126" s="132"/>
      <c r="CG126" s="132"/>
      <c r="CH126" s="50"/>
      <c r="CI126" s="132"/>
      <c r="CJ126" s="132"/>
      <c r="CK126" s="132"/>
      <c r="CL126" s="132"/>
      <c r="CM126" s="132"/>
      <c r="CN126" s="132"/>
      <c r="CO126" s="132"/>
      <c r="CP126" s="132"/>
      <c r="CQ126" s="132"/>
      <c r="CR126" s="132"/>
      <c r="CS126" s="132"/>
      <c r="CT126" s="132"/>
      <c r="CU126" s="132"/>
      <c r="CV126" s="132"/>
      <c r="CW126" s="132"/>
      <c r="CX126" s="132"/>
      <c r="CY126" s="132"/>
      <c r="CZ126" s="132"/>
      <c r="DA126" s="132"/>
      <c r="DB126" s="132"/>
      <c r="DC126" s="132"/>
      <c r="DD126" s="132"/>
      <c r="DE126" s="132"/>
      <c r="DF126" s="132"/>
      <c r="DG126" s="132"/>
      <c r="DH126" s="132"/>
      <c r="DI126" s="132"/>
      <c r="DJ126" s="132"/>
      <c r="DK126" s="132"/>
      <c r="DL126" s="132"/>
      <c r="DM126" s="132"/>
      <c r="DN126" s="132"/>
      <c r="DO126" s="132"/>
      <c r="DP126" s="132"/>
      <c r="DQ126" s="132"/>
      <c r="DR126" s="132"/>
      <c r="DS126" s="132"/>
      <c r="DT126" s="132"/>
      <c r="DU126" s="132"/>
      <c r="DV126" s="132"/>
      <c r="DW126" s="132"/>
      <c r="DX126" s="132"/>
      <c r="DY126" s="132"/>
      <c r="DZ126" s="132"/>
      <c r="EA126" s="132"/>
      <c r="EB126" s="132"/>
      <c r="EC126" s="132"/>
      <c r="ED126" s="132"/>
      <c r="EE126" s="132"/>
      <c r="EF126" s="132"/>
      <c r="EG126" s="132"/>
      <c r="EH126" s="132"/>
      <c r="EI126" s="132"/>
      <c r="EJ126" s="132"/>
      <c r="EK126" s="132"/>
      <c r="EL126" s="132"/>
      <c r="EM126" s="132"/>
      <c r="EN126" s="132"/>
      <c r="EO126" s="132"/>
      <c r="EP126" s="132"/>
      <c r="EQ126" s="132"/>
      <c r="ER126" s="132"/>
      <c r="ES126" s="132"/>
      <c r="ET126" s="132"/>
      <c r="EU126" s="132"/>
      <c r="EV126" s="132"/>
      <c r="EW126" s="132"/>
      <c r="EX126" s="132"/>
      <c r="EY126" s="132"/>
      <c r="EZ126" s="132"/>
      <c r="FA126" s="132"/>
      <c r="FB126" s="132"/>
      <c r="FC126" s="132"/>
      <c r="FD126" s="132"/>
      <c r="FE126" s="132"/>
      <c r="FF126" s="132"/>
      <c r="FG126" s="132"/>
      <c r="FH126" s="132"/>
      <c r="FI126" s="132"/>
      <c r="FJ126" s="132"/>
      <c r="FK126" s="132"/>
      <c r="FL126" s="132"/>
      <c r="FM126" s="132"/>
      <c r="FN126" s="132"/>
      <c r="FO126" s="83">
        <f>[28]GO!R18</f>
        <v>596899.81000000006</v>
      </c>
      <c r="FP126" s="83">
        <f>[28]GO!S18</f>
        <v>451258.7</v>
      </c>
      <c r="FQ126" s="83"/>
      <c r="FR126" s="83"/>
      <c r="FS126" s="83"/>
      <c r="FT126" s="83">
        <f>[28]GO!T18</f>
        <v>1483549.41</v>
      </c>
      <c r="FU126" s="10">
        <f t="shared" si="442"/>
        <v>2531707.92</v>
      </c>
      <c r="FV126" s="83">
        <f>[28]GO!V18</f>
        <v>0</v>
      </c>
      <c r="FW126" s="83">
        <f>[28]GO!W18</f>
        <v>1225.45</v>
      </c>
      <c r="FX126" s="83"/>
      <c r="FY126" s="83"/>
      <c r="FZ126" s="83"/>
      <c r="GA126" s="83">
        <f>[28]GO!X18</f>
        <v>0</v>
      </c>
      <c r="GB126" s="10">
        <f t="shared" si="443"/>
        <v>1225.45</v>
      </c>
      <c r="GC126" s="83">
        <f t="shared" si="444"/>
        <v>2531707.92</v>
      </c>
      <c r="GD126" s="83">
        <f t="shared" si="445"/>
        <v>1225.45</v>
      </c>
      <c r="GE126" s="218"/>
      <c r="GG126" s="36"/>
      <c r="GH126" s="36"/>
      <c r="GI126" s="36"/>
      <c r="GJ126" s="36"/>
    </row>
    <row r="127" spans="1:192" s="5" customFormat="1" ht="25.5" x14ac:dyDescent="0.2">
      <c r="A127" s="256"/>
      <c r="B127" s="15" t="s">
        <v>254</v>
      </c>
      <c r="C127" s="1" t="s">
        <v>213</v>
      </c>
      <c r="D127" s="18">
        <v>45292</v>
      </c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  <c r="AA127" s="82"/>
      <c r="AB127" s="82"/>
      <c r="AC127" s="82"/>
      <c r="AD127" s="82"/>
      <c r="AE127" s="82"/>
      <c r="AF127" s="82"/>
      <c r="AG127" s="82"/>
      <c r="AH127" s="82"/>
      <c r="AI127" s="82"/>
      <c r="AJ127" s="82"/>
      <c r="AK127" s="82"/>
      <c r="AL127" s="82"/>
      <c r="AM127" s="82"/>
      <c r="AN127" s="82"/>
      <c r="AO127" s="82"/>
      <c r="AP127" s="82"/>
      <c r="AQ127" s="132"/>
      <c r="AR127" s="132"/>
      <c r="AS127" s="173"/>
      <c r="AT127" s="173"/>
      <c r="AU127" s="132"/>
      <c r="AV127" s="173"/>
      <c r="AW127" s="174"/>
      <c r="AX127" s="173"/>
      <c r="AY127" s="50"/>
      <c r="AZ127" s="173"/>
      <c r="BA127" s="173"/>
      <c r="BB127" s="132"/>
      <c r="BC127" s="173"/>
      <c r="BD127" s="174"/>
      <c r="BE127" s="173"/>
      <c r="BF127" s="50"/>
      <c r="BG127" s="132"/>
      <c r="BH127" s="175"/>
      <c r="BI127" s="132"/>
      <c r="BJ127" s="132"/>
      <c r="BK127" s="132"/>
      <c r="BL127" s="132"/>
      <c r="BM127" s="50"/>
      <c r="BN127" s="132"/>
      <c r="BO127" s="132"/>
      <c r="BP127" s="132"/>
      <c r="BQ127" s="132"/>
      <c r="BR127" s="132"/>
      <c r="BS127" s="132"/>
      <c r="BT127" s="50"/>
      <c r="BU127" s="132"/>
      <c r="BV127" s="132"/>
      <c r="BW127" s="132"/>
      <c r="BX127" s="132"/>
      <c r="BY127" s="132"/>
      <c r="BZ127" s="132"/>
      <c r="CA127" s="50"/>
      <c r="CB127" s="132"/>
      <c r="CC127" s="175"/>
      <c r="CD127" s="132"/>
      <c r="CE127" s="132"/>
      <c r="CF127" s="132"/>
      <c r="CG127" s="175"/>
      <c r="CH127" s="50"/>
      <c r="CI127" s="132"/>
      <c r="CJ127" s="132"/>
      <c r="CK127" s="132"/>
      <c r="CL127" s="132"/>
      <c r="CM127" s="132"/>
      <c r="CN127" s="132"/>
      <c r="CO127" s="132"/>
      <c r="CP127" s="132"/>
      <c r="CQ127" s="132"/>
      <c r="CR127" s="132"/>
      <c r="CS127" s="132"/>
      <c r="CT127" s="132"/>
      <c r="CU127" s="132"/>
      <c r="CV127" s="132"/>
      <c r="CW127" s="132"/>
      <c r="CX127" s="132"/>
      <c r="CY127" s="132"/>
      <c r="CZ127" s="132"/>
      <c r="DA127" s="132"/>
      <c r="DB127" s="132"/>
      <c r="DC127" s="132"/>
      <c r="DD127" s="132"/>
      <c r="DE127" s="132"/>
      <c r="DF127" s="132"/>
      <c r="DG127" s="132"/>
      <c r="DH127" s="132"/>
      <c r="DI127" s="132"/>
      <c r="DJ127" s="132"/>
      <c r="DK127" s="132"/>
      <c r="DL127" s="132"/>
      <c r="DM127" s="132"/>
      <c r="DN127" s="132"/>
      <c r="DO127" s="132"/>
      <c r="DP127" s="132"/>
      <c r="DQ127" s="132"/>
      <c r="DR127" s="132"/>
      <c r="DS127" s="132"/>
      <c r="DT127" s="132"/>
      <c r="DU127" s="132"/>
      <c r="DV127" s="132"/>
      <c r="DW127" s="132"/>
      <c r="DX127" s="132"/>
      <c r="DY127" s="132"/>
      <c r="DZ127" s="132"/>
      <c r="EA127" s="132"/>
      <c r="EB127" s="132"/>
      <c r="EC127" s="132"/>
      <c r="ED127" s="132"/>
      <c r="EE127" s="132"/>
      <c r="EF127" s="132"/>
      <c r="EG127" s="132"/>
      <c r="EH127" s="132"/>
      <c r="EI127" s="132"/>
      <c r="EJ127" s="132"/>
      <c r="EK127" s="132"/>
      <c r="EL127" s="132"/>
      <c r="EM127" s="132"/>
      <c r="EN127" s="132"/>
      <c r="EO127" s="132"/>
      <c r="EP127" s="132"/>
      <c r="EQ127" s="132"/>
      <c r="ER127" s="132"/>
      <c r="ES127" s="132"/>
      <c r="ET127" s="132"/>
      <c r="EU127" s="132"/>
      <c r="EV127" s="132"/>
      <c r="EW127" s="132"/>
      <c r="EX127" s="132"/>
      <c r="EY127" s="132"/>
      <c r="EZ127" s="132"/>
      <c r="FA127" s="132"/>
      <c r="FB127" s="132"/>
      <c r="FC127" s="132"/>
      <c r="FD127" s="132"/>
      <c r="FE127" s="132"/>
      <c r="FF127" s="132"/>
      <c r="FG127" s="132"/>
      <c r="FH127" s="132"/>
      <c r="FI127" s="132"/>
      <c r="FJ127" s="132"/>
      <c r="FK127" s="132"/>
      <c r="FL127" s="132"/>
      <c r="FM127" s="132"/>
      <c r="FN127" s="132"/>
      <c r="FO127" s="83">
        <f>[28]GO!R19</f>
        <v>1651246.84</v>
      </c>
      <c r="FP127" s="83">
        <f>[28]GO!S19</f>
        <v>842276.49</v>
      </c>
      <c r="FQ127" s="83"/>
      <c r="FR127" s="83"/>
      <c r="FS127" s="83"/>
      <c r="FT127" s="83">
        <f>[28]GO!T19</f>
        <v>243757.33</v>
      </c>
      <c r="FU127" s="185">
        <f t="shared" si="442"/>
        <v>2737280.66</v>
      </c>
      <c r="FV127" s="186">
        <f>[28]GO!V19</f>
        <v>318.98</v>
      </c>
      <c r="FW127" s="186">
        <f>[28]GO!W19</f>
        <v>8646.58</v>
      </c>
      <c r="FX127" s="186"/>
      <c r="FY127" s="186"/>
      <c r="FZ127" s="186"/>
      <c r="GA127" s="186">
        <f>[28]GO!X19</f>
        <v>0</v>
      </c>
      <c r="GB127" s="185">
        <f t="shared" si="443"/>
        <v>8965.56</v>
      </c>
      <c r="GC127" s="186">
        <f t="shared" si="444"/>
        <v>2737280.66</v>
      </c>
      <c r="GD127" s="186">
        <f t="shared" si="445"/>
        <v>8965.56</v>
      </c>
      <c r="GE127" s="219"/>
      <c r="GG127" s="36"/>
      <c r="GH127" s="36"/>
      <c r="GI127" s="36"/>
      <c r="GJ127" s="36"/>
    </row>
    <row r="128" spans="1:192" s="5" customFormat="1" ht="12.75" x14ac:dyDescent="0.2">
      <c r="A128" s="257"/>
      <c r="B128" s="258" t="s">
        <v>212</v>
      </c>
      <c r="C128" s="258"/>
      <c r="D128" s="259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  <c r="R128" s="57"/>
      <c r="S128" s="57"/>
      <c r="T128" s="57"/>
      <c r="U128" s="57"/>
      <c r="V128" s="57"/>
      <c r="W128" s="57"/>
      <c r="X128" s="57"/>
      <c r="Y128" s="57"/>
      <c r="Z128" s="57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57"/>
      <c r="AY128" s="57"/>
      <c r="AZ128" s="57"/>
      <c r="BA128" s="57"/>
      <c r="BB128" s="57"/>
      <c r="BC128" s="57"/>
      <c r="BD128" s="57"/>
      <c r="BE128" s="57"/>
      <c r="BF128" s="57"/>
      <c r="BG128" s="57"/>
      <c r="BH128" s="57"/>
      <c r="BI128" s="57"/>
      <c r="BJ128" s="57"/>
      <c r="BK128" s="57"/>
      <c r="BL128" s="57"/>
      <c r="BM128" s="57"/>
      <c r="BN128" s="57"/>
      <c r="BO128" s="57"/>
      <c r="BP128" s="57"/>
      <c r="BQ128" s="57"/>
      <c r="BR128" s="57"/>
      <c r="BS128" s="57"/>
      <c r="BT128" s="57"/>
      <c r="BU128" s="57"/>
      <c r="BV128" s="57"/>
      <c r="BW128" s="57"/>
      <c r="BX128" s="57"/>
      <c r="BY128" s="57"/>
      <c r="BZ128" s="57"/>
      <c r="CA128" s="57"/>
      <c r="CB128" s="57"/>
      <c r="CC128" s="57"/>
      <c r="CD128" s="57"/>
      <c r="CE128" s="57"/>
      <c r="CF128" s="57"/>
      <c r="CG128" s="57"/>
      <c r="CH128" s="57"/>
      <c r="CI128" s="57"/>
      <c r="CJ128" s="57"/>
      <c r="CK128" s="57"/>
      <c r="CL128" s="57"/>
      <c r="CM128" s="57"/>
      <c r="CN128" s="57"/>
      <c r="CO128" s="57"/>
      <c r="CP128" s="57"/>
      <c r="CQ128" s="57"/>
      <c r="CR128" s="57"/>
      <c r="CS128" s="57"/>
      <c r="CT128" s="57"/>
      <c r="CU128" s="57"/>
      <c r="CV128" s="57"/>
      <c r="CW128" s="57"/>
      <c r="CX128" s="57"/>
      <c r="CY128" s="57"/>
      <c r="CZ128" s="57"/>
      <c r="DA128" s="57"/>
      <c r="DB128" s="57"/>
      <c r="DC128" s="57"/>
      <c r="DD128" s="57"/>
      <c r="DE128" s="57"/>
      <c r="DF128" s="57"/>
      <c r="DG128" s="57"/>
      <c r="DH128" s="57"/>
      <c r="DI128" s="57"/>
      <c r="DJ128" s="57"/>
      <c r="DK128" s="57"/>
      <c r="DL128" s="57"/>
      <c r="DM128" s="57"/>
      <c r="DN128" s="57"/>
      <c r="DO128" s="57"/>
      <c r="DP128" s="57"/>
      <c r="DQ128" s="57"/>
      <c r="DR128" s="57"/>
      <c r="DS128" s="57"/>
      <c r="DT128" s="57"/>
      <c r="DU128" s="57"/>
      <c r="DV128" s="57"/>
      <c r="DW128" s="57"/>
      <c r="DX128" s="57"/>
      <c r="DY128" s="57"/>
      <c r="DZ128" s="57"/>
      <c r="EA128" s="57"/>
      <c r="EB128" s="57"/>
      <c r="EC128" s="57"/>
      <c r="ED128" s="57"/>
      <c r="EE128" s="57"/>
      <c r="EF128" s="57"/>
      <c r="EG128" s="57"/>
      <c r="EH128" s="57"/>
      <c r="EI128" s="57"/>
      <c r="EJ128" s="57"/>
      <c r="EK128" s="57"/>
      <c r="EL128" s="57"/>
      <c r="EM128" s="57"/>
      <c r="EN128" s="57"/>
      <c r="EO128" s="57"/>
      <c r="EP128" s="57"/>
      <c r="EQ128" s="57"/>
      <c r="ER128" s="57"/>
      <c r="ES128" s="57"/>
      <c r="ET128" s="57"/>
      <c r="EU128" s="57"/>
      <c r="EV128" s="57"/>
      <c r="EW128" s="57"/>
      <c r="EX128" s="57"/>
      <c r="EY128" s="57"/>
      <c r="EZ128" s="57"/>
      <c r="FA128" s="57">
        <f t="shared" ref="FA128:GC128" si="446">SUM(FA122:FA127)</f>
        <v>0</v>
      </c>
      <c r="FB128" s="57">
        <f t="shared" si="446"/>
        <v>0</v>
      </c>
      <c r="FC128" s="57">
        <f t="shared" si="446"/>
        <v>0</v>
      </c>
      <c r="FD128" s="57">
        <f t="shared" si="446"/>
        <v>0</v>
      </c>
      <c r="FE128" s="57">
        <f t="shared" si="446"/>
        <v>0</v>
      </c>
      <c r="FF128" s="57">
        <f t="shared" si="446"/>
        <v>0</v>
      </c>
      <c r="FG128" s="57"/>
      <c r="FH128" s="57">
        <f t="shared" si="446"/>
        <v>0</v>
      </c>
      <c r="FI128" s="57">
        <f t="shared" si="446"/>
        <v>0</v>
      </c>
      <c r="FJ128" s="57">
        <f t="shared" si="446"/>
        <v>0</v>
      </c>
      <c r="FK128" s="57">
        <f t="shared" si="446"/>
        <v>0</v>
      </c>
      <c r="FL128" s="57">
        <f t="shared" si="446"/>
        <v>0</v>
      </c>
      <c r="FM128" s="57">
        <f t="shared" si="446"/>
        <v>0</v>
      </c>
      <c r="FN128" s="57">
        <f t="shared" si="446"/>
        <v>0</v>
      </c>
      <c r="FO128" s="57">
        <f t="shared" si="446"/>
        <v>13387520.6</v>
      </c>
      <c r="FP128" s="57">
        <f t="shared" si="446"/>
        <v>5484585.4799999995</v>
      </c>
      <c r="FQ128" s="57">
        <f t="shared" si="446"/>
        <v>0</v>
      </c>
      <c r="FR128" s="57">
        <f t="shared" si="446"/>
        <v>0</v>
      </c>
      <c r="FS128" s="57">
        <f t="shared" si="446"/>
        <v>0</v>
      </c>
      <c r="FT128" s="57">
        <f t="shared" si="446"/>
        <v>3204022.1500000004</v>
      </c>
      <c r="FU128" s="57">
        <f t="shared" si="446"/>
        <v>22076128.23</v>
      </c>
      <c r="FV128" s="57">
        <f t="shared" si="446"/>
        <v>19506.53</v>
      </c>
      <c r="FW128" s="57">
        <f t="shared" si="446"/>
        <v>294833.82</v>
      </c>
      <c r="FX128" s="57">
        <f t="shared" si="446"/>
        <v>0</v>
      </c>
      <c r="FY128" s="57">
        <f t="shared" si="446"/>
        <v>0</v>
      </c>
      <c r="FZ128" s="57">
        <f t="shared" si="446"/>
        <v>0</v>
      </c>
      <c r="GA128" s="57">
        <f t="shared" si="446"/>
        <v>3574.66</v>
      </c>
      <c r="GB128" s="57">
        <f t="shared" si="446"/>
        <v>317915.01</v>
      </c>
      <c r="GC128" s="57">
        <f t="shared" si="446"/>
        <v>22076128.23</v>
      </c>
      <c r="GD128" s="57">
        <f>SUM(GD122:GD127)</f>
        <v>317915.01</v>
      </c>
      <c r="GE128" s="81"/>
      <c r="GG128" s="36"/>
      <c r="GH128" s="36"/>
    </row>
    <row r="129" spans="1:190" s="5" customFormat="1" ht="12.75" x14ac:dyDescent="0.2">
      <c r="A129" s="251" t="s">
        <v>220</v>
      </c>
      <c r="B129" s="15" t="s">
        <v>223</v>
      </c>
      <c r="C129" s="165" t="s">
        <v>221</v>
      </c>
      <c r="D129" s="2">
        <v>45748</v>
      </c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  <c r="AP129" s="50"/>
      <c r="AQ129" s="50"/>
      <c r="AR129" s="50"/>
      <c r="AS129" s="50"/>
      <c r="AT129" s="50"/>
      <c r="AU129" s="50"/>
      <c r="AV129" s="50"/>
      <c r="AW129" s="50"/>
      <c r="AX129" s="50"/>
      <c r="AY129" s="50"/>
      <c r="AZ129" s="50"/>
      <c r="BA129" s="50"/>
      <c r="BB129" s="50"/>
      <c r="BC129" s="50"/>
      <c r="BD129" s="50"/>
      <c r="BE129" s="50"/>
      <c r="BF129" s="50"/>
      <c r="BG129" s="50"/>
      <c r="BH129" s="50"/>
      <c r="BI129" s="50"/>
      <c r="BJ129" s="50"/>
      <c r="BK129" s="50"/>
      <c r="BL129" s="50"/>
      <c r="BM129" s="50"/>
      <c r="BN129" s="50"/>
      <c r="BO129" s="50"/>
      <c r="BP129" s="50"/>
      <c r="BQ129" s="50"/>
      <c r="BR129" s="50"/>
      <c r="BS129" s="50"/>
      <c r="BT129" s="50"/>
      <c r="BU129" s="50"/>
      <c r="BV129" s="50"/>
      <c r="BW129" s="50"/>
      <c r="BX129" s="50"/>
      <c r="BY129" s="50"/>
      <c r="BZ129" s="50"/>
      <c r="CA129" s="50"/>
      <c r="CB129" s="50"/>
      <c r="CC129" s="50"/>
      <c r="CD129" s="50"/>
      <c r="CE129" s="50"/>
      <c r="CF129" s="50"/>
      <c r="CG129" s="50"/>
      <c r="CH129" s="50"/>
      <c r="CI129" s="50"/>
      <c r="CJ129" s="50"/>
      <c r="CK129" s="50"/>
      <c r="CL129" s="50"/>
      <c r="CM129" s="50"/>
      <c r="CN129" s="50"/>
      <c r="CO129" s="50"/>
      <c r="CP129" s="50"/>
      <c r="CQ129" s="50"/>
      <c r="CR129" s="50"/>
      <c r="CS129" s="50"/>
      <c r="CT129" s="50"/>
      <c r="CU129" s="50"/>
      <c r="CV129" s="50"/>
      <c r="CW129" s="50"/>
      <c r="CX129" s="50"/>
      <c r="CY129" s="50"/>
      <c r="CZ129" s="50"/>
      <c r="DA129" s="50"/>
      <c r="DB129" s="50"/>
      <c r="DC129" s="50"/>
      <c r="DD129" s="50"/>
      <c r="DE129" s="50"/>
      <c r="DF129" s="50"/>
      <c r="DG129" s="50"/>
      <c r="DH129" s="50"/>
      <c r="DI129" s="50"/>
      <c r="DJ129" s="50"/>
      <c r="DK129" s="50"/>
      <c r="DL129" s="50"/>
      <c r="DM129" s="50"/>
      <c r="DN129" s="50"/>
      <c r="DO129" s="50"/>
      <c r="DP129" s="50"/>
      <c r="DQ129" s="50"/>
      <c r="DR129" s="50"/>
      <c r="DS129" s="50"/>
      <c r="DT129" s="50"/>
      <c r="DU129" s="50"/>
      <c r="DV129" s="50"/>
      <c r="DW129" s="50"/>
      <c r="DX129" s="50"/>
      <c r="DY129" s="50"/>
      <c r="DZ129" s="50"/>
      <c r="EA129" s="50"/>
      <c r="EB129" s="50"/>
      <c r="EC129" s="50"/>
      <c r="ED129" s="50"/>
      <c r="EE129" s="50"/>
      <c r="EF129" s="50"/>
      <c r="EG129" s="50"/>
      <c r="EH129" s="50"/>
      <c r="EI129" s="50"/>
      <c r="EJ129" s="50"/>
      <c r="EK129" s="50"/>
      <c r="EL129" s="50"/>
      <c r="EM129" s="50"/>
      <c r="EN129" s="50"/>
      <c r="EO129" s="50"/>
      <c r="EP129" s="50"/>
      <c r="EQ129" s="50"/>
      <c r="ER129" s="50"/>
      <c r="ES129" s="50"/>
      <c r="ET129" s="50"/>
      <c r="EU129" s="50"/>
      <c r="EV129" s="50"/>
      <c r="EW129" s="50"/>
      <c r="EX129" s="50"/>
      <c r="EY129" s="50"/>
      <c r="EZ129" s="50"/>
      <c r="FA129" s="50"/>
      <c r="FB129" s="50"/>
      <c r="FC129" s="50"/>
      <c r="FD129" s="50"/>
      <c r="FE129" s="50"/>
      <c r="FF129" s="50"/>
      <c r="FG129" s="50"/>
      <c r="FH129" s="50"/>
      <c r="FI129" s="50"/>
      <c r="FJ129" s="50"/>
      <c r="FK129" s="50"/>
      <c r="FL129" s="50"/>
      <c r="FM129" s="50"/>
      <c r="FN129" s="50"/>
      <c r="FO129" s="83">
        <f>[28]PI!R14</f>
        <v>774.75</v>
      </c>
      <c r="FP129" s="83">
        <f>[28]PI!S14</f>
        <v>0</v>
      </c>
      <c r="FQ129" s="83"/>
      <c r="FR129" s="83">
        <f>[28]PI!Q14</f>
        <v>0</v>
      </c>
      <c r="FS129" s="83"/>
      <c r="FT129" s="83">
        <f>[28]PI!T14</f>
        <v>0</v>
      </c>
      <c r="FU129" s="10">
        <f t="shared" ref="FU129" si="447">SUM(FO129:FT129)</f>
        <v>774.75</v>
      </c>
      <c r="FV129" s="83">
        <f>[28]PI!V14</f>
        <v>774.75</v>
      </c>
      <c r="FW129" s="83">
        <f>[28]PI!W14</f>
        <v>0</v>
      </c>
      <c r="FX129" s="83"/>
      <c r="FY129" s="83">
        <f>[28]PI!U14</f>
        <v>0</v>
      </c>
      <c r="FZ129" s="83"/>
      <c r="GA129" s="83">
        <f>[28]PI!X14</f>
        <v>0</v>
      </c>
      <c r="GB129" s="10">
        <f t="shared" ref="GB129" si="448">SUM(FV129:GA129)</f>
        <v>774.75</v>
      </c>
      <c r="GC129" s="146">
        <f>ES129+FG129+FU129</f>
        <v>774.75</v>
      </c>
      <c r="GD129" s="146">
        <f>EZ129+FN129+GB129</f>
        <v>774.75</v>
      </c>
      <c r="GE129" s="217"/>
      <c r="GG129" s="36"/>
      <c r="GH129" s="36"/>
    </row>
    <row r="130" spans="1:190" s="5" customFormat="1" ht="12.75" x14ac:dyDescent="0.2">
      <c r="A130" s="252"/>
      <c r="B130" s="15" t="s">
        <v>224</v>
      </c>
      <c r="C130" s="165" t="s">
        <v>221</v>
      </c>
      <c r="D130" s="2">
        <v>45748</v>
      </c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132"/>
      <c r="X130" s="132"/>
      <c r="Y130" s="132"/>
      <c r="Z130" s="132"/>
      <c r="AA130" s="132"/>
      <c r="AB130" s="132"/>
      <c r="AC130" s="132"/>
      <c r="AD130" s="132"/>
      <c r="AE130" s="132"/>
      <c r="AF130" s="132"/>
      <c r="AG130" s="132"/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2"/>
      <c r="BF130" s="132"/>
      <c r="BG130" s="132"/>
      <c r="BH130" s="132"/>
      <c r="BI130" s="132"/>
      <c r="BJ130" s="132"/>
      <c r="BK130" s="132"/>
      <c r="BL130" s="132"/>
      <c r="BM130" s="132"/>
      <c r="BN130" s="132"/>
      <c r="BO130" s="132"/>
      <c r="BP130" s="132"/>
      <c r="BQ130" s="132"/>
      <c r="BR130" s="132"/>
      <c r="BS130" s="132"/>
      <c r="BT130" s="132"/>
      <c r="BU130" s="132"/>
      <c r="BV130" s="132"/>
      <c r="BW130" s="132"/>
      <c r="BX130" s="132"/>
      <c r="BY130" s="132"/>
      <c r="BZ130" s="132"/>
      <c r="CA130" s="132"/>
      <c r="CB130" s="132"/>
      <c r="CC130" s="132"/>
      <c r="CD130" s="132"/>
      <c r="CE130" s="132"/>
      <c r="CF130" s="132"/>
      <c r="CG130" s="132"/>
      <c r="CH130" s="132"/>
      <c r="CI130" s="132"/>
      <c r="CJ130" s="132"/>
      <c r="CK130" s="132"/>
      <c r="CL130" s="132"/>
      <c r="CM130" s="132"/>
      <c r="CN130" s="132"/>
      <c r="CO130" s="132"/>
      <c r="CP130" s="132"/>
      <c r="CQ130" s="132"/>
      <c r="CR130" s="132"/>
      <c r="CS130" s="132"/>
      <c r="CT130" s="132"/>
      <c r="CU130" s="132"/>
      <c r="CV130" s="132"/>
      <c r="CW130" s="132"/>
      <c r="CX130" s="132"/>
      <c r="CY130" s="132"/>
      <c r="CZ130" s="132"/>
      <c r="DA130" s="132"/>
      <c r="DB130" s="132"/>
      <c r="DC130" s="132"/>
      <c r="DD130" s="132"/>
      <c r="DE130" s="132"/>
      <c r="DF130" s="132"/>
      <c r="DG130" s="132"/>
      <c r="DH130" s="132"/>
      <c r="DI130" s="132"/>
      <c r="DJ130" s="132"/>
      <c r="DK130" s="132"/>
      <c r="DL130" s="132"/>
      <c r="DM130" s="132"/>
      <c r="DN130" s="132"/>
      <c r="DO130" s="132"/>
      <c r="DP130" s="132"/>
      <c r="DQ130" s="132"/>
      <c r="DR130" s="132"/>
      <c r="DS130" s="132"/>
      <c r="DT130" s="132"/>
      <c r="DU130" s="132"/>
      <c r="DV130" s="132"/>
      <c r="DW130" s="132"/>
      <c r="DX130" s="132"/>
      <c r="DY130" s="132"/>
      <c r="DZ130" s="132"/>
      <c r="EA130" s="132"/>
      <c r="EB130" s="132"/>
      <c r="EC130" s="132"/>
      <c r="ED130" s="132"/>
      <c r="EE130" s="132"/>
      <c r="EF130" s="132"/>
      <c r="EG130" s="132"/>
      <c r="EH130" s="132"/>
      <c r="EI130" s="132"/>
      <c r="EJ130" s="132"/>
      <c r="EK130" s="132"/>
      <c r="EL130" s="132"/>
      <c r="EM130" s="132"/>
      <c r="EN130" s="132"/>
      <c r="EO130" s="132"/>
      <c r="EP130" s="132"/>
      <c r="EQ130" s="132"/>
      <c r="ER130" s="132"/>
      <c r="ES130" s="132"/>
      <c r="ET130" s="132"/>
      <c r="EU130" s="132"/>
      <c r="EV130" s="132"/>
      <c r="EW130" s="132"/>
      <c r="EX130" s="132"/>
      <c r="EY130" s="132"/>
      <c r="EZ130" s="132"/>
      <c r="FA130" s="132"/>
      <c r="FB130" s="132"/>
      <c r="FC130" s="132"/>
      <c r="FD130" s="132"/>
      <c r="FE130" s="132"/>
      <c r="FF130" s="132"/>
      <c r="FG130" s="132"/>
      <c r="FH130" s="132"/>
      <c r="FI130" s="132"/>
      <c r="FJ130" s="132"/>
      <c r="FK130" s="132"/>
      <c r="FL130" s="132"/>
      <c r="FM130" s="132"/>
      <c r="FN130" s="132"/>
      <c r="FO130" s="83">
        <f>[28]PI!R15</f>
        <v>0</v>
      </c>
      <c r="FP130" s="83">
        <f>[28]PI!S15</f>
        <v>0</v>
      </c>
      <c r="FQ130" s="83"/>
      <c r="FR130" s="83">
        <f>[28]PI!Q15</f>
        <v>0</v>
      </c>
      <c r="FS130" s="83"/>
      <c r="FT130" s="83">
        <f>[28]PI!T15</f>
        <v>0</v>
      </c>
      <c r="FU130" s="10">
        <f t="shared" ref="FU130:FU136" si="449">SUM(FO130:FT130)</f>
        <v>0</v>
      </c>
      <c r="FV130" s="83">
        <f>[28]PI!V15</f>
        <v>0</v>
      </c>
      <c r="FW130" s="83">
        <f>[28]PI!W15</f>
        <v>0</v>
      </c>
      <c r="FX130" s="83"/>
      <c r="FY130" s="83">
        <f>[28]PI!U15</f>
        <v>0</v>
      </c>
      <c r="FZ130" s="83"/>
      <c r="GA130" s="83">
        <f>[28]PI!X15</f>
        <v>0</v>
      </c>
      <c r="GB130" s="10">
        <f t="shared" ref="GB130:GB136" si="450">SUM(FV130:GA130)</f>
        <v>0</v>
      </c>
      <c r="GC130" s="146">
        <f t="shared" ref="GC130:GC136" si="451">ES130+FG130+FU130</f>
        <v>0</v>
      </c>
      <c r="GD130" s="146">
        <f t="shared" ref="GD130:GD136" si="452">EZ130+FN130+GB130</f>
        <v>0</v>
      </c>
      <c r="GE130" s="218"/>
      <c r="GG130" s="36"/>
      <c r="GH130" s="36"/>
    </row>
    <row r="131" spans="1:190" s="5" customFormat="1" ht="12.75" x14ac:dyDescent="0.2">
      <c r="A131" s="252"/>
      <c r="B131" s="15" t="s">
        <v>225</v>
      </c>
      <c r="C131" s="165" t="s">
        <v>221</v>
      </c>
      <c r="D131" s="2">
        <v>45748</v>
      </c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2"/>
      <c r="BR131" s="132"/>
      <c r="BS131" s="132"/>
      <c r="BT131" s="132"/>
      <c r="BU131" s="132"/>
      <c r="BV131" s="132"/>
      <c r="BW131" s="132"/>
      <c r="BX131" s="132"/>
      <c r="BY131" s="132"/>
      <c r="BZ131" s="132"/>
      <c r="CA131" s="132"/>
      <c r="CB131" s="132"/>
      <c r="CC131" s="132"/>
      <c r="CD131" s="132"/>
      <c r="CE131" s="132"/>
      <c r="CF131" s="132"/>
      <c r="CG131" s="132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132"/>
      <c r="CS131" s="132"/>
      <c r="CT131" s="132"/>
      <c r="CU131" s="132"/>
      <c r="CV131" s="132"/>
      <c r="CW131" s="132"/>
      <c r="CX131" s="132"/>
      <c r="CY131" s="132"/>
      <c r="CZ131" s="132"/>
      <c r="DA131" s="132"/>
      <c r="DB131" s="132"/>
      <c r="DC131" s="132"/>
      <c r="DD131" s="132"/>
      <c r="DE131" s="132"/>
      <c r="DF131" s="132"/>
      <c r="DG131" s="132"/>
      <c r="DH131" s="132"/>
      <c r="DI131" s="132"/>
      <c r="DJ131" s="132"/>
      <c r="DK131" s="132"/>
      <c r="DL131" s="132"/>
      <c r="DM131" s="132"/>
      <c r="DN131" s="132"/>
      <c r="DO131" s="132"/>
      <c r="DP131" s="132"/>
      <c r="DQ131" s="132"/>
      <c r="DR131" s="132"/>
      <c r="DS131" s="132"/>
      <c r="DT131" s="132"/>
      <c r="DU131" s="132"/>
      <c r="DV131" s="132"/>
      <c r="DW131" s="132"/>
      <c r="DX131" s="132"/>
      <c r="DY131" s="132"/>
      <c r="DZ131" s="132"/>
      <c r="EA131" s="132"/>
      <c r="EB131" s="132"/>
      <c r="EC131" s="132"/>
      <c r="ED131" s="132"/>
      <c r="EE131" s="132"/>
      <c r="EF131" s="132"/>
      <c r="EG131" s="132"/>
      <c r="EH131" s="132"/>
      <c r="EI131" s="132"/>
      <c r="EJ131" s="132"/>
      <c r="EK131" s="132"/>
      <c r="EL131" s="132"/>
      <c r="EM131" s="132"/>
      <c r="EN131" s="132"/>
      <c r="EO131" s="132"/>
      <c r="EP131" s="132"/>
      <c r="EQ131" s="132"/>
      <c r="ER131" s="132"/>
      <c r="ES131" s="132"/>
      <c r="ET131" s="132"/>
      <c r="EU131" s="132"/>
      <c r="EV131" s="132"/>
      <c r="EW131" s="132"/>
      <c r="EX131" s="132"/>
      <c r="EY131" s="132"/>
      <c r="EZ131" s="132"/>
      <c r="FA131" s="132"/>
      <c r="FB131" s="132"/>
      <c r="FC131" s="132"/>
      <c r="FD131" s="132"/>
      <c r="FE131" s="132"/>
      <c r="FF131" s="132"/>
      <c r="FG131" s="132"/>
      <c r="FH131" s="132"/>
      <c r="FI131" s="132"/>
      <c r="FJ131" s="132"/>
      <c r="FK131" s="132"/>
      <c r="FL131" s="132"/>
      <c r="FM131" s="132"/>
      <c r="FN131" s="132"/>
      <c r="FO131" s="83">
        <f>[28]PI!R16</f>
        <v>0</v>
      </c>
      <c r="FP131" s="83">
        <f>[28]PI!S16</f>
        <v>572.54999999999995</v>
      </c>
      <c r="FQ131" s="83"/>
      <c r="FR131" s="83">
        <f>[28]PI!Q16</f>
        <v>0</v>
      </c>
      <c r="FS131" s="83"/>
      <c r="FT131" s="83">
        <f>[28]PI!T16</f>
        <v>0</v>
      </c>
      <c r="FU131" s="10">
        <f t="shared" si="449"/>
        <v>572.54999999999995</v>
      </c>
      <c r="FV131" s="83">
        <f>[28]PI!V16</f>
        <v>0</v>
      </c>
      <c r="FW131" s="83">
        <f>[28]PI!W16</f>
        <v>572.54999999999995</v>
      </c>
      <c r="FX131" s="83"/>
      <c r="FY131" s="83">
        <f>[28]PI!U16</f>
        <v>0</v>
      </c>
      <c r="FZ131" s="83"/>
      <c r="GA131" s="83">
        <f>[28]PI!X16</f>
        <v>0</v>
      </c>
      <c r="GB131" s="10">
        <f t="shared" si="450"/>
        <v>572.54999999999995</v>
      </c>
      <c r="GC131" s="146">
        <f t="shared" si="451"/>
        <v>572.54999999999995</v>
      </c>
      <c r="GD131" s="146">
        <f t="shared" si="452"/>
        <v>572.54999999999995</v>
      </c>
      <c r="GE131" s="218"/>
      <c r="GG131" s="36"/>
      <c r="GH131" s="36"/>
    </row>
    <row r="132" spans="1:190" s="5" customFormat="1" ht="12.75" x14ac:dyDescent="0.2">
      <c r="A132" s="252"/>
      <c r="B132" s="15" t="s">
        <v>226</v>
      </c>
      <c r="C132" s="165" t="s">
        <v>221</v>
      </c>
      <c r="D132" s="2">
        <v>45748</v>
      </c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132"/>
      <c r="X132" s="132"/>
      <c r="Y132" s="132"/>
      <c r="Z132" s="132"/>
      <c r="AA132" s="132"/>
      <c r="AB132" s="132"/>
      <c r="AC132" s="132"/>
      <c r="AD132" s="132"/>
      <c r="AE132" s="132"/>
      <c r="AF132" s="132"/>
      <c r="AG132" s="132"/>
      <c r="AH132" s="132"/>
      <c r="AI132" s="132"/>
      <c r="AJ132" s="132"/>
      <c r="AK132" s="132"/>
      <c r="AL132" s="132"/>
      <c r="AM132" s="132"/>
      <c r="AN132" s="132"/>
      <c r="AO132" s="132"/>
      <c r="AP132" s="132"/>
      <c r="AQ132" s="132"/>
      <c r="AR132" s="132"/>
      <c r="AS132" s="132"/>
      <c r="AT132" s="132"/>
      <c r="AU132" s="132"/>
      <c r="AV132" s="132"/>
      <c r="AW132" s="132"/>
      <c r="AX132" s="132"/>
      <c r="AY132" s="132"/>
      <c r="AZ132" s="132"/>
      <c r="BA132" s="132"/>
      <c r="BB132" s="132"/>
      <c r="BC132" s="132"/>
      <c r="BD132" s="132"/>
      <c r="BE132" s="132"/>
      <c r="BF132" s="132"/>
      <c r="BG132" s="132"/>
      <c r="BH132" s="132"/>
      <c r="BI132" s="132"/>
      <c r="BJ132" s="132"/>
      <c r="BK132" s="132"/>
      <c r="BL132" s="132"/>
      <c r="BM132" s="132"/>
      <c r="BN132" s="132"/>
      <c r="BO132" s="132"/>
      <c r="BP132" s="132"/>
      <c r="BQ132" s="132"/>
      <c r="BR132" s="132"/>
      <c r="BS132" s="132"/>
      <c r="BT132" s="132"/>
      <c r="BU132" s="132"/>
      <c r="BV132" s="132"/>
      <c r="BW132" s="132"/>
      <c r="BX132" s="132"/>
      <c r="BY132" s="132"/>
      <c r="BZ132" s="132"/>
      <c r="CA132" s="132"/>
      <c r="CB132" s="132"/>
      <c r="CC132" s="132"/>
      <c r="CD132" s="132"/>
      <c r="CE132" s="132"/>
      <c r="CF132" s="132"/>
      <c r="CG132" s="132"/>
      <c r="CH132" s="132"/>
      <c r="CI132" s="132"/>
      <c r="CJ132" s="132"/>
      <c r="CK132" s="132"/>
      <c r="CL132" s="132"/>
      <c r="CM132" s="132"/>
      <c r="CN132" s="132"/>
      <c r="CO132" s="132"/>
      <c r="CP132" s="132"/>
      <c r="CQ132" s="132"/>
      <c r="CR132" s="132"/>
      <c r="CS132" s="132"/>
      <c r="CT132" s="132"/>
      <c r="CU132" s="132"/>
      <c r="CV132" s="132"/>
      <c r="CW132" s="132"/>
      <c r="CX132" s="132"/>
      <c r="CY132" s="132"/>
      <c r="CZ132" s="132"/>
      <c r="DA132" s="132"/>
      <c r="DB132" s="132"/>
      <c r="DC132" s="132"/>
      <c r="DD132" s="132"/>
      <c r="DE132" s="132"/>
      <c r="DF132" s="132"/>
      <c r="DG132" s="132"/>
      <c r="DH132" s="132"/>
      <c r="DI132" s="132"/>
      <c r="DJ132" s="132"/>
      <c r="DK132" s="132"/>
      <c r="DL132" s="132"/>
      <c r="DM132" s="132"/>
      <c r="DN132" s="132"/>
      <c r="DO132" s="132"/>
      <c r="DP132" s="132"/>
      <c r="DQ132" s="132"/>
      <c r="DR132" s="132"/>
      <c r="DS132" s="132"/>
      <c r="DT132" s="132"/>
      <c r="DU132" s="132"/>
      <c r="DV132" s="132"/>
      <c r="DW132" s="132"/>
      <c r="DX132" s="132"/>
      <c r="DY132" s="132"/>
      <c r="DZ132" s="132"/>
      <c r="EA132" s="132"/>
      <c r="EB132" s="132"/>
      <c r="EC132" s="132"/>
      <c r="ED132" s="132"/>
      <c r="EE132" s="132"/>
      <c r="EF132" s="132"/>
      <c r="EG132" s="132"/>
      <c r="EH132" s="132"/>
      <c r="EI132" s="132"/>
      <c r="EJ132" s="132"/>
      <c r="EK132" s="132"/>
      <c r="EL132" s="132"/>
      <c r="EM132" s="132"/>
      <c r="EN132" s="132"/>
      <c r="EO132" s="132"/>
      <c r="EP132" s="132"/>
      <c r="EQ132" s="132"/>
      <c r="ER132" s="132"/>
      <c r="ES132" s="132"/>
      <c r="ET132" s="132"/>
      <c r="EU132" s="132"/>
      <c r="EV132" s="132"/>
      <c r="EW132" s="132"/>
      <c r="EX132" s="132"/>
      <c r="EY132" s="132"/>
      <c r="EZ132" s="132"/>
      <c r="FA132" s="132"/>
      <c r="FB132" s="132"/>
      <c r="FC132" s="132"/>
      <c r="FD132" s="132"/>
      <c r="FE132" s="132"/>
      <c r="FF132" s="132"/>
      <c r="FG132" s="132"/>
      <c r="FH132" s="132"/>
      <c r="FI132" s="132"/>
      <c r="FJ132" s="132"/>
      <c r="FK132" s="132"/>
      <c r="FL132" s="132"/>
      <c r="FM132" s="132"/>
      <c r="FN132" s="132"/>
      <c r="FO132" s="83">
        <f>[28]PI!R17</f>
        <v>0</v>
      </c>
      <c r="FP132" s="83">
        <f>[28]PI!S17</f>
        <v>0</v>
      </c>
      <c r="FQ132" s="83"/>
      <c r="FR132" s="83">
        <f>[28]PI!Q17</f>
        <v>0</v>
      </c>
      <c r="FS132" s="83"/>
      <c r="FT132" s="83">
        <f>[28]PI!T17</f>
        <v>0</v>
      </c>
      <c r="FU132" s="10">
        <f t="shared" si="449"/>
        <v>0</v>
      </c>
      <c r="FV132" s="83">
        <f>[28]PI!V17</f>
        <v>0</v>
      </c>
      <c r="FW132" s="83">
        <f>[28]PI!W17</f>
        <v>0</v>
      </c>
      <c r="FX132" s="83"/>
      <c r="FY132" s="83">
        <f>[28]PI!U17</f>
        <v>0</v>
      </c>
      <c r="FZ132" s="83"/>
      <c r="GA132" s="83">
        <f>[28]PI!X17</f>
        <v>0</v>
      </c>
      <c r="GB132" s="10">
        <f t="shared" si="450"/>
        <v>0</v>
      </c>
      <c r="GC132" s="146">
        <f t="shared" si="451"/>
        <v>0</v>
      </c>
      <c r="GD132" s="146">
        <f t="shared" si="452"/>
        <v>0</v>
      </c>
      <c r="GE132" s="218"/>
      <c r="GG132" s="36"/>
      <c r="GH132" s="36"/>
    </row>
    <row r="133" spans="1:190" s="5" customFormat="1" ht="12.75" x14ac:dyDescent="0.2">
      <c r="A133" s="252"/>
      <c r="B133" s="15" t="s">
        <v>227</v>
      </c>
      <c r="C133" s="165" t="s">
        <v>221</v>
      </c>
      <c r="D133" s="2">
        <v>45748</v>
      </c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  <c r="X133" s="132"/>
      <c r="Y133" s="132"/>
      <c r="Z133" s="132"/>
      <c r="AA133" s="132"/>
      <c r="AB133" s="132"/>
      <c r="AC133" s="132"/>
      <c r="AD133" s="132"/>
      <c r="AE133" s="132"/>
      <c r="AF133" s="132"/>
      <c r="AG133" s="132"/>
      <c r="AH133" s="132"/>
      <c r="AI133" s="132"/>
      <c r="AJ133" s="132"/>
      <c r="AK133" s="132"/>
      <c r="AL133" s="132"/>
      <c r="AM133" s="132"/>
      <c r="AN133" s="132"/>
      <c r="AO133" s="132"/>
      <c r="AP133" s="132"/>
      <c r="AQ133" s="132"/>
      <c r="AR133" s="132"/>
      <c r="AS133" s="132"/>
      <c r="AT133" s="132"/>
      <c r="AU133" s="132"/>
      <c r="AV133" s="132"/>
      <c r="AW133" s="132"/>
      <c r="AX133" s="132"/>
      <c r="AY133" s="132"/>
      <c r="AZ133" s="132"/>
      <c r="BA133" s="132"/>
      <c r="BB133" s="132"/>
      <c r="BC133" s="132"/>
      <c r="BD133" s="132"/>
      <c r="BE133" s="132"/>
      <c r="BF133" s="132"/>
      <c r="BG133" s="132"/>
      <c r="BH133" s="132"/>
      <c r="BI133" s="132"/>
      <c r="BJ133" s="132"/>
      <c r="BK133" s="132"/>
      <c r="BL133" s="132"/>
      <c r="BM133" s="132"/>
      <c r="BN133" s="132"/>
      <c r="BO133" s="132"/>
      <c r="BP133" s="132"/>
      <c r="BQ133" s="132"/>
      <c r="BR133" s="132"/>
      <c r="BS133" s="132"/>
      <c r="BT133" s="132"/>
      <c r="BU133" s="132"/>
      <c r="BV133" s="132"/>
      <c r="BW133" s="132"/>
      <c r="BX133" s="132"/>
      <c r="BY133" s="132"/>
      <c r="BZ133" s="132"/>
      <c r="CA133" s="132"/>
      <c r="CB133" s="132"/>
      <c r="CC133" s="132"/>
      <c r="CD133" s="132"/>
      <c r="CE133" s="132"/>
      <c r="CF133" s="132"/>
      <c r="CG133" s="132"/>
      <c r="CH133" s="132"/>
      <c r="CI133" s="132"/>
      <c r="CJ133" s="132"/>
      <c r="CK133" s="132"/>
      <c r="CL133" s="132"/>
      <c r="CM133" s="132"/>
      <c r="CN133" s="132"/>
      <c r="CO133" s="132"/>
      <c r="CP133" s="132"/>
      <c r="CQ133" s="132"/>
      <c r="CR133" s="132"/>
      <c r="CS133" s="132"/>
      <c r="CT133" s="132"/>
      <c r="CU133" s="132"/>
      <c r="CV133" s="132"/>
      <c r="CW133" s="132"/>
      <c r="CX133" s="132"/>
      <c r="CY133" s="132"/>
      <c r="CZ133" s="132"/>
      <c r="DA133" s="132"/>
      <c r="DB133" s="132"/>
      <c r="DC133" s="132"/>
      <c r="DD133" s="132"/>
      <c r="DE133" s="132"/>
      <c r="DF133" s="132"/>
      <c r="DG133" s="132"/>
      <c r="DH133" s="132"/>
      <c r="DI133" s="132"/>
      <c r="DJ133" s="132"/>
      <c r="DK133" s="132"/>
      <c r="DL133" s="132"/>
      <c r="DM133" s="132"/>
      <c r="DN133" s="132"/>
      <c r="DO133" s="132"/>
      <c r="DP133" s="132"/>
      <c r="DQ133" s="132"/>
      <c r="DR133" s="132"/>
      <c r="DS133" s="132"/>
      <c r="DT133" s="132"/>
      <c r="DU133" s="132"/>
      <c r="DV133" s="132"/>
      <c r="DW133" s="132"/>
      <c r="DX133" s="132"/>
      <c r="DY133" s="132"/>
      <c r="DZ133" s="132"/>
      <c r="EA133" s="132"/>
      <c r="EB133" s="132"/>
      <c r="EC133" s="132"/>
      <c r="ED133" s="132"/>
      <c r="EE133" s="132"/>
      <c r="EF133" s="132"/>
      <c r="EG133" s="132"/>
      <c r="EH133" s="132"/>
      <c r="EI133" s="132"/>
      <c r="EJ133" s="132"/>
      <c r="EK133" s="132"/>
      <c r="EL133" s="132"/>
      <c r="EM133" s="132"/>
      <c r="EN133" s="132"/>
      <c r="EO133" s="132"/>
      <c r="EP133" s="132"/>
      <c r="EQ133" s="132"/>
      <c r="ER133" s="132"/>
      <c r="ES133" s="132"/>
      <c r="ET133" s="132"/>
      <c r="EU133" s="132"/>
      <c r="EV133" s="132"/>
      <c r="EW133" s="132"/>
      <c r="EX133" s="132"/>
      <c r="EY133" s="132"/>
      <c r="EZ133" s="132"/>
      <c r="FA133" s="132"/>
      <c r="FB133" s="132"/>
      <c r="FC133" s="132"/>
      <c r="FD133" s="132"/>
      <c r="FE133" s="132"/>
      <c r="FF133" s="132"/>
      <c r="FG133" s="132"/>
      <c r="FH133" s="132"/>
      <c r="FI133" s="132"/>
      <c r="FJ133" s="132"/>
      <c r="FK133" s="132"/>
      <c r="FL133" s="132"/>
      <c r="FM133" s="132"/>
      <c r="FN133" s="132"/>
      <c r="FO133" s="83">
        <f>[28]PI!R18</f>
        <v>502.85</v>
      </c>
      <c r="FP133" s="83">
        <f>[28]PI!S18</f>
        <v>12302.5</v>
      </c>
      <c r="FQ133" s="83"/>
      <c r="FR133" s="83">
        <f>[28]PI!Q18</f>
        <v>0</v>
      </c>
      <c r="FS133" s="83"/>
      <c r="FT133" s="83">
        <f>[28]PI!T18</f>
        <v>53.5</v>
      </c>
      <c r="FU133" s="10">
        <f t="shared" si="449"/>
        <v>12858.85</v>
      </c>
      <c r="FV133" s="83">
        <f>[28]PI!V18</f>
        <v>502.85</v>
      </c>
      <c r="FW133" s="83">
        <f>[28]PI!W18</f>
        <v>12302.5</v>
      </c>
      <c r="FX133" s="83"/>
      <c r="FY133" s="83">
        <f>[28]PI!U18</f>
        <v>0</v>
      </c>
      <c r="FZ133" s="83"/>
      <c r="GA133" s="83">
        <f>[28]PI!X18</f>
        <v>53.5</v>
      </c>
      <c r="GB133" s="10">
        <f t="shared" si="450"/>
        <v>12858.85</v>
      </c>
      <c r="GC133" s="146">
        <f t="shared" si="451"/>
        <v>12858.85</v>
      </c>
      <c r="GD133" s="146">
        <f t="shared" si="452"/>
        <v>12858.85</v>
      </c>
      <c r="GE133" s="218"/>
      <c r="GG133" s="36"/>
      <c r="GH133" s="36"/>
    </row>
    <row r="134" spans="1:190" s="5" customFormat="1" ht="12.75" x14ac:dyDescent="0.2">
      <c r="A134" s="252"/>
      <c r="B134" s="15" t="s">
        <v>228</v>
      </c>
      <c r="C134" s="165" t="s">
        <v>221</v>
      </c>
      <c r="D134" s="2">
        <v>45748</v>
      </c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132"/>
      <c r="AM134" s="132"/>
      <c r="AN134" s="132"/>
      <c r="AO134" s="132"/>
      <c r="AP134" s="132"/>
      <c r="AQ134" s="132"/>
      <c r="AR134" s="132"/>
      <c r="AS134" s="132"/>
      <c r="AT134" s="132"/>
      <c r="AU134" s="132"/>
      <c r="AV134" s="132"/>
      <c r="AW134" s="132"/>
      <c r="AX134" s="132"/>
      <c r="AY134" s="132"/>
      <c r="AZ134" s="132"/>
      <c r="BA134" s="132"/>
      <c r="BB134" s="132"/>
      <c r="BC134" s="132"/>
      <c r="BD134" s="132"/>
      <c r="BE134" s="132"/>
      <c r="BF134" s="132"/>
      <c r="BG134" s="132"/>
      <c r="BH134" s="132"/>
      <c r="BI134" s="132"/>
      <c r="BJ134" s="132"/>
      <c r="BK134" s="132"/>
      <c r="BL134" s="132"/>
      <c r="BM134" s="132"/>
      <c r="BN134" s="132"/>
      <c r="BO134" s="132"/>
      <c r="BP134" s="132"/>
      <c r="BQ134" s="132"/>
      <c r="BR134" s="132"/>
      <c r="BS134" s="132"/>
      <c r="BT134" s="132"/>
      <c r="BU134" s="132"/>
      <c r="BV134" s="132"/>
      <c r="BW134" s="132"/>
      <c r="BX134" s="132"/>
      <c r="BY134" s="132"/>
      <c r="BZ134" s="132"/>
      <c r="CA134" s="132"/>
      <c r="CB134" s="132"/>
      <c r="CC134" s="132"/>
      <c r="CD134" s="132"/>
      <c r="CE134" s="132"/>
      <c r="CF134" s="132"/>
      <c r="CG134" s="132"/>
      <c r="CH134" s="132"/>
      <c r="CI134" s="132"/>
      <c r="CJ134" s="132"/>
      <c r="CK134" s="132"/>
      <c r="CL134" s="132"/>
      <c r="CM134" s="132"/>
      <c r="CN134" s="132"/>
      <c r="CO134" s="132"/>
      <c r="CP134" s="132"/>
      <c r="CQ134" s="132"/>
      <c r="CR134" s="132"/>
      <c r="CS134" s="132"/>
      <c r="CT134" s="132"/>
      <c r="CU134" s="132"/>
      <c r="CV134" s="132"/>
      <c r="CW134" s="132"/>
      <c r="CX134" s="132"/>
      <c r="CY134" s="132"/>
      <c r="CZ134" s="132"/>
      <c r="DA134" s="132"/>
      <c r="DB134" s="132"/>
      <c r="DC134" s="132"/>
      <c r="DD134" s="132"/>
      <c r="DE134" s="132"/>
      <c r="DF134" s="132"/>
      <c r="DG134" s="132"/>
      <c r="DH134" s="132"/>
      <c r="DI134" s="132"/>
      <c r="DJ134" s="132"/>
      <c r="DK134" s="132"/>
      <c r="DL134" s="132"/>
      <c r="DM134" s="132"/>
      <c r="DN134" s="132"/>
      <c r="DO134" s="132"/>
      <c r="DP134" s="132"/>
      <c r="DQ134" s="132"/>
      <c r="DR134" s="132"/>
      <c r="DS134" s="132"/>
      <c r="DT134" s="132"/>
      <c r="DU134" s="132"/>
      <c r="DV134" s="132"/>
      <c r="DW134" s="132"/>
      <c r="DX134" s="132"/>
      <c r="DY134" s="132"/>
      <c r="DZ134" s="132"/>
      <c r="EA134" s="132"/>
      <c r="EB134" s="132"/>
      <c r="EC134" s="132"/>
      <c r="ED134" s="132"/>
      <c r="EE134" s="132"/>
      <c r="EF134" s="132"/>
      <c r="EG134" s="132"/>
      <c r="EH134" s="132"/>
      <c r="EI134" s="132"/>
      <c r="EJ134" s="132"/>
      <c r="EK134" s="132"/>
      <c r="EL134" s="132"/>
      <c r="EM134" s="132"/>
      <c r="EN134" s="132"/>
      <c r="EO134" s="132"/>
      <c r="EP134" s="132"/>
      <c r="EQ134" s="132"/>
      <c r="ER134" s="132"/>
      <c r="ES134" s="132"/>
      <c r="ET134" s="132"/>
      <c r="EU134" s="132"/>
      <c r="EV134" s="132"/>
      <c r="EW134" s="132"/>
      <c r="EX134" s="132"/>
      <c r="EY134" s="132"/>
      <c r="EZ134" s="132"/>
      <c r="FA134" s="132"/>
      <c r="FB134" s="132"/>
      <c r="FC134" s="132"/>
      <c r="FD134" s="132"/>
      <c r="FE134" s="132"/>
      <c r="FF134" s="132"/>
      <c r="FG134" s="132"/>
      <c r="FH134" s="132"/>
      <c r="FI134" s="132"/>
      <c r="FJ134" s="132"/>
      <c r="FK134" s="132"/>
      <c r="FL134" s="132"/>
      <c r="FM134" s="132"/>
      <c r="FN134" s="132"/>
      <c r="FO134" s="83">
        <f>[28]PI!R19</f>
        <v>3922.65</v>
      </c>
      <c r="FP134" s="83">
        <f>[28]PI!S19</f>
        <v>388</v>
      </c>
      <c r="FQ134" s="83"/>
      <c r="FR134" s="83">
        <f>[28]PI!Q19</f>
        <v>0</v>
      </c>
      <c r="FS134" s="83"/>
      <c r="FT134" s="83">
        <f>[28]PI!T19</f>
        <v>869.45</v>
      </c>
      <c r="FU134" s="10">
        <f t="shared" si="449"/>
        <v>5180.0999999999995</v>
      </c>
      <c r="FV134" s="83">
        <f>[28]PI!V19</f>
        <v>3922.65</v>
      </c>
      <c r="FW134" s="83">
        <f>[28]PI!W19</f>
        <v>388</v>
      </c>
      <c r="FX134" s="83"/>
      <c r="FY134" s="83">
        <f>[28]PI!U19</f>
        <v>0</v>
      </c>
      <c r="FZ134" s="83"/>
      <c r="GA134" s="83">
        <f>[28]PI!X19</f>
        <v>869.45</v>
      </c>
      <c r="GB134" s="10">
        <f t="shared" si="450"/>
        <v>5180.0999999999995</v>
      </c>
      <c r="GC134" s="146">
        <f t="shared" si="451"/>
        <v>5180.0999999999995</v>
      </c>
      <c r="GD134" s="146">
        <f t="shared" si="452"/>
        <v>5180.0999999999995</v>
      </c>
      <c r="GE134" s="218"/>
      <c r="GG134" s="36"/>
      <c r="GH134" s="36"/>
    </row>
    <row r="135" spans="1:190" s="5" customFormat="1" ht="12.75" x14ac:dyDescent="0.2">
      <c r="A135" s="252"/>
      <c r="B135" s="15" t="s">
        <v>229</v>
      </c>
      <c r="C135" s="165" t="s">
        <v>221</v>
      </c>
      <c r="D135" s="2">
        <v>45748</v>
      </c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132"/>
      <c r="X135" s="132"/>
      <c r="Y135" s="132"/>
      <c r="Z135" s="132"/>
      <c r="AA135" s="132"/>
      <c r="AB135" s="132"/>
      <c r="AC135" s="132"/>
      <c r="AD135" s="132"/>
      <c r="AE135" s="132"/>
      <c r="AF135" s="132"/>
      <c r="AG135" s="132"/>
      <c r="AH135" s="132"/>
      <c r="AI135" s="132"/>
      <c r="AJ135" s="132"/>
      <c r="AK135" s="132"/>
      <c r="AL135" s="132"/>
      <c r="AM135" s="132"/>
      <c r="AN135" s="132"/>
      <c r="AO135" s="132"/>
      <c r="AP135" s="132"/>
      <c r="AQ135" s="132"/>
      <c r="AR135" s="132"/>
      <c r="AS135" s="132"/>
      <c r="AT135" s="132"/>
      <c r="AU135" s="132"/>
      <c r="AV135" s="132"/>
      <c r="AW135" s="132"/>
      <c r="AX135" s="132"/>
      <c r="AY135" s="132"/>
      <c r="AZ135" s="132"/>
      <c r="BA135" s="132"/>
      <c r="BB135" s="132"/>
      <c r="BC135" s="132"/>
      <c r="BD135" s="132"/>
      <c r="BE135" s="132"/>
      <c r="BF135" s="132"/>
      <c r="BG135" s="132"/>
      <c r="BH135" s="132"/>
      <c r="BI135" s="132"/>
      <c r="BJ135" s="132"/>
      <c r="BK135" s="132"/>
      <c r="BL135" s="132"/>
      <c r="BM135" s="132"/>
      <c r="BN135" s="132"/>
      <c r="BO135" s="132"/>
      <c r="BP135" s="132"/>
      <c r="BQ135" s="132"/>
      <c r="BR135" s="132"/>
      <c r="BS135" s="132"/>
      <c r="BT135" s="132"/>
      <c r="BU135" s="132"/>
      <c r="BV135" s="132"/>
      <c r="BW135" s="132"/>
      <c r="BX135" s="132"/>
      <c r="BY135" s="132"/>
      <c r="BZ135" s="132"/>
      <c r="CA135" s="132"/>
      <c r="CB135" s="132"/>
      <c r="CC135" s="132"/>
      <c r="CD135" s="132"/>
      <c r="CE135" s="132"/>
      <c r="CF135" s="132"/>
      <c r="CG135" s="132"/>
      <c r="CH135" s="132"/>
      <c r="CI135" s="132"/>
      <c r="CJ135" s="132"/>
      <c r="CK135" s="132"/>
      <c r="CL135" s="132"/>
      <c r="CM135" s="132"/>
      <c r="CN135" s="132"/>
      <c r="CO135" s="132"/>
      <c r="CP135" s="132"/>
      <c r="CQ135" s="132"/>
      <c r="CR135" s="132"/>
      <c r="CS135" s="132"/>
      <c r="CT135" s="132"/>
      <c r="CU135" s="132"/>
      <c r="CV135" s="132"/>
      <c r="CW135" s="132"/>
      <c r="CX135" s="132"/>
      <c r="CY135" s="132"/>
      <c r="CZ135" s="132"/>
      <c r="DA135" s="132"/>
      <c r="DB135" s="132"/>
      <c r="DC135" s="132"/>
      <c r="DD135" s="132"/>
      <c r="DE135" s="132"/>
      <c r="DF135" s="132"/>
      <c r="DG135" s="132"/>
      <c r="DH135" s="132"/>
      <c r="DI135" s="132"/>
      <c r="DJ135" s="132"/>
      <c r="DK135" s="132"/>
      <c r="DL135" s="132"/>
      <c r="DM135" s="132"/>
      <c r="DN135" s="132"/>
      <c r="DO135" s="132"/>
      <c r="DP135" s="132"/>
      <c r="DQ135" s="132"/>
      <c r="DR135" s="132"/>
      <c r="DS135" s="132"/>
      <c r="DT135" s="132"/>
      <c r="DU135" s="132"/>
      <c r="DV135" s="132"/>
      <c r="DW135" s="132"/>
      <c r="DX135" s="132"/>
      <c r="DY135" s="132"/>
      <c r="DZ135" s="132"/>
      <c r="EA135" s="132"/>
      <c r="EB135" s="132"/>
      <c r="EC135" s="132"/>
      <c r="ED135" s="132"/>
      <c r="EE135" s="132"/>
      <c r="EF135" s="132"/>
      <c r="EG135" s="132"/>
      <c r="EH135" s="132"/>
      <c r="EI135" s="132"/>
      <c r="EJ135" s="132"/>
      <c r="EK135" s="132"/>
      <c r="EL135" s="132"/>
      <c r="EM135" s="132"/>
      <c r="EN135" s="132"/>
      <c r="EO135" s="132"/>
      <c r="EP135" s="132"/>
      <c r="EQ135" s="132"/>
      <c r="ER135" s="132"/>
      <c r="ES135" s="132"/>
      <c r="ET135" s="132"/>
      <c r="EU135" s="132"/>
      <c r="EV135" s="132"/>
      <c r="EW135" s="132"/>
      <c r="EX135" s="132"/>
      <c r="EY135" s="132"/>
      <c r="EZ135" s="132"/>
      <c r="FA135" s="132"/>
      <c r="FB135" s="132"/>
      <c r="FC135" s="132"/>
      <c r="FD135" s="132"/>
      <c r="FE135" s="132"/>
      <c r="FF135" s="132"/>
      <c r="FG135" s="132"/>
      <c r="FH135" s="132"/>
      <c r="FI135" s="132"/>
      <c r="FJ135" s="132"/>
      <c r="FK135" s="132"/>
      <c r="FL135" s="132"/>
      <c r="FM135" s="132"/>
      <c r="FN135" s="132"/>
      <c r="FO135" s="83">
        <f>[28]PI!R20</f>
        <v>57.35</v>
      </c>
      <c r="FP135" s="83">
        <f>[28]PI!S20</f>
        <v>0</v>
      </c>
      <c r="FQ135" s="83"/>
      <c r="FR135" s="83">
        <f>[28]PI!Q20</f>
        <v>84.34</v>
      </c>
      <c r="FS135" s="83"/>
      <c r="FT135" s="83">
        <f>[28]PI!T20</f>
        <v>0</v>
      </c>
      <c r="FU135" s="10">
        <f t="shared" si="449"/>
        <v>141.69</v>
      </c>
      <c r="FV135" s="83">
        <f>[28]PI!V20</f>
        <v>57.35</v>
      </c>
      <c r="FW135" s="83">
        <f>[28]PI!W20</f>
        <v>0</v>
      </c>
      <c r="FX135" s="83"/>
      <c r="FY135" s="83">
        <f>[28]PI!U20</f>
        <v>84.34</v>
      </c>
      <c r="FZ135" s="83"/>
      <c r="GA135" s="83">
        <f>[28]PI!X20</f>
        <v>0</v>
      </c>
      <c r="GB135" s="10">
        <f t="shared" si="450"/>
        <v>141.69</v>
      </c>
      <c r="GC135" s="146">
        <f t="shared" si="451"/>
        <v>141.69</v>
      </c>
      <c r="GD135" s="146">
        <f t="shared" si="452"/>
        <v>141.69</v>
      </c>
      <c r="GE135" s="218"/>
      <c r="GG135" s="36"/>
      <c r="GH135" s="36"/>
    </row>
    <row r="136" spans="1:190" s="5" customFormat="1" ht="12.75" x14ac:dyDescent="0.2">
      <c r="A136" s="252"/>
      <c r="B136" s="15" t="s">
        <v>230</v>
      </c>
      <c r="C136" s="165" t="s">
        <v>221</v>
      </c>
      <c r="D136" s="2">
        <v>45748</v>
      </c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  <c r="AN136" s="132"/>
      <c r="AO136" s="132"/>
      <c r="AP136" s="132"/>
      <c r="AQ136" s="132"/>
      <c r="AR136" s="132"/>
      <c r="AS136" s="132"/>
      <c r="AT136" s="132"/>
      <c r="AU136" s="132"/>
      <c r="AV136" s="132"/>
      <c r="AW136" s="132"/>
      <c r="AX136" s="132"/>
      <c r="AY136" s="132"/>
      <c r="AZ136" s="132"/>
      <c r="BA136" s="132"/>
      <c r="BB136" s="132"/>
      <c r="BC136" s="132"/>
      <c r="BD136" s="132"/>
      <c r="BE136" s="132"/>
      <c r="BF136" s="132"/>
      <c r="BG136" s="132"/>
      <c r="BH136" s="132"/>
      <c r="BI136" s="132"/>
      <c r="BJ136" s="132"/>
      <c r="BK136" s="132"/>
      <c r="BL136" s="132"/>
      <c r="BM136" s="132"/>
      <c r="BN136" s="132"/>
      <c r="BO136" s="132"/>
      <c r="BP136" s="132"/>
      <c r="BQ136" s="132"/>
      <c r="BR136" s="132"/>
      <c r="BS136" s="132"/>
      <c r="BT136" s="132"/>
      <c r="BU136" s="132"/>
      <c r="BV136" s="132"/>
      <c r="BW136" s="132"/>
      <c r="BX136" s="132"/>
      <c r="BY136" s="132"/>
      <c r="BZ136" s="132"/>
      <c r="CA136" s="132"/>
      <c r="CB136" s="132"/>
      <c r="CC136" s="132"/>
      <c r="CD136" s="132"/>
      <c r="CE136" s="132"/>
      <c r="CF136" s="132"/>
      <c r="CG136" s="132"/>
      <c r="CH136" s="132"/>
      <c r="CI136" s="132"/>
      <c r="CJ136" s="132"/>
      <c r="CK136" s="132"/>
      <c r="CL136" s="132"/>
      <c r="CM136" s="132"/>
      <c r="CN136" s="132"/>
      <c r="CO136" s="132"/>
      <c r="CP136" s="132"/>
      <c r="CQ136" s="132"/>
      <c r="CR136" s="132"/>
      <c r="CS136" s="132"/>
      <c r="CT136" s="132"/>
      <c r="CU136" s="132"/>
      <c r="CV136" s="132"/>
      <c r="CW136" s="132"/>
      <c r="CX136" s="132"/>
      <c r="CY136" s="132"/>
      <c r="CZ136" s="132"/>
      <c r="DA136" s="132"/>
      <c r="DB136" s="132"/>
      <c r="DC136" s="132"/>
      <c r="DD136" s="132"/>
      <c r="DE136" s="132"/>
      <c r="DF136" s="132"/>
      <c r="DG136" s="132"/>
      <c r="DH136" s="132"/>
      <c r="DI136" s="132"/>
      <c r="DJ136" s="132"/>
      <c r="DK136" s="132"/>
      <c r="DL136" s="132"/>
      <c r="DM136" s="132"/>
      <c r="DN136" s="132"/>
      <c r="DO136" s="132"/>
      <c r="DP136" s="132"/>
      <c r="DQ136" s="132"/>
      <c r="DR136" s="132"/>
      <c r="DS136" s="132"/>
      <c r="DT136" s="132"/>
      <c r="DU136" s="132"/>
      <c r="DV136" s="132"/>
      <c r="DW136" s="132"/>
      <c r="DX136" s="132"/>
      <c r="DY136" s="132"/>
      <c r="DZ136" s="132"/>
      <c r="EA136" s="132"/>
      <c r="EB136" s="132"/>
      <c r="EC136" s="132"/>
      <c r="ED136" s="132"/>
      <c r="EE136" s="132"/>
      <c r="EF136" s="132"/>
      <c r="EG136" s="132"/>
      <c r="EH136" s="132"/>
      <c r="EI136" s="132"/>
      <c r="EJ136" s="132"/>
      <c r="EK136" s="132"/>
      <c r="EL136" s="132"/>
      <c r="EM136" s="132"/>
      <c r="EN136" s="132"/>
      <c r="EO136" s="132"/>
      <c r="EP136" s="132"/>
      <c r="EQ136" s="132"/>
      <c r="ER136" s="132"/>
      <c r="ES136" s="132"/>
      <c r="ET136" s="132"/>
      <c r="EU136" s="132"/>
      <c r="EV136" s="132"/>
      <c r="EW136" s="132"/>
      <c r="EX136" s="132"/>
      <c r="EY136" s="132"/>
      <c r="EZ136" s="132"/>
      <c r="FA136" s="132"/>
      <c r="FB136" s="132"/>
      <c r="FC136" s="132"/>
      <c r="FD136" s="132"/>
      <c r="FE136" s="132"/>
      <c r="FF136" s="132"/>
      <c r="FG136" s="132"/>
      <c r="FH136" s="132"/>
      <c r="FI136" s="132"/>
      <c r="FJ136" s="132"/>
      <c r="FK136" s="132"/>
      <c r="FL136" s="132"/>
      <c r="FM136" s="132"/>
      <c r="FN136" s="132"/>
      <c r="FO136" s="83">
        <f>[28]PI!R21</f>
        <v>614.65</v>
      </c>
      <c r="FP136" s="83">
        <f>[28]PI!S21</f>
        <v>1035</v>
      </c>
      <c r="FQ136" s="83"/>
      <c r="FR136" s="83">
        <f>[28]PI!Q21</f>
        <v>0</v>
      </c>
      <c r="FS136" s="83"/>
      <c r="FT136" s="83">
        <f>[28]PI!T21</f>
        <v>1775.4</v>
      </c>
      <c r="FU136" s="10">
        <f t="shared" si="449"/>
        <v>3425.05</v>
      </c>
      <c r="FV136" s="83">
        <f>[28]PI!V21</f>
        <v>614.65</v>
      </c>
      <c r="FW136" s="83">
        <f>[28]PI!W21</f>
        <v>1035</v>
      </c>
      <c r="FX136" s="83"/>
      <c r="FY136" s="83">
        <f>[28]PI!U21</f>
        <v>0</v>
      </c>
      <c r="FZ136" s="83"/>
      <c r="GA136" s="83">
        <f>[28]PI!X21</f>
        <v>1775.4</v>
      </c>
      <c r="GB136" s="10">
        <f t="shared" si="450"/>
        <v>3425.05</v>
      </c>
      <c r="GC136" s="146">
        <f t="shared" si="451"/>
        <v>3425.05</v>
      </c>
      <c r="GD136" s="146">
        <f t="shared" si="452"/>
        <v>3425.05</v>
      </c>
      <c r="GE136" s="218"/>
      <c r="GG136" s="36"/>
      <c r="GH136" s="36"/>
    </row>
    <row r="137" spans="1:190" s="5" customFormat="1" ht="12.75" x14ac:dyDescent="0.2">
      <c r="A137" s="252"/>
      <c r="B137" s="15" t="s">
        <v>228</v>
      </c>
      <c r="C137" s="165" t="s">
        <v>221</v>
      </c>
      <c r="D137" s="2">
        <v>45748</v>
      </c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2"/>
      <c r="AF137" s="132"/>
      <c r="AG137" s="132"/>
      <c r="AH137" s="132"/>
      <c r="AI137" s="132"/>
      <c r="AJ137" s="132"/>
      <c r="AK137" s="132"/>
      <c r="AL137" s="132"/>
      <c r="AM137" s="132"/>
      <c r="AN137" s="132"/>
      <c r="AO137" s="132"/>
      <c r="AP137" s="132"/>
      <c r="AQ137" s="132"/>
      <c r="AR137" s="132"/>
      <c r="AS137" s="132"/>
      <c r="AT137" s="132"/>
      <c r="AU137" s="132"/>
      <c r="AV137" s="132"/>
      <c r="AW137" s="132"/>
      <c r="AX137" s="132"/>
      <c r="AY137" s="132"/>
      <c r="AZ137" s="132"/>
      <c r="BA137" s="132"/>
      <c r="BB137" s="132"/>
      <c r="BC137" s="132"/>
      <c r="BD137" s="132"/>
      <c r="BE137" s="132"/>
      <c r="BF137" s="132"/>
      <c r="BG137" s="132"/>
      <c r="BH137" s="132"/>
      <c r="BI137" s="132"/>
      <c r="BJ137" s="132"/>
      <c r="BK137" s="132"/>
      <c r="BL137" s="132"/>
      <c r="BM137" s="132"/>
      <c r="BN137" s="132"/>
      <c r="BO137" s="132"/>
      <c r="BP137" s="132"/>
      <c r="BQ137" s="132"/>
      <c r="BR137" s="132"/>
      <c r="BS137" s="132"/>
      <c r="BT137" s="132"/>
      <c r="BU137" s="132"/>
      <c r="BV137" s="132"/>
      <c r="BW137" s="132"/>
      <c r="BX137" s="132"/>
      <c r="BY137" s="132"/>
      <c r="BZ137" s="132"/>
      <c r="CA137" s="132"/>
      <c r="CB137" s="132"/>
      <c r="CC137" s="132"/>
      <c r="CD137" s="132"/>
      <c r="CE137" s="132"/>
      <c r="CF137" s="132"/>
      <c r="CG137" s="132"/>
      <c r="CH137" s="132"/>
      <c r="CI137" s="132"/>
      <c r="CJ137" s="132"/>
      <c r="CK137" s="132"/>
      <c r="CL137" s="132"/>
      <c r="CM137" s="132"/>
      <c r="CN137" s="132"/>
      <c r="CO137" s="132"/>
      <c r="CP137" s="132"/>
      <c r="CQ137" s="132"/>
      <c r="CR137" s="132"/>
      <c r="CS137" s="132"/>
      <c r="CT137" s="132"/>
      <c r="CU137" s="132"/>
      <c r="CV137" s="132"/>
      <c r="CW137" s="132"/>
      <c r="CX137" s="132"/>
      <c r="CY137" s="132"/>
      <c r="CZ137" s="132"/>
      <c r="DA137" s="132"/>
      <c r="DB137" s="132"/>
      <c r="DC137" s="132"/>
      <c r="DD137" s="132"/>
      <c r="DE137" s="132"/>
      <c r="DF137" s="132"/>
      <c r="DG137" s="132"/>
      <c r="DH137" s="132"/>
      <c r="DI137" s="132"/>
      <c r="DJ137" s="132"/>
      <c r="DK137" s="132"/>
      <c r="DL137" s="132"/>
      <c r="DM137" s="132"/>
      <c r="DN137" s="132"/>
      <c r="DO137" s="132"/>
      <c r="DP137" s="132"/>
      <c r="DQ137" s="132"/>
      <c r="DR137" s="132"/>
      <c r="DS137" s="132"/>
      <c r="DT137" s="132"/>
      <c r="DU137" s="132"/>
      <c r="DV137" s="132"/>
      <c r="DW137" s="132"/>
      <c r="DX137" s="132"/>
      <c r="DY137" s="132"/>
      <c r="DZ137" s="132"/>
      <c r="EA137" s="132"/>
      <c r="EB137" s="132"/>
      <c r="EC137" s="132"/>
      <c r="ED137" s="132"/>
      <c r="EE137" s="132"/>
      <c r="EF137" s="132"/>
      <c r="EG137" s="132"/>
      <c r="EH137" s="132"/>
      <c r="EI137" s="132"/>
      <c r="EJ137" s="132"/>
      <c r="EK137" s="132"/>
      <c r="EL137" s="132"/>
      <c r="EM137" s="132"/>
      <c r="EN137" s="132"/>
      <c r="EO137" s="132"/>
      <c r="EP137" s="132"/>
      <c r="EQ137" s="132"/>
      <c r="ER137" s="132"/>
      <c r="ES137" s="132"/>
      <c r="ET137" s="132"/>
      <c r="EU137" s="132"/>
      <c r="EV137" s="132"/>
      <c r="EW137" s="132"/>
      <c r="EX137" s="132"/>
      <c r="EY137" s="132"/>
      <c r="EZ137" s="132"/>
      <c r="FA137" s="132"/>
      <c r="FB137" s="132"/>
      <c r="FC137" s="132"/>
      <c r="FD137" s="132"/>
      <c r="FE137" s="132"/>
      <c r="FF137" s="132"/>
      <c r="FG137" s="132"/>
      <c r="FH137" s="132"/>
      <c r="FI137" s="132"/>
      <c r="FJ137" s="132"/>
      <c r="FK137" s="132"/>
      <c r="FL137" s="132"/>
      <c r="FM137" s="132"/>
      <c r="FN137" s="132"/>
      <c r="FO137" s="83">
        <f>[28]PI!R22</f>
        <v>0</v>
      </c>
      <c r="FP137" s="83">
        <f>[28]PI!S22</f>
        <v>0</v>
      </c>
      <c r="FQ137" s="83"/>
      <c r="FR137" s="83">
        <f>[28]PI!Q22</f>
        <v>0</v>
      </c>
      <c r="FS137" s="83"/>
      <c r="FT137" s="83">
        <f>[28]PI!T22</f>
        <v>0</v>
      </c>
      <c r="FU137" s="10">
        <f t="shared" ref="FU137:FU140" si="453">SUM(FO137:FT137)</f>
        <v>0</v>
      </c>
      <c r="FV137" s="83">
        <f>[28]PI!V22</f>
        <v>0</v>
      </c>
      <c r="FW137" s="83">
        <f>[28]PI!W22</f>
        <v>0</v>
      </c>
      <c r="FX137" s="83"/>
      <c r="FY137" s="83">
        <f>[28]PI!U22</f>
        <v>0</v>
      </c>
      <c r="FZ137" s="83"/>
      <c r="GA137" s="83">
        <f>[28]PI!X22</f>
        <v>0</v>
      </c>
      <c r="GB137" s="10">
        <f t="shared" ref="GB137:GB140" si="454">SUM(FV137:GA137)</f>
        <v>0</v>
      </c>
      <c r="GC137" s="146">
        <f t="shared" ref="GC137:GC140" si="455">ES137+FG137+FU137</f>
        <v>0</v>
      </c>
      <c r="GD137" s="146">
        <f t="shared" ref="GD137:GD140" si="456">EZ137+FN137+GB137</f>
        <v>0</v>
      </c>
      <c r="GE137" s="218"/>
      <c r="GG137" s="36"/>
      <c r="GH137" s="36"/>
    </row>
    <row r="138" spans="1:190" s="5" customFormat="1" ht="12.75" x14ac:dyDescent="0.2">
      <c r="A138" s="252"/>
      <c r="B138" s="15" t="s">
        <v>231</v>
      </c>
      <c r="C138" s="165" t="s">
        <v>221</v>
      </c>
      <c r="D138" s="2">
        <v>45748</v>
      </c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132"/>
      <c r="X138" s="132"/>
      <c r="Y138" s="132"/>
      <c r="Z138" s="132"/>
      <c r="AA138" s="132"/>
      <c r="AB138" s="132"/>
      <c r="AC138" s="132"/>
      <c r="AD138" s="132"/>
      <c r="AE138" s="132"/>
      <c r="AF138" s="132"/>
      <c r="AG138" s="132"/>
      <c r="AH138" s="132"/>
      <c r="AI138" s="132"/>
      <c r="AJ138" s="132"/>
      <c r="AK138" s="132"/>
      <c r="AL138" s="132"/>
      <c r="AM138" s="132"/>
      <c r="AN138" s="132"/>
      <c r="AO138" s="132"/>
      <c r="AP138" s="132"/>
      <c r="AQ138" s="132"/>
      <c r="AR138" s="132"/>
      <c r="AS138" s="132"/>
      <c r="AT138" s="132"/>
      <c r="AU138" s="132"/>
      <c r="AV138" s="132"/>
      <c r="AW138" s="132"/>
      <c r="AX138" s="132"/>
      <c r="AY138" s="132"/>
      <c r="AZ138" s="132"/>
      <c r="BA138" s="132"/>
      <c r="BB138" s="132"/>
      <c r="BC138" s="132"/>
      <c r="BD138" s="132"/>
      <c r="BE138" s="132"/>
      <c r="BF138" s="132"/>
      <c r="BG138" s="132"/>
      <c r="BH138" s="132"/>
      <c r="BI138" s="132"/>
      <c r="BJ138" s="132"/>
      <c r="BK138" s="132"/>
      <c r="BL138" s="132"/>
      <c r="BM138" s="132"/>
      <c r="BN138" s="132"/>
      <c r="BO138" s="132"/>
      <c r="BP138" s="132"/>
      <c r="BQ138" s="132"/>
      <c r="BR138" s="132"/>
      <c r="BS138" s="132"/>
      <c r="BT138" s="132"/>
      <c r="BU138" s="132"/>
      <c r="BV138" s="132"/>
      <c r="BW138" s="132"/>
      <c r="BX138" s="132"/>
      <c r="BY138" s="132"/>
      <c r="BZ138" s="132"/>
      <c r="CA138" s="132"/>
      <c r="CB138" s="132"/>
      <c r="CC138" s="132"/>
      <c r="CD138" s="132"/>
      <c r="CE138" s="132"/>
      <c r="CF138" s="132"/>
      <c r="CG138" s="132"/>
      <c r="CH138" s="132"/>
      <c r="CI138" s="132"/>
      <c r="CJ138" s="132"/>
      <c r="CK138" s="132"/>
      <c r="CL138" s="132"/>
      <c r="CM138" s="132"/>
      <c r="CN138" s="132"/>
      <c r="CO138" s="132"/>
      <c r="CP138" s="132"/>
      <c r="CQ138" s="132"/>
      <c r="CR138" s="132"/>
      <c r="CS138" s="132"/>
      <c r="CT138" s="132"/>
      <c r="CU138" s="132"/>
      <c r="CV138" s="132"/>
      <c r="CW138" s="132"/>
      <c r="CX138" s="132"/>
      <c r="CY138" s="132"/>
      <c r="CZ138" s="132"/>
      <c r="DA138" s="132"/>
      <c r="DB138" s="132"/>
      <c r="DC138" s="132"/>
      <c r="DD138" s="132"/>
      <c r="DE138" s="132"/>
      <c r="DF138" s="132"/>
      <c r="DG138" s="132"/>
      <c r="DH138" s="132"/>
      <c r="DI138" s="132"/>
      <c r="DJ138" s="132"/>
      <c r="DK138" s="132"/>
      <c r="DL138" s="132"/>
      <c r="DM138" s="132"/>
      <c r="DN138" s="132"/>
      <c r="DO138" s="132"/>
      <c r="DP138" s="132"/>
      <c r="DQ138" s="132"/>
      <c r="DR138" s="132"/>
      <c r="DS138" s="132"/>
      <c r="DT138" s="132"/>
      <c r="DU138" s="132"/>
      <c r="DV138" s="132"/>
      <c r="DW138" s="132"/>
      <c r="DX138" s="132"/>
      <c r="DY138" s="132"/>
      <c r="DZ138" s="132"/>
      <c r="EA138" s="132"/>
      <c r="EB138" s="132"/>
      <c r="EC138" s="132"/>
      <c r="ED138" s="132"/>
      <c r="EE138" s="132"/>
      <c r="EF138" s="132"/>
      <c r="EG138" s="132"/>
      <c r="EH138" s="132"/>
      <c r="EI138" s="132"/>
      <c r="EJ138" s="132"/>
      <c r="EK138" s="132"/>
      <c r="EL138" s="132"/>
      <c r="EM138" s="132"/>
      <c r="EN138" s="132"/>
      <c r="EO138" s="132"/>
      <c r="EP138" s="132"/>
      <c r="EQ138" s="132"/>
      <c r="ER138" s="132"/>
      <c r="ES138" s="132"/>
      <c r="ET138" s="132"/>
      <c r="EU138" s="132"/>
      <c r="EV138" s="132"/>
      <c r="EW138" s="132"/>
      <c r="EX138" s="132"/>
      <c r="EY138" s="132"/>
      <c r="EZ138" s="132"/>
      <c r="FA138" s="132"/>
      <c r="FB138" s="132"/>
      <c r="FC138" s="132"/>
      <c r="FD138" s="132"/>
      <c r="FE138" s="132"/>
      <c r="FF138" s="132"/>
      <c r="FG138" s="132"/>
      <c r="FH138" s="132"/>
      <c r="FI138" s="132"/>
      <c r="FJ138" s="132"/>
      <c r="FK138" s="132"/>
      <c r="FL138" s="132"/>
      <c r="FM138" s="132"/>
      <c r="FN138" s="132"/>
      <c r="FO138" s="83">
        <f>[28]PI!R23</f>
        <v>94.8</v>
      </c>
      <c r="FP138" s="83">
        <f>[28]PI!S23</f>
        <v>39217.5</v>
      </c>
      <c r="FQ138" s="83"/>
      <c r="FR138" s="83">
        <f>[28]PI!Q23</f>
        <v>0.51</v>
      </c>
      <c r="FS138" s="83"/>
      <c r="FT138" s="83">
        <f>[28]PI!T23</f>
        <v>1016.03</v>
      </c>
      <c r="FU138" s="10">
        <f t="shared" si="453"/>
        <v>40328.840000000004</v>
      </c>
      <c r="FV138" s="83">
        <f>[28]PI!V23</f>
        <v>94.8</v>
      </c>
      <c r="FW138" s="83">
        <f>[28]PI!W23</f>
        <v>39217.5</v>
      </c>
      <c r="FX138" s="83"/>
      <c r="FY138" s="83">
        <f>[28]PI!U23</f>
        <v>0.51</v>
      </c>
      <c r="FZ138" s="83"/>
      <c r="GA138" s="83">
        <f>[28]PI!X23</f>
        <v>1016.03</v>
      </c>
      <c r="GB138" s="10">
        <f t="shared" si="454"/>
        <v>40328.840000000004</v>
      </c>
      <c r="GC138" s="146">
        <f t="shared" si="455"/>
        <v>40328.840000000004</v>
      </c>
      <c r="GD138" s="146">
        <f t="shared" si="456"/>
        <v>40328.840000000004</v>
      </c>
      <c r="GE138" s="218"/>
      <c r="GG138" s="36"/>
      <c r="GH138" s="36"/>
    </row>
    <row r="139" spans="1:190" s="5" customFormat="1" ht="12.75" x14ac:dyDescent="0.2">
      <c r="A139" s="252"/>
      <c r="B139" s="15" t="s">
        <v>232</v>
      </c>
      <c r="C139" s="165" t="s">
        <v>221</v>
      </c>
      <c r="D139" s="2">
        <v>45748</v>
      </c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132"/>
      <c r="X139" s="132"/>
      <c r="Y139" s="132"/>
      <c r="Z139" s="132"/>
      <c r="AA139" s="132"/>
      <c r="AB139" s="132"/>
      <c r="AC139" s="132"/>
      <c r="AD139" s="132"/>
      <c r="AE139" s="132"/>
      <c r="AF139" s="132"/>
      <c r="AG139" s="132"/>
      <c r="AH139" s="132"/>
      <c r="AI139" s="132"/>
      <c r="AJ139" s="132"/>
      <c r="AK139" s="132"/>
      <c r="AL139" s="132"/>
      <c r="AM139" s="132"/>
      <c r="AN139" s="132"/>
      <c r="AO139" s="132"/>
      <c r="AP139" s="132"/>
      <c r="AQ139" s="132"/>
      <c r="AR139" s="132"/>
      <c r="AS139" s="132"/>
      <c r="AT139" s="132"/>
      <c r="AU139" s="132"/>
      <c r="AV139" s="132"/>
      <c r="AW139" s="132"/>
      <c r="AX139" s="132"/>
      <c r="AY139" s="132"/>
      <c r="AZ139" s="132"/>
      <c r="BA139" s="132"/>
      <c r="BB139" s="132"/>
      <c r="BC139" s="132"/>
      <c r="BD139" s="132"/>
      <c r="BE139" s="132"/>
      <c r="BF139" s="132"/>
      <c r="BG139" s="132"/>
      <c r="BH139" s="132"/>
      <c r="BI139" s="132"/>
      <c r="BJ139" s="132"/>
      <c r="BK139" s="132"/>
      <c r="BL139" s="132"/>
      <c r="BM139" s="132"/>
      <c r="BN139" s="132"/>
      <c r="BO139" s="132"/>
      <c r="BP139" s="132"/>
      <c r="BQ139" s="132"/>
      <c r="BR139" s="132"/>
      <c r="BS139" s="132"/>
      <c r="BT139" s="132"/>
      <c r="BU139" s="132"/>
      <c r="BV139" s="132"/>
      <c r="BW139" s="132"/>
      <c r="BX139" s="132"/>
      <c r="BY139" s="132"/>
      <c r="BZ139" s="132"/>
      <c r="CA139" s="132"/>
      <c r="CB139" s="132"/>
      <c r="CC139" s="132"/>
      <c r="CD139" s="132"/>
      <c r="CE139" s="132"/>
      <c r="CF139" s="132"/>
      <c r="CG139" s="132"/>
      <c r="CH139" s="132"/>
      <c r="CI139" s="132"/>
      <c r="CJ139" s="132"/>
      <c r="CK139" s="132"/>
      <c r="CL139" s="132"/>
      <c r="CM139" s="132"/>
      <c r="CN139" s="132"/>
      <c r="CO139" s="132"/>
      <c r="CP139" s="132"/>
      <c r="CQ139" s="132"/>
      <c r="CR139" s="132"/>
      <c r="CS139" s="132"/>
      <c r="CT139" s="132"/>
      <c r="CU139" s="132"/>
      <c r="CV139" s="132"/>
      <c r="CW139" s="132"/>
      <c r="CX139" s="132"/>
      <c r="CY139" s="132"/>
      <c r="CZ139" s="132"/>
      <c r="DA139" s="132"/>
      <c r="DB139" s="132"/>
      <c r="DC139" s="132"/>
      <c r="DD139" s="132"/>
      <c r="DE139" s="132"/>
      <c r="DF139" s="132"/>
      <c r="DG139" s="132"/>
      <c r="DH139" s="132"/>
      <c r="DI139" s="132"/>
      <c r="DJ139" s="132"/>
      <c r="DK139" s="132"/>
      <c r="DL139" s="132"/>
      <c r="DM139" s="132"/>
      <c r="DN139" s="132"/>
      <c r="DO139" s="132"/>
      <c r="DP139" s="132"/>
      <c r="DQ139" s="132"/>
      <c r="DR139" s="132"/>
      <c r="DS139" s="132"/>
      <c r="DT139" s="132"/>
      <c r="DU139" s="132"/>
      <c r="DV139" s="132"/>
      <c r="DW139" s="132"/>
      <c r="DX139" s="132"/>
      <c r="DY139" s="132"/>
      <c r="DZ139" s="132"/>
      <c r="EA139" s="132"/>
      <c r="EB139" s="132"/>
      <c r="EC139" s="132"/>
      <c r="ED139" s="132"/>
      <c r="EE139" s="132"/>
      <c r="EF139" s="132"/>
      <c r="EG139" s="132"/>
      <c r="EH139" s="132"/>
      <c r="EI139" s="132"/>
      <c r="EJ139" s="132"/>
      <c r="EK139" s="132"/>
      <c r="EL139" s="132"/>
      <c r="EM139" s="132"/>
      <c r="EN139" s="132"/>
      <c r="EO139" s="132"/>
      <c r="EP139" s="132"/>
      <c r="EQ139" s="132"/>
      <c r="ER139" s="132"/>
      <c r="ES139" s="132"/>
      <c r="ET139" s="132"/>
      <c r="EU139" s="132"/>
      <c r="EV139" s="132"/>
      <c r="EW139" s="132"/>
      <c r="EX139" s="132"/>
      <c r="EY139" s="132"/>
      <c r="EZ139" s="132"/>
      <c r="FA139" s="132"/>
      <c r="FB139" s="132"/>
      <c r="FC139" s="132"/>
      <c r="FD139" s="132"/>
      <c r="FE139" s="132"/>
      <c r="FF139" s="132"/>
      <c r="FG139" s="132"/>
      <c r="FH139" s="132"/>
      <c r="FI139" s="132"/>
      <c r="FJ139" s="132"/>
      <c r="FK139" s="132"/>
      <c r="FL139" s="132"/>
      <c r="FM139" s="132"/>
      <c r="FN139" s="132"/>
      <c r="FO139" s="83">
        <f>[28]PI!R24</f>
        <v>0</v>
      </c>
      <c r="FP139" s="83">
        <f>[28]PI!S24</f>
        <v>0</v>
      </c>
      <c r="FQ139" s="83"/>
      <c r="FR139" s="83">
        <f>[28]PI!Q24</f>
        <v>0</v>
      </c>
      <c r="FS139" s="83"/>
      <c r="FT139" s="83">
        <f>[28]PI!T24</f>
        <v>18</v>
      </c>
      <c r="FU139" s="10">
        <f t="shared" si="453"/>
        <v>18</v>
      </c>
      <c r="FV139" s="83">
        <f>[28]PI!V24</f>
        <v>0</v>
      </c>
      <c r="FW139" s="83">
        <f>[28]PI!W24</f>
        <v>0</v>
      </c>
      <c r="FX139" s="83"/>
      <c r="FY139" s="83">
        <f>[28]PI!U24</f>
        <v>0</v>
      </c>
      <c r="FZ139" s="83"/>
      <c r="GA139" s="83">
        <f>[28]PI!X24</f>
        <v>18</v>
      </c>
      <c r="GB139" s="10">
        <f t="shared" si="454"/>
        <v>18</v>
      </c>
      <c r="GC139" s="146">
        <f t="shared" si="455"/>
        <v>18</v>
      </c>
      <c r="GD139" s="146">
        <f t="shared" si="456"/>
        <v>18</v>
      </c>
      <c r="GE139" s="218"/>
      <c r="GG139" s="36"/>
      <c r="GH139" s="36"/>
    </row>
    <row r="140" spans="1:190" s="5" customFormat="1" ht="12.75" x14ac:dyDescent="0.2">
      <c r="A140" s="252"/>
      <c r="B140" s="15" t="s">
        <v>233</v>
      </c>
      <c r="C140" s="165" t="s">
        <v>221</v>
      </c>
      <c r="D140" s="2">
        <v>45748</v>
      </c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132"/>
      <c r="AG140" s="132"/>
      <c r="AH140" s="132"/>
      <c r="AI140" s="132"/>
      <c r="AJ140" s="132"/>
      <c r="AK140" s="132"/>
      <c r="AL140" s="132"/>
      <c r="AM140" s="132"/>
      <c r="AN140" s="132"/>
      <c r="AO140" s="132"/>
      <c r="AP140" s="132"/>
      <c r="AQ140" s="132"/>
      <c r="AR140" s="132"/>
      <c r="AS140" s="132"/>
      <c r="AT140" s="132"/>
      <c r="AU140" s="132"/>
      <c r="AV140" s="132"/>
      <c r="AW140" s="132"/>
      <c r="AX140" s="132"/>
      <c r="AY140" s="132"/>
      <c r="AZ140" s="132"/>
      <c r="BA140" s="132"/>
      <c r="BB140" s="132"/>
      <c r="BC140" s="132"/>
      <c r="BD140" s="132"/>
      <c r="BE140" s="132"/>
      <c r="BF140" s="132"/>
      <c r="BG140" s="132"/>
      <c r="BH140" s="132"/>
      <c r="BI140" s="132"/>
      <c r="BJ140" s="132"/>
      <c r="BK140" s="132"/>
      <c r="BL140" s="132"/>
      <c r="BM140" s="132"/>
      <c r="BN140" s="132"/>
      <c r="BO140" s="132"/>
      <c r="BP140" s="132"/>
      <c r="BQ140" s="132"/>
      <c r="BR140" s="132"/>
      <c r="BS140" s="132"/>
      <c r="BT140" s="132"/>
      <c r="BU140" s="132"/>
      <c r="BV140" s="132"/>
      <c r="BW140" s="132"/>
      <c r="BX140" s="132"/>
      <c r="BY140" s="132"/>
      <c r="BZ140" s="132"/>
      <c r="CA140" s="132"/>
      <c r="CB140" s="132"/>
      <c r="CC140" s="132"/>
      <c r="CD140" s="132"/>
      <c r="CE140" s="132"/>
      <c r="CF140" s="132"/>
      <c r="CG140" s="132"/>
      <c r="CH140" s="132"/>
      <c r="CI140" s="132"/>
      <c r="CJ140" s="132"/>
      <c r="CK140" s="132"/>
      <c r="CL140" s="132"/>
      <c r="CM140" s="132"/>
      <c r="CN140" s="132"/>
      <c r="CO140" s="132"/>
      <c r="CP140" s="132"/>
      <c r="CQ140" s="132"/>
      <c r="CR140" s="132"/>
      <c r="CS140" s="132"/>
      <c r="CT140" s="132"/>
      <c r="CU140" s="132"/>
      <c r="CV140" s="132"/>
      <c r="CW140" s="132"/>
      <c r="CX140" s="132"/>
      <c r="CY140" s="132"/>
      <c r="CZ140" s="132"/>
      <c r="DA140" s="132"/>
      <c r="DB140" s="132"/>
      <c r="DC140" s="132"/>
      <c r="DD140" s="132"/>
      <c r="DE140" s="132"/>
      <c r="DF140" s="132"/>
      <c r="DG140" s="132"/>
      <c r="DH140" s="132"/>
      <c r="DI140" s="132"/>
      <c r="DJ140" s="132"/>
      <c r="DK140" s="132"/>
      <c r="DL140" s="132"/>
      <c r="DM140" s="132"/>
      <c r="DN140" s="132"/>
      <c r="DO140" s="132"/>
      <c r="DP140" s="132"/>
      <c r="DQ140" s="132"/>
      <c r="DR140" s="132"/>
      <c r="DS140" s="132"/>
      <c r="DT140" s="132"/>
      <c r="DU140" s="132"/>
      <c r="DV140" s="132"/>
      <c r="DW140" s="132"/>
      <c r="DX140" s="132"/>
      <c r="DY140" s="132"/>
      <c r="DZ140" s="132"/>
      <c r="EA140" s="132"/>
      <c r="EB140" s="132"/>
      <c r="EC140" s="132"/>
      <c r="ED140" s="132"/>
      <c r="EE140" s="132"/>
      <c r="EF140" s="132"/>
      <c r="EG140" s="132"/>
      <c r="EH140" s="132"/>
      <c r="EI140" s="132"/>
      <c r="EJ140" s="132"/>
      <c r="EK140" s="132"/>
      <c r="EL140" s="132"/>
      <c r="EM140" s="132"/>
      <c r="EN140" s="132"/>
      <c r="EO140" s="132"/>
      <c r="EP140" s="132"/>
      <c r="EQ140" s="132"/>
      <c r="ER140" s="132"/>
      <c r="ES140" s="132"/>
      <c r="ET140" s="132"/>
      <c r="EU140" s="132"/>
      <c r="EV140" s="132"/>
      <c r="EW140" s="132"/>
      <c r="EX140" s="132"/>
      <c r="EY140" s="132"/>
      <c r="EZ140" s="132"/>
      <c r="FA140" s="132"/>
      <c r="FB140" s="132"/>
      <c r="FC140" s="132"/>
      <c r="FD140" s="132"/>
      <c r="FE140" s="132"/>
      <c r="FF140" s="132"/>
      <c r="FG140" s="132"/>
      <c r="FH140" s="132"/>
      <c r="FI140" s="132"/>
      <c r="FJ140" s="132"/>
      <c r="FK140" s="132"/>
      <c r="FL140" s="132"/>
      <c r="FM140" s="132"/>
      <c r="FN140" s="132"/>
      <c r="FO140" s="83">
        <f>[28]PI!R25</f>
        <v>0</v>
      </c>
      <c r="FP140" s="83">
        <f>[28]PI!S25</f>
        <v>4916</v>
      </c>
      <c r="FQ140" s="83"/>
      <c r="FR140" s="83">
        <f>[28]PI!Q25</f>
        <v>0</v>
      </c>
      <c r="FS140" s="83"/>
      <c r="FT140" s="83">
        <f>[28]PI!T25</f>
        <v>0</v>
      </c>
      <c r="FU140" s="10">
        <f t="shared" si="453"/>
        <v>4916</v>
      </c>
      <c r="FV140" s="83">
        <f>[28]PI!V25</f>
        <v>0</v>
      </c>
      <c r="FW140" s="83">
        <f>[28]PI!W25</f>
        <v>4916</v>
      </c>
      <c r="FX140" s="83"/>
      <c r="FY140" s="83">
        <f>[28]PI!U25</f>
        <v>0</v>
      </c>
      <c r="FZ140" s="83"/>
      <c r="GA140" s="83">
        <f>[28]PI!X25</f>
        <v>0</v>
      </c>
      <c r="GB140" s="10">
        <f t="shared" si="454"/>
        <v>4916</v>
      </c>
      <c r="GC140" s="146">
        <f t="shared" si="455"/>
        <v>4916</v>
      </c>
      <c r="GD140" s="146">
        <f t="shared" si="456"/>
        <v>4916</v>
      </c>
      <c r="GE140" s="219"/>
      <c r="GG140" s="36"/>
      <c r="GH140" s="36"/>
    </row>
    <row r="141" spans="1:190" s="5" customFormat="1" ht="12.75" x14ac:dyDescent="0.2">
      <c r="A141" s="252"/>
      <c r="B141" s="249" t="s">
        <v>222</v>
      </c>
      <c r="C141" s="250"/>
      <c r="D141" s="250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  <c r="O141" s="166"/>
      <c r="P141" s="166"/>
      <c r="Q141" s="166"/>
      <c r="R141" s="166"/>
      <c r="S141" s="166"/>
      <c r="T141" s="166"/>
      <c r="U141" s="166"/>
      <c r="V141" s="166"/>
      <c r="W141" s="166"/>
      <c r="X141" s="166"/>
      <c r="Y141" s="166"/>
      <c r="Z141" s="166"/>
      <c r="AA141" s="166"/>
      <c r="AB141" s="166"/>
      <c r="AC141" s="166"/>
      <c r="AD141" s="166"/>
      <c r="AE141" s="166"/>
      <c r="AF141" s="166"/>
      <c r="AG141" s="166"/>
      <c r="AH141" s="166"/>
      <c r="AI141" s="166"/>
      <c r="AJ141" s="166"/>
      <c r="AK141" s="166"/>
      <c r="AL141" s="166"/>
      <c r="AM141" s="166"/>
      <c r="AN141" s="166"/>
      <c r="AO141" s="166"/>
      <c r="AP141" s="166"/>
      <c r="AQ141" s="166"/>
      <c r="AR141" s="166"/>
      <c r="AS141" s="166"/>
      <c r="AT141" s="166"/>
      <c r="AU141" s="166"/>
      <c r="AV141" s="166"/>
      <c r="AW141" s="166"/>
      <c r="AX141" s="166"/>
      <c r="AY141" s="166"/>
      <c r="AZ141" s="166"/>
      <c r="BA141" s="166"/>
      <c r="BB141" s="166"/>
      <c r="BC141" s="166"/>
      <c r="BD141" s="166"/>
      <c r="BE141" s="166"/>
      <c r="BF141" s="166"/>
      <c r="BG141" s="166"/>
      <c r="BH141" s="166"/>
      <c r="BI141" s="166"/>
      <c r="BJ141" s="166"/>
      <c r="BK141" s="166"/>
      <c r="BL141" s="166"/>
      <c r="BM141" s="166"/>
      <c r="BN141" s="166"/>
      <c r="BO141" s="166"/>
      <c r="BP141" s="166"/>
      <c r="BQ141" s="166"/>
      <c r="BR141" s="166"/>
      <c r="BS141" s="166"/>
      <c r="BT141" s="166"/>
      <c r="BU141" s="166"/>
      <c r="BV141" s="166"/>
      <c r="BW141" s="166"/>
      <c r="BX141" s="166"/>
      <c r="BY141" s="166"/>
      <c r="BZ141" s="166"/>
      <c r="CA141" s="166"/>
      <c r="CB141" s="166"/>
      <c r="CC141" s="166"/>
      <c r="CD141" s="166"/>
      <c r="CE141" s="166"/>
      <c r="CF141" s="166"/>
      <c r="CG141" s="166"/>
      <c r="CH141" s="166"/>
      <c r="CI141" s="166"/>
      <c r="CJ141" s="166"/>
      <c r="CK141" s="166"/>
      <c r="CL141" s="166"/>
      <c r="CM141" s="166"/>
      <c r="CN141" s="166"/>
      <c r="CO141" s="166"/>
      <c r="CP141" s="166"/>
      <c r="CQ141" s="166"/>
      <c r="CR141" s="166"/>
      <c r="CS141" s="166"/>
      <c r="CT141" s="166"/>
      <c r="CU141" s="166"/>
      <c r="CV141" s="166"/>
      <c r="CW141" s="166"/>
      <c r="CX141" s="166"/>
      <c r="CY141" s="166"/>
      <c r="CZ141" s="166"/>
      <c r="DA141" s="166"/>
      <c r="DB141" s="166"/>
      <c r="DC141" s="166"/>
      <c r="DD141" s="166"/>
      <c r="DE141" s="166"/>
      <c r="DF141" s="166"/>
      <c r="DG141" s="166"/>
      <c r="DH141" s="166"/>
      <c r="DI141" s="166"/>
      <c r="DJ141" s="166"/>
      <c r="DK141" s="166"/>
      <c r="DL141" s="166"/>
      <c r="DM141" s="166"/>
      <c r="DN141" s="166"/>
      <c r="DO141" s="166"/>
      <c r="DP141" s="166"/>
      <c r="DQ141" s="166"/>
      <c r="DR141" s="166"/>
      <c r="DS141" s="166"/>
      <c r="DT141" s="166"/>
      <c r="DU141" s="166"/>
      <c r="DV141" s="166"/>
      <c r="DW141" s="166"/>
      <c r="DX141" s="166"/>
      <c r="DY141" s="166"/>
      <c r="DZ141" s="166"/>
      <c r="EA141" s="166"/>
      <c r="EB141" s="166"/>
      <c r="EC141" s="166"/>
      <c r="ED141" s="166"/>
      <c r="EE141" s="166"/>
      <c r="EF141" s="166"/>
      <c r="EG141" s="166"/>
      <c r="EH141" s="166"/>
      <c r="EI141" s="166"/>
      <c r="EJ141" s="166"/>
      <c r="EK141" s="166"/>
      <c r="EL141" s="166"/>
      <c r="EM141" s="166">
        <f>EM129</f>
        <v>0</v>
      </c>
      <c r="EN141" s="166">
        <f t="shared" ref="EN141:ER141" si="457">EN129</f>
        <v>0</v>
      </c>
      <c r="EO141" s="166">
        <f t="shared" si="457"/>
        <v>0</v>
      </c>
      <c r="EP141" s="166">
        <f t="shared" si="457"/>
        <v>0</v>
      </c>
      <c r="EQ141" s="166">
        <f t="shared" si="457"/>
        <v>0</v>
      </c>
      <c r="ER141" s="166">
        <f t="shared" si="457"/>
        <v>0</v>
      </c>
      <c r="ES141" s="166"/>
      <c r="ET141" s="166"/>
      <c r="EU141" s="166"/>
      <c r="EV141" s="166"/>
      <c r="EW141" s="166"/>
      <c r="EX141" s="166"/>
      <c r="EY141" s="166"/>
      <c r="EZ141" s="166"/>
      <c r="FA141" s="166"/>
      <c r="FB141" s="166"/>
      <c r="FC141" s="166"/>
      <c r="FD141" s="166"/>
      <c r="FE141" s="166"/>
      <c r="FF141" s="166"/>
      <c r="FG141" s="166"/>
      <c r="FH141" s="166"/>
      <c r="FI141" s="166"/>
      <c r="FJ141" s="166"/>
      <c r="FK141" s="166"/>
      <c r="FL141" s="166"/>
      <c r="FM141" s="166"/>
      <c r="FN141" s="166"/>
      <c r="FO141" s="166">
        <f>SUM(FO129:FO140)</f>
        <v>5967.05</v>
      </c>
      <c r="FP141" s="166">
        <f t="shared" ref="FP141:GD141" si="458">SUM(FP129:FP140)</f>
        <v>58431.55</v>
      </c>
      <c r="FQ141" s="166">
        <f t="shared" si="458"/>
        <v>0</v>
      </c>
      <c r="FR141" s="166">
        <f t="shared" si="458"/>
        <v>84.850000000000009</v>
      </c>
      <c r="FS141" s="166">
        <f t="shared" si="458"/>
        <v>0</v>
      </c>
      <c r="FT141" s="166">
        <f t="shared" si="458"/>
        <v>3732.38</v>
      </c>
      <c r="FU141" s="166">
        <f t="shared" si="458"/>
        <v>68215.83</v>
      </c>
      <c r="FV141" s="166">
        <f t="shared" si="458"/>
        <v>5967.05</v>
      </c>
      <c r="FW141" s="166">
        <f t="shared" si="458"/>
        <v>58431.55</v>
      </c>
      <c r="FX141" s="166">
        <f t="shared" si="458"/>
        <v>0</v>
      </c>
      <c r="FY141" s="166">
        <f t="shared" si="458"/>
        <v>84.850000000000009</v>
      </c>
      <c r="FZ141" s="166">
        <f t="shared" si="458"/>
        <v>0</v>
      </c>
      <c r="GA141" s="166">
        <f t="shared" si="458"/>
        <v>3732.38</v>
      </c>
      <c r="GB141" s="166">
        <f t="shared" si="458"/>
        <v>68215.83</v>
      </c>
      <c r="GC141" s="166">
        <f t="shared" si="458"/>
        <v>68215.83</v>
      </c>
      <c r="GD141" s="166">
        <f t="shared" si="458"/>
        <v>68215.83</v>
      </c>
      <c r="GE141" s="167"/>
      <c r="GG141" s="36"/>
      <c r="GH141" s="36"/>
    </row>
    <row r="142" spans="1:190" s="5" customFormat="1" ht="51" x14ac:dyDescent="0.2">
      <c r="A142" s="261" t="s">
        <v>234</v>
      </c>
      <c r="B142" s="15" t="s">
        <v>237</v>
      </c>
      <c r="C142" s="165" t="s">
        <v>236</v>
      </c>
      <c r="D142" s="2">
        <v>45383</v>
      </c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  <c r="AP142" s="50"/>
      <c r="AQ142" s="50"/>
      <c r="AR142" s="50"/>
      <c r="AS142" s="50"/>
      <c r="AT142" s="50"/>
      <c r="AU142" s="50"/>
      <c r="AV142" s="50"/>
      <c r="AW142" s="50"/>
      <c r="AX142" s="50"/>
      <c r="AY142" s="50"/>
      <c r="AZ142" s="50"/>
      <c r="BA142" s="50"/>
      <c r="BB142" s="50"/>
      <c r="BC142" s="50"/>
      <c r="BD142" s="50"/>
      <c r="BE142" s="50"/>
      <c r="BF142" s="50"/>
      <c r="BG142" s="50"/>
      <c r="BH142" s="50"/>
      <c r="BI142" s="50"/>
      <c r="BJ142" s="50"/>
      <c r="BK142" s="50"/>
      <c r="BL142" s="50"/>
      <c r="BM142" s="50"/>
      <c r="BN142" s="50"/>
      <c r="BO142" s="50"/>
      <c r="BP142" s="50"/>
      <c r="BQ142" s="50"/>
      <c r="BR142" s="50"/>
      <c r="BS142" s="50"/>
      <c r="BT142" s="50"/>
      <c r="BU142" s="50"/>
      <c r="BV142" s="50"/>
      <c r="BW142" s="50"/>
      <c r="BX142" s="50"/>
      <c r="BY142" s="50"/>
      <c r="BZ142" s="50"/>
      <c r="CA142" s="50"/>
      <c r="CB142" s="50"/>
      <c r="CC142" s="50"/>
      <c r="CD142" s="50"/>
      <c r="CE142" s="50"/>
      <c r="CF142" s="50"/>
      <c r="CG142" s="50"/>
      <c r="CH142" s="50"/>
      <c r="CI142" s="50"/>
      <c r="CJ142" s="50"/>
      <c r="CK142" s="50"/>
      <c r="CL142" s="50"/>
      <c r="CM142" s="50"/>
      <c r="CN142" s="50"/>
      <c r="CO142" s="50"/>
      <c r="CP142" s="50"/>
      <c r="CQ142" s="50"/>
      <c r="CR142" s="50"/>
      <c r="CS142" s="50"/>
      <c r="CT142" s="50"/>
      <c r="CU142" s="50"/>
      <c r="CV142" s="50"/>
      <c r="CW142" s="50"/>
      <c r="CX142" s="50"/>
      <c r="CY142" s="50"/>
      <c r="CZ142" s="50"/>
      <c r="DA142" s="50"/>
      <c r="DB142" s="50"/>
      <c r="DC142" s="50"/>
      <c r="DD142" s="50"/>
      <c r="DE142" s="50"/>
      <c r="DF142" s="50"/>
      <c r="DG142" s="50"/>
      <c r="DH142" s="50"/>
      <c r="DI142" s="50"/>
      <c r="DJ142" s="50"/>
      <c r="DK142" s="50"/>
      <c r="DL142" s="50"/>
      <c r="DM142" s="50"/>
      <c r="DN142" s="50"/>
      <c r="DO142" s="50"/>
      <c r="DP142" s="50"/>
      <c r="DQ142" s="50"/>
      <c r="DR142" s="50"/>
      <c r="DS142" s="50"/>
      <c r="DT142" s="50"/>
      <c r="DU142" s="50"/>
      <c r="DV142" s="50"/>
      <c r="DW142" s="50"/>
      <c r="DX142" s="50"/>
      <c r="DY142" s="50"/>
      <c r="DZ142" s="50"/>
      <c r="EA142" s="50"/>
      <c r="EB142" s="50"/>
      <c r="EC142" s="50"/>
      <c r="ED142" s="50"/>
      <c r="EE142" s="50"/>
      <c r="EF142" s="50"/>
      <c r="EG142" s="50"/>
      <c r="EH142" s="50"/>
      <c r="EI142" s="50"/>
      <c r="EJ142" s="50"/>
      <c r="EK142" s="50"/>
      <c r="EL142" s="50"/>
      <c r="EM142" s="50"/>
      <c r="EN142" s="50"/>
      <c r="EO142" s="50"/>
      <c r="EP142" s="50"/>
      <c r="EQ142" s="50"/>
      <c r="ER142" s="50"/>
      <c r="ES142" s="50"/>
      <c r="ET142" s="50"/>
      <c r="EU142" s="50"/>
      <c r="EV142" s="50"/>
      <c r="EW142" s="50"/>
      <c r="EX142" s="50"/>
      <c r="EY142" s="50"/>
      <c r="EZ142" s="50"/>
      <c r="FA142" s="50"/>
      <c r="FB142" s="50"/>
      <c r="FC142" s="50"/>
      <c r="FD142" s="50"/>
      <c r="FE142" s="50"/>
      <c r="FF142" s="50"/>
      <c r="FG142" s="50"/>
      <c r="FH142" s="50"/>
      <c r="FI142" s="50"/>
      <c r="FJ142" s="50"/>
      <c r="FK142" s="50"/>
      <c r="FL142" s="50"/>
      <c r="FM142" s="50"/>
      <c r="FN142" s="50"/>
      <c r="FO142" s="186">
        <f>[44]reg_cobranca_bacia_estadual_a!$R$14</f>
        <v>3218789.76</v>
      </c>
      <c r="FP142" s="186">
        <f>[44]reg_cobranca_bacia_estadual_a!$S$14</f>
        <v>1332181.0900000001</v>
      </c>
      <c r="FQ142" s="186"/>
      <c r="FR142" s="186">
        <f>[44]reg_cobranca_bacia_estadual_a!$Q$14</f>
        <v>891993.16</v>
      </c>
      <c r="FS142" s="186"/>
      <c r="FT142" s="186">
        <f>[44]reg_cobranca_bacia_estadual_a!$T$14</f>
        <v>262663.55</v>
      </c>
      <c r="FU142" s="185">
        <f>SUM(FO142:FT142)</f>
        <v>5705627.5599999996</v>
      </c>
      <c r="FV142" s="186">
        <f>[44]reg_cobranca_bacia_estadual_a!$V$14</f>
        <v>60222.2</v>
      </c>
      <c r="FW142" s="186">
        <f>[44]reg_cobranca_bacia_estadual_a!$W$14</f>
        <v>402375.97</v>
      </c>
      <c r="FX142" s="186"/>
      <c r="FY142" s="186">
        <f>[44]reg_cobranca_bacia_estadual_a!$U$14</f>
        <v>118222.2</v>
      </c>
      <c r="FZ142" s="186"/>
      <c r="GA142" s="186">
        <f>[44]reg_cobranca_bacia_estadual_a!$X$14</f>
        <v>43965.78</v>
      </c>
      <c r="GB142" s="185">
        <f t="shared" ref="GB142" si="459">SUM(FV142:GA142)</f>
        <v>624786.15</v>
      </c>
      <c r="GC142" s="187">
        <f>FU142</f>
        <v>5705627.5599999996</v>
      </c>
      <c r="GD142" s="187">
        <f>GB142</f>
        <v>624786.15</v>
      </c>
      <c r="GE142" s="181"/>
      <c r="GG142" s="36"/>
      <c r="GH142" s="36"/>
    </row>
    <row r="143" spans="1:190" s="5" customFormat="1" ht="12.75" x14ac:dyDescent="0.2">
      <c r="A143" s="262"/>
      <c r="B143" s="259" t="s">
        <v>235</v>
      </c>
      <c r="C143" s="260"/>
      <c r="D143" s="260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7"/>
      <c r="CL143" s="57"/>
      <c r="CM143" s="57"/>
      <c r="CN143" s="57"/>
      <c r="CO143" s="57"/>
      <c r="CP143" s="57"/>
      <c r="CQ143" s="57"/>
      <c r="CR143" s="57"/>
      <c r="CS143" s="57"/>
      <c r="CT143" s="57"/>
      <c r="CU143" s="57"/>
      <c r="CV143" s="57"/>
      <c r="CW143" s="57"/>
      <c r="CX143" s="57"/>
      <c r="CY143" s="57"/>
      <c r="CZ143" s="57"/>
      <c r="DA143" s="57"/>
      <c r="DB143" s="57"/>
      <c r="DC143" s="57"/>
      <c r="DD143" s="57"/>
      <c r="DE143" s="57"/>
      <c r="DF143" s="57"/>
      <c r="DG143" s="57"/>
      <c r="DH143" s="57"/>
      <c r="DI143" s="57"/>
      <c r="DJ143" s="57"/>
      <c r="DK143" s="57"/>
      <c r="DL143" s="57"/>
      <c r="DM143" s="57"/>
      <c r="DN143" s="57"/>
      <c r="DO143" s="57"/>
      <c r="DP143" s="57"/>
      <c r="DQ143" s="57"/>
      <c r="DR143" s="57"/>
      <c r="DS143" s="57"/>
      <c r="DT143" s="57"/>
      <c r="DU143" s="57"/>
      <c r="DV143" s="57"/>
      <c r="DW143" s="57"/>
      <c r="DX143" s="57"/>
      <c r="DY143" s="57"/>
      <c r="DZ143" s="57"/>
      <c r="EA143" s="57"/>
      <c r="EB143" s="57"/>
      <c r="EC143" s="57"/>
      <c r="ED143" s="57"/>
      <c r="EE143" s="57"/>
      <c r="EF143" s="57"/>
      <c r="EG143" s="57"/>
      <c r="EH143" s="57"/>
      <c r="EI143" s="57"/>
      <c r="EJ143" s="57"/>
      <c r="EK143" s="57"/>
      <c r="EL143" s="57"/>
      <c r="EM143" s="57"/>
      <c r="EN143" s="57"/>
      <c r="EO143" s="57"/>
      <c r="EP143" s="57"/>
      <c r="EQ143" s="57"/>
      <c r="ER143" s="57"/>
      <c r="ES143" s="57"/>
      <c r="ET143" s="57"/>
      <c r="EU143" s="57"/>
      <c r="EV143" s="57"/>
      <c r="EW143" s="57"/>
      <c r="EX143" s="57"/>
      <c r="EY143" s="57"/>
      <c r="EZ143" s="57"/>
      <c r="FA143" s="57"/>
      <c r="FB143" s="57"/>
      <c r="FC143" s="57"/>
      <c r="FD143" s="57"/>
      <c r="FE143" s="57"/>
      <c r="FF143" s="57"/>
      <c r="FG143" s="57"/>
      <c r="FH143" s="57"/>
      <c r="FI143" s="57"/>
      <c r="FJ143" s="57"/>
      <c r="FK143" s="57"/>
      <c r="FL143" s="57"/>
      <c r="FM143" s="57"/>
      <c r="FN143" s="57"/>
      <c r="FO143" s="57">
        <f t="shared" ref="FO143:GD143" si="460">SUM(FO142:FO142)</f>
        <v>3218789.76</v>
      </c>
      <c r="FP143" s="57">
        <f t="shared" si="460"/>
        <v>1332181.0900000001</v>
      </c>
      <c r="FQ143" s="57">
        <f t="shared" si="460"/>
        <v>0</v>
      </c>
      <c r="FR143" s="57">
        <f t="shared" si="460"/>
        <v>891993.16</v>
      </c>
      <c r="FS143" s="57">
        <f t="shared" si="460"/>
        <v>0</v>
      </c>
      <c r="FT143" s="57">
        <f t="shared" si="460"/>
        <v>262663.55</v>
      </c>
      <c r="FU143" s="57">
        <f t="shared" si="460"/>
        <v>5705627.5599999996</v>
      </c>
      <c r="FV143" s="57">
        <f t="shared" si="460"/>
        <v>60222.2</v>
      </c>
      <c r="FW143" s="57">
        <f t="shared" si="460"/>
        <v>402375.97</v>
      </c>
      <c r="FX143" s="57">
        <f t="shared" si="460"/>
        <v>0</v>
      </c>
      <c r="FY143" s="57">
        <f t="shared" si="460"/>
        <v>118222.2</v>
      </c>
      <c r="FZ143" s="57">
        <f t="shared" si="460"/>
        <v>0</v>
      </c>
      <c r="GA143" s="57">
        <f t="shared" si="460"/>
        <v>43965.78</v>
      </c>
      <c r="GB143" s="57">
        <f t="shared" si="460"/>
        <v>624786.15</v>
      </c>
      <c r="GC143" s="57">
        <f t="shared" si="460"/>
        <v>5705627.5599999996</v>
      </c>
      <c r="GD143" s="57">
        <f t="shared" si="460"/>
        <v>624786.15</v>
      </c>
      <c r="GE143" s="81"/>
      <c r="GG143" s="36"/>
      <c r="GH143" s="36"/>
    </row>
    <row r="144" spans="1:190" x14ac:dyDescent="0.25">
      <c r="A144" s="268" t="s">
        <v>119</v>
      </c>
      <c r="B144" s="269"/>
      <c r="C144" s="269"/>
      <c r="D144" s="270"/>
      <c r="E144" s="23">
        <f t="shared" ref="E144:AJ144" si="461">E12+E27+E38+E60+E98+E100+E107+E110+E117+E121+E128+E141+E143</f>
        <v>268410</v>
      </c>
      <c r="F144" s="23">
        <f t="shared" si="461"/>
        <v>268410</v>
      </c>
      <c r="G144" s="23">
        <f t="shared" si="461"/>
        <v>2470181.7799999998</v>
      </c>
      <c r="H144" s="23">
        <f t="shared" si="461"/>
        <v>2214215.56</v>
      </c>
      <c r="I144" s="23">
        <f t="shared" si="461"/>
        <v>3519212.05</v>
      </c>
      <c r="J144" s="23">
        <f t="shared" si="461"/>
        <v>3511912.83</v>
      </c>
      <c r="K144" s="23">
        <f t="shared" si="461"/>
        <v>5066229.42</v>
      </c>
      <c r="L144" s="23">
        <f t="shared" si="461"/>
        <v>4731586.53</v>
      </c>
      <c r="M144" s="23">
        <f t="shared" si="461"/>
        <v>7752867.96</v>
      </c>
      <c r="N144" s="23">
        <f t="shared" si="461"/>
        <v>6276712.0999999996</v>
      </c>
      <c r="O144" s="23">
        <f t="shared" si="461"/>
        <v>9707824.8599999994</v>
      </c>
      <c r="P144" s="23">
        <f t="shared" si="461"/>
        <v>7952960.5700000003</v>
      </c>
      <c r="Q144" s="23">
        <f t="shared" si="461"/>
        <v>10032037.59</v>
      </c>
      <c r="R144" s="23">
        <f t="shared" si="461"/>
        <v>10649416.25</v>
      </c>
      <c r="S144" s="23">
        <f t="shared" si="461"/>
        <v>20411828.27</v>
      </c>
      <c r="T144" s="23">
        <f t="shared" si="461"/>
        <v>14194776.600000001</v>
      </c>
      <c r="U144" s="23">
        <f t="shared" si="461"/>
        <v>29538670.359999999</v>
      </c>
      <c r="V144" s="23">
        <f t="shared" si="461"/>
        <v>25676951.75</v>
      </c>
      <c r="W144" s="23">
        <f t="shared" si="461"/>
        <v>32499813.77</v>
      </c>
      <c r="X144" s="23">
        <f t="shared" si="461"/>
        <v>27302175.109999999</v>
      </c>
      <c r="Y144" s="23">
        <f t="shared" si="461"/>
        <v>48984957.909999996</v>
      </c>
      <c r="Z144" s="23">
        <f t="shared" si="461"/>
        <v>41959744.629999995</v>
      </c>
      <c r="AA144" s="23">
        <f t="shared" si="461"/>
        <v>64203430.170000002</v>
      </c>
      <c r="AB144" s="23">
        <f t="shared" si="461"/>
        <v>69867017.929999992</v>
      </c>
      <c r="AC144" s="23">
        <f t="shared" si="461"/>
        <v>102893052.92000002</v>
      </c>
      <c r="AD144" s="23">
        <f t="shared" si="461"/>
        <v>74841710.86999996</v>
      </c>
      <c r="AE144" s="23">
        <f t="shared" si="461"/>
        <v>115291617.55000001</v>
      </c>
      <c r="AF144" s="23">
        <f t="shared" si="461"/>
        <v>87108814.870000005</v>
      </c>
      <c r="AG144" s="23">
        <f t="shared" si="461"/>
        <v>149909601.23000002</v>
      </c>
      <c r="AH144" s="23">
        <f t="shared" si="461"/>
        <v>145905667.86000001</v>
      </c>
      <c r="AI144" s="23">
        <f t="shared" si="461"/>
        <v>168802750.80000004</v>
      </c>
      <c r="AJ144" s="23">
        <f t="shared" si="461"/>
        <v>176796196.03999999</v>
      </c>
      <c r="AK144" s="23">
        <f t="shared" ref="AK144:BP144" si="462">AK12+AK27+AK38+AK60+AK98+AK100+AK107+AK110+AK117+AK121+AK128+AK141+AK143</f>
        <v>209107863.74360001</v>
      </c>
      <c r="AL144" s="23">
        <f t="shared" si="462"/>
        <v>196978548.34000003</v>
      </c>
      <c r="AM144" s="23">
        <f t="shared" si="462"/>
        <v>238776376.58000004</v>
      </c>
      <c r="AN144" s="23">
        <f t="shared" si="462"/>
        <v>220670400.01000002</v>
      </c>
      <c r="AO144" s="23">
        <f t="shared" si="462"/>
        <v>263941775.12000003</v>
      </c>
      <c r="AP144" s="23">
        <f t="shared" si="462"/>
        <v>235288892.98999998</v>
      </c>
      <c r="AQ144" s="23">
        <f t="shared" si="462"/>
        <v>286362796.77000004</v>
      </c>
      <c r="AR144" s="23">
        <f t="shared" si="462"/>
        <v>294350602.93000001</v>
      </c>
      <c r="AS144" s="23">
        <f t="shared" si="462"/>
        <v>206839440.57999998</v>
      </c>
      <c r="AT144" s="23">
        <f t="shared" si="462"/>
        <v>79219331.790000007</v>
      </c>
      <c r="AU144" s="23">
        <f t="shared" si="462"/>
        <v>10811489.359999998</v>
      </c>
      <c r="AV144" s="23">
        <f t="shared" si="462"/>
        <v>6900834.7300000051</v>
      </c>
      <c r="AW144" s="23">
        <f t="shared" si="462"/>
        <v>1201046.45</v>
      </c>
      <c r="AX144" s="23">
        <f t="shared" si="462"/>
        <v>9843226.4900000002</v>
      </c>
      <c r="AY144" s="23">
        <f t="shared" si="462"/>
        <v>329655415.38</v>
      </c>
      <c r="AZ144" s="23">
        <f t="shared" si="462"/>
        <v>158604675.89999998</v>
      </c>
      <c r="BA144" s="23">
        <f t="shared" si="462"/>
        <v>74798179.629999995</v>
      </c>
      <c r="BB144" s="23">
        <f t="shared" si="462"/>
        <v>10525019.969999999</v>
      </c>
      <c r="BC144" s="23">
        <f t="shared" si="462"/>
        <v>2680899.9300000016</v>
      </c>
      <c r="BD144" s="23">
        <f t="shared" si="462"/>
        <v>1026066.7999999999</v>
      </c>
      <c r="BE144" s="23">
        <f t="shared" si="462"/>
        <v>8965944.7699999996</v>
      </c>
      <c r="BF144" s="23">
        <f t="shared" si="462"/>
        <v>295868217.78999996</v>
      </c>
      <c r="BG144" s="23">
        <f t="shared" si="462"/>
        <v>259788462.02000001</v>
      </c>
      <c r="BH144" s="23">
        <f t="shared" si="462"/>
        <v>73956117.507999986</v>
      </c>
      <c r="BI144" s="23">
        <f t="shared" si="462"/>
        <v>12267596.730000002</v>
      </c>
      <c r="BJ144" s="23">
        <f t="shared" si="462"/>
        <v>6193995.7399999844</v>
      </c>
      <c r="BK144" s="23">
        <f t="shared" si="462"/>
        <v>93365231.230000004</v>
      </c>
      <c r="BL144" s="23">
        <f t="shared" si="462"/>
        <v>14478812.559999999</v>
      </c>
      <c r="BM144" s="23">
        <f t="shared" si="462"/>
        <v>466686067.44799995</v>
      </c>
      <c r="BN144" s="23">
        <f t="shared" si="462"/>
        <v>232745405.28999999</v>
      </c>
      <c r="BO144" s="23">
        <f t="shared" si="462"/>
        <v>67034532.390000001</v>
      </c>
      <c r="BP144" s="23">
        <f t="shared" si="462"/>
        <v>10534277.18</v>
      </c>
      <c r="BQ144" s="23">
        <f t="shared" ref="BQ144:CV144" si="463">BQ12+BQ27+BQ38+BQ60+BQ98+BQ100+BQ107+BQ110+BQ117+BQ121+BQ128+BQ141+BQ143</f>
        <v>5054081.1799999932</v>
      </c>
      <c r="BR144" s="23">
        <f t="shared" si="463"/>
        <v>93288250.280000001</v>
      </c>
      <c r="BS144" s="23">
        <f t="shared" si="463"/>
        <v>10774445.679999996</v>
      </c>
      <c r="BT144" s="23">
        <f t="shared" si="463"/>
        <v>433068504.75999987</v>
      </c>
      <c r="BU144" s="23">
        <f t="shared" si="463"/>
        <v>296501958.77000004</v>
      </c>
      <c r="BV144" s="23">
        <f t="shared" si="463"/>
        <v>81418616.549999982</v>
      </c>
      <c r="BW144" s="23">
        <f t="shared" si="463"/>
        <v>11217807.93</v>
      </c>
      <c r="BX144" s="23">
        <f t="shared" si="463"/>
        <v>7473944.1700000009</v>
      </c>
      <c r="BY144" s="23">
        <f t="shared" si="463"/>
        <v>69945460.069999993</v>
      </c>
      <c r="BZ144" s="23">
        <f t="shared" si="463"/>
        <v>13092724.880000001</v>
      </c>
      <c r="CA144" s="23">
        <f t="shared" si="463"/>
        <v>486654856.26999998</v>
      </c>
      <c r="CB144" s="23">
        <f t="shared" si="463"/>
        <v>274749063.51206732</v>
      </c>
      <c r="CC144" s="23">
        <f t="shared" si="463"/>
        <v>72391594.212272108</v>
      </c>
      <c r="CD144" s="23">
        <f t="shared" si="463"/>
        <v>12949597.994411835</v>
      </c>
      <c r="CE144" s="23">
        <f t="shared" si="463"/>
        <v>6464773.6636506366</v>
      </c>
      <c r="CF144" s="23">
        <f t="shared" si="463"/>
        <v>69919330.689999998</v>
      </c>
      <c r="CG144" s="23">
        <f t="shared" si="463"/>
        <v>13217048.895887265</v>
      </c>
      <c r="CH144" s="23">
        <f t="shared" si="463"/>
        <v>475290559.10828912</v>
      </c>
      <c r="CI144" s="23">
        <f t="shared" si="463"/>
        <v>261703019.94829571</v>
      </c>
      <c r="CJ144" s="23">
        <f t="shared" si="463"/>
        <v>97380120.973974004</v>
      </c>
      <c r="CK144" s="23">
        <f t="shared" si="463"/>
        <v>8541659.2096272819</v>
      </c>
      <c r="CL144" s="23">
        <f t="shared" si="463"/>
        <v>42747451.555027999</v>
      </c>
      <c r="CM144" s="23">
        <f t="shared" si="463"/>
        <v>2309626.2885759999</v>
      </c>
      <c r="CN144" s="23">
        <f t="shared" si="463"/>
        <v>16360427.393581245</v>
      </c>
      <c r="CO144" s="23">
        <f t="shared" si="463"/>
        <v>533641954.52908218</v>
      </c>
      <c r="CP144" s="23">
        <f t="shared" si="463"/>
        <v>236322632.3759129</v>
      </c>
      <c r="CQ144" s="23">
        <f t="shared" si="463"/>
        <v>86313965.034323663</v>
      </c>
      <c r="CR144" s="23">
        <f t="shared" si="463"/>
        <v>9042558.538408218</v>
      </c>
      <c r="CS144" s="23">
        <f t="shared" si="463"/>
        <v>42286261.363985039</v>
      </c>
      <c r="CT144" s="23">
        <f t="shared" si="463"/>
        <v>2240568.59</v>
      </c>
      <c r="CU144" s="23">
        <f t="shared" si="463"/>
        <v>22373573.370818585</v>
      </c>
      <c r="CV144" s="23">
        <f t="shared" si="463"/>
        <v>509461416.61344838</v>
      </c>
      <c r="CW144" s="23">
        <f t="shared" ref="CW144:EB144" si="464">CW12+CW27+CW38+CW60+CW98+CW100+CW107+CW110+CW117+CW121+CW128+CW141+CW143</f>
        <v>259539667.04911181</v>
      </c>
      <c r="CX144" s="23">
        <f t="shared" si="464"/>
        <v>93731059.823230669</v>
      </c>
      <c r="CY144" s="23">
        <f t="shared" si="464"/>
        <v>8504466.636578083</v>
      </c>
      <c r="CZ144" s="23">
        <f t="shared" si="464"/>
        <v>24638724.171960339</v>
      </c>
      <c r="DA144" s="23">
        <f t="shared" si="464"/>
        <v>2376562.1015478293</v>
      </c>
      <c r="DB144" s="23">
        <f t="shared" si="464"/>
        <v>20481347.54029746</v>
      </c>
      <c r="DC144" s="23">
        <f t="shared" si="464"/>
        <v>527030885.29272598</v>
      </c>
      <c r="DD144" s="23">
        <f t="shared" si="464"/>
        <v>250594685.16870329</v>
      </c>
      <c r="DE144" s="23">
        <f t="shared" si="464"/>
        <v>88061843.899402842</v>
      </c>
      <c r="DF144" s="23">
        <f t="shared" si="464"/>
        <v>8639454.3115558922</v>
      </c>
      <c r="DG144" s="23">
        <f t="shared" si="464"/>
        <v>24249800.915856734</v>
      </c>
      <c r="DH144" s="23">
        <f t="shared" si="464"/>
        <v>2447209.87</v>
      </c>
      <c r="DI144" s="23">
        <f t="shared" si="464"/>
        <v>20896426.410961427</v>
      </c>
      <c r="DJ144" s="23">
        <f t="shared" si="464"/>
        <v>488703484.37648022</v>
      </c>
      <c r="DK144" s="23">
        <f t="shared" si="464"/>
        <v>284099473.82093751</v>
      </c>
      <c r="DL144" s="23">
        <f t="shared" si="464"/>
        <v>109156150.44531165</v>
      </c>
      <c r="DM144" s="23">
        <f t="shared" si="464"/>
        <v>6265356.8787626075</v>
      </c>
      <c r="DN144" s="23">
        <f t="shared" si="464"/>
        <v>49598197.467459433</v>
      </c>
      <c r="DO144" s="23">
        <f t="shared" si="464"/>
        <v>2451237.5682654902</v>
      </c>
      <c r="DP144" s="23">
        <f t="shared" si="464"/>
        <v>42560099.504156083</v>
      </c>
      <c r="DQ144" s="23">
        <f t="shared" si="464"/>
        <v>609766330.8448931</v>
      </c>
      <c r="DR144" s="23">
        <f t="shared" si="464"/>
        <v>269972583.94039541</v>
      </c>
      <c r="DS144" s="23">
        <f t="shared" si="464"/>
        <v>103438468.56838851</v>
      </c>
      <c r="DT144" s="23">
        <f t="shared" si="464"/>
        <v>3967040.7373738047</v>
      </c>
      <c r="DU144" s="23">
        <f t="shared" si="464"/>
        <v>47880677.88000001</v>
      </c>
      <c r="DV144" s="23">
        <f t="shared" si="464"/>
        <v>2554575.94</v>
      </c>
      <c r="DW144" s="23">
        <f t="shared" si="464"/>
        <v>35070842.608510554</v>
      </c>
      <c r="DX144" s="23">
        <f t="shared" si="464"/>
        <v>565782316.29466844</v>
      </c>
      <c r="DY144" s="23">
        <f t="shared" si="464"/>
        <v>320812938.80999994</v>
      </c>
      <c r="DZ144" s="23">
        <f t="shared" si="464"/>
        <v>112408408.43000001</v>
      </c>
      <c r="EA144" s="23">
        <f t="shared" si="464"/>
        <v>7768998.2100000018</v>
      </c>
      <c r="EB144" s="23">
        <f t="shared" si="464"/>
        <v>11818400.659999991</v>
      </c>
      <c r="EC144" s="23">
        <f t="shared" ref="EC144:FH144" si="465">EC12+EC27+EC38+EC60+EC98+EC100+EC107+EC110+EC117+EC121+EC128+EC141+EC143</f>
        <v>2711110.82</v>
      </c>
      <c r="ED144" s="23">
        <f t="shared" si="465"/>
        <v>32280472.340000004</v>
      </c>
      <c r="EE144" s="23">
        <f t="shared" si="465"/>
        <v>626503733.35999966</v>
      </c>
      <c r="EF144" s="23">
        <f t="shared" si="465"/>
        <v>311910158.41999996</v>
      </c>
      <c r="EG144" s="23">
        <f t="shared" si="465"/>
        <v>106902770.99600001</v>
      </c>
      <c r="EH144" s="23">
        <f t="shared" si="465"/>
        <v>7748768.0100000016</v>
      </c>
      <c r="EI144" s="23">
        <f t="shared" si="465"/>
        <v>6998493.6600000029</v>
      </c>
      <c r="EJ144" s="23">
        <f t="shared" si="465"/>
        <v>2610428</v>
      </c>
      <c r="EK144" s="23">
        <f t="shared" si="465"/>
        <v>28901391.152999997</v>
      </c>
      <c r="EL144" s="23">
        <f t="shared" si="465"/>
        <v>589805891.65900004</v>
      </c>
      <c r="EM144" s="23">
        <f t="shared" si="465"/>
        <v>364802564.92000002</v>
      </c>
      <c r="EN144" s="23">
        <f t="shared" si="465"/>
        <v>140780265.25000003</v>
      </c>
      <c r="EO144" s="23">
        <f t="shared" si="465"/>
        <v>9639167.9299999978</v>
      </c>
      <c r="EP144" s="23">
        <f t="shared" si="465"/>
        <v>22544132.109999992</v>
      </c>
      <c r="EQ144" s="23">
        <f t="shared" si="465"/>
        <v>3225723.0300000003</v>
      </c>
      <c r="ER144" s="23">
        <f t="shared" si="465"/>
        <v>35133321.599999994</v>
      </c>
      <c r="ES144" s="23">
        <f t="shared" si="465"/>
        <v>729084798.75999999</v>
      </c>
      <c r="ET144" s="23">
        <f t="shared" si="465"/>
        <v>273607010.52999997</v>
      </c>
      <c r="EU144" s="23">
        <f t="shared" si="465"/>
        <v>63980737.80999998</v>
      </c>
      <c r="EV144" s="23">
        <f t="shared" si="465"/>
        <v>8050231.3199999984</v>
      </c>
      <c r="EW144" s="23">
        <f t="shared" si="465"/>
        <v>10908455.199999999</v>
      </c>
      <c r="EX144" s="23">
        <f t="shared" si="465"/>
        <v>3094259.1100000003</v>
      </c>
      <c r="EY144" s="23">
        <f t="shared" si="465"/>
        <v>27697543.180000003</v>
      </c>
      <c r="EZ144" s="23">
        <f t="shared" si="465"/>
        <v>546766921.02999985</v>
      </c>
      <c r="FA144" s="23">
        <f t="shared" si="465"/>
        <v>411093183.52000004</v>
      </c>
      <c r="FB144" s="23">
        <f t="shared" si="465"/>
        <v>164262964.91</v>
      </c>
      <c r="FC144" s="23">
        <f t="shared" si="465"/>
        <v>59079.319999999992</v>
      </c>
      <c r="FD144" s="23">
        <f t="shared" si="465"/>
        <v>38617473.410000004</v>
      </c>
      <c r="FE144" s="23">
        <f t="shared" si="465"/>
        <v>3473836.0599999996</v>
      </c>
      <c r="FF144" s="23">
        <f t="shared" si="465"/>
        <v>51151905.084000006</v>
      </c>
      <c r="FG144" s="23">
        <f t="shared" si="465"/>
        <v>801808150.46399999</v>
      </c>
      <c r="FH144" s="23">
        <f t="shared" si="465"/>
        <v>390189218.24088001</v>
      </c>
      <c r="FI144" s="23">
        <f t="shared" ref="FI144:GC144" si="466">FI12+FI27+FI38+FI60+FI98+FI100+FI107+FI110+FI117+FI121+FI128+FI141+FI143</f>
        <v>151059722.97</v>
      </c>
      <c r="FJ144" s="23">
        <f t="shared" si="466"/>
        <v>45104.33</v>
      </c>
      <c r="FK144" s="23">
        <f t="shared" si="466"/>
        <v>22680666.27</v>
      </c>
      <c r="FL144" s="23">
        <f t="shared" si="466"/>
        <v>3228976.39</v>
      </c>
      <c r="FM144" s="23">
        <f t="shared" si="466"/>
        <v>31824239.242000002</v>
      </c>
      <c r="FN144" s="23">
        <f t="shared" si="466"/>
        <v>718526747.94288003</v>
      </c>
      <c r="FO144" s="23">
        <f t="shared" si="466"/>
        <v>475034503.27000004</v>
      </c>
      <c r="FP144" s="23">
        <f t="shared" si="466"/>
        <v>178510913.78999993</v>
      </c>
      <c r="FQ144" s="23">
        <f t="shared" si="466"/>
        <v>0</v>
      </c>
      <c r="FR144" s="23">
        <f t="shared" si="466"/>
        <v>58797939.230000019</v>
      </c>
      <c r="FS144" s="23">
        <f t="shared" si="466"/>
        <v>0</v>
      </c>
      <c r="FT144" s="23">
        <f t="shared" si="466"/>
        <v>56786200.729999982</v>
      </c>
      <c r="FU144" s="23">
        <f t="shared" si="466"/>
        <v>901410890.98000002</v>
      </c>
      <c r="FV144" s="23">
        <f t="shared" si="466"/>
        <v>411321085.75000012</v>
      </c>
      <c r="FW144" s="23">
        <f t="shared" si="466"/>
        <v>161481429.58000001</v>
      </c>
      <c r="FX144" s="23">
        <f t="shared" si="466"/>
        <v>0</v>
      </c>
      <c r="FY144" s="23">
        <f t="shared" si="466"/>
        <v>25037481.070000004</v>
      </c>
      <c r="FZ144" s="23">
        <f t="shared" si="466"/>
        <v>0</v>
      </c>
      <c r="GA144" s="23">
        <f t="shared" si="466"/>
        <v>38528627.989999995</v>
      </c>
      <c r="GB144" s="23">
        <f t="shared" si="466"/>
        <v>762084798.84000003</v>
      </c>
      <c r="GC144" s="23">
        <f t="shared" si="466"/>
        <v>7781784382.1823015</v>
      </c>
      <c r="GD144" s="23">
        <f>GD12+GD27+GD38+GD60+GD98+GD100+GD107+GD110+GD117+GD121+GD128+GD141+GD143</f>
        <v>7031905572.1847639</v>
      </c>
      <c r="GE144" s="24"/>
      <c r="GG144" s="153">
        <f>E144+G144+I144+K144++M144+O144+Q144+S144+U144+W144+Y144+AA144+AC144+AE144+AG144+AI144+AK144+AM144+AO144+AQ144+AY144+BM144+CA144+CO144+DC144+DQ144+EE144+ES144+FG144+FU144</f>
        <v>7781784382.1823006</v>
      </c>
      <c r="GH144" s="153">
        <f>F144+H144+J144+L144++N144+P144+R144+T144+V144+X144+Z144+AB144+AD144+AF144+AH144+AJ144+AL144+AN144+AP144+AR144+BF144+BT144+CH144+CV144+DJ144+DX144+EL144+EZ144+FN144+GB144</f>
        <v>7031905572.1847658</v>
      </c>
    </row>
    <row r="145" spans="1:190" s="29" customFormat="1" ht="9" thickBot="1" x14ac:dyDescent="0.2">
      <c r="A145" s="25"/>
      <c r="B145" s="26"/>
      <c r="C145" s="26"/>
      <c r="D145" s="26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  <c r="GD145" s="27"/>
      <c r="GE145" s="28"/>
    </row>
    <row r="146" spans="1:190" x14ac:dyDescent="0.25">
      <c r="A146" s="5" t="s">
        <v>120</v>
      </c>
      <c r="B146" s="20"/>
      <c r="C146" s="20"/>
      <c r="D146" s="20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123"/>
      <c r="AT146" s="123"/>
      <c r="AU146" s="123"/>
      <c r="AV146" s="123"/>
      <c r="AW146" s="123"/>
      <c r="AX146" s="123"/>
      <c r="AY146" s="123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2"/>
      <c r="GG146" s="153">
        <f>GG144-GC144</f>
        <v>0</v>
      </c>
      <c r="GH146" s="153">
        <f>GH144-GD144</f>
        <v>0</v>
      </c>
    </row>
    <row r="147" spans="1:190" x14ac:dyDescent="0.25">
      <c r="A147" s="5" t="s">
        <v>131</v>
      </c>
      <c r="B147" s="20"/>
      <c r="C147" s="20"/>
      <c r="D147" s="20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123"/>
      <c r="AT147" s="123"/>
      <c r="AU147" s="123"/>
      <c r="AV147" s="123"/>
      <c r="AW147" s="123"/>
      <c r="AX147" s="123"/>
      <c r="AY147" s="123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2"/>
    </row>
    <row r="148" spans="1:190" s="43" customFormat="1" ht="12.75" x14ac:dyDescent="0.2">
      <c r="A148" s="5" t="s">
        <v>129</v>
      </c>
      <c r="B148" s="45"/>
      <c r="C148" s="45"/>
      <c r="D148" s="45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124"/>
      <c r="AU148" s="124"/>
      <c r="AV148" s="46"/>
      <c r="AW148" s="46"/>
      <c r="AX148" s="46"/>
      <c r="AY148" s="46"/>
      <c r="AZ148" s="124"/>
      <c r="BA148" s="124"/>
      <c r="BB148" s="124"/>
      <c r="BC148" s="124"/>
      <c r="BD148" s="124"/>
      <c r="BE148" s="124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7"/>
      <c r="GG148" s="195"/>
    </row>
    <row r="149" spans="1:190" s="43" customFormat="1" ht="12.75" x14ac:dyDescent="0.2">
      <c r="A149" s="5" t="s">
        <v>130</v>
      </c>
      <c r="B149" s="45"/>
      <c r="C149" s="45"/>
      <c r="D149" s="45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7"/>
    </row>
    <row r="150" spans="1:190" s="43" customFormat="1" ht="12.75" x14ac:dyDescent="0.2">
      <c r="A150" s="5" t="s">
        <v>204</v>
      </c>
      <c r="B150" s="45"/>
      <c r="C150" s="45"/>
      <c r="D150" s="45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7"/>
    </row>
    <row r="151" spans="1:190" s="43" customFormat="1" ht="12.75" x14ac:dyDescent="0.2">
      <c r="A151" s="5" t="s">
        <v>243</v>
      </c>
      <c r="B151" s="45"/>
      <c r="C151" s="45"/>
      <c r="D151" s="45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7"/>
    </row>
    <row r="152" spans="1:190" s="43" customFormat="1" x14ac:dyDescent="0.25">
      <c r="A152" s="5" t="s">
        <v>256</v>
      </c>
      <c r="B152" s="61"/>
      <c r="C152" s="61"/>
      <c r="D152" s="61"/>
      <c r="E152" s="62"/>
      <c r="F152" s="46"/>
      <c r="G152" s="46"/>
      <c r="H152" s="46"/>
      <c r="I152" s="46"/>
      <c r="J152" s="46"/>
      <c r="K152" s="46"/>
      <c r="L152" s="46"/>
      <c r="M152" s="46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  <c r="AM152" s="48"/>
      <c r="AN152" s="48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8"/>
      <c r="BK152" s="48"/>
      <c r="BL152" s="48"/>
      <c r="BM152" s="48"/>
      <c r="BN152" s="48"/>
      <c r="BO152" s="48"/>
      <c r="BP152" s="48"/>
      <c r="BQ152" s="48"/>
      <c r="BR152" s="48"/>
      <c r="BS152" s="48"/>
      <c r="BT152" s="48"/>
      <c r="BU152" s="48"/>
      <c r="BV152" s="48"/>
      <c r="BW152" s="48"/>
      <c r="BX152" s="48"/>
      <c r="BY152" s="48"/>
      <c r="BZ152" s="48"/>
      <c r="CA152" s="48"/>
      <c r="CB152" s="48"/>
      <c r="CC152" s="48"/>
      <c r="CD152" s="48"/>
      <c r="CE152" s="48"/>
      <c r="CF152" s="48"/>
      <c r="CG152" s="48"/>
      <c r="CH152" s="48"/>
      <c r="CI152" s="48"/>
      <c r="CJ152" s="48"/>
      <c r="CK152" s="48"/>
      <c r="CL152" s="48"/>
      <c r="CM152" s="48"/>
      <c r="CN152" s="48"/>
      <c r="CO152" s="48"/>
      <c r="CP152" s="48"/>
      <c r="CQ152" s="48"/>
      <c r="CR152" s="48"/>
      <c r="CS152" s="48"/>
      <c r="CT152" s="48"/>
      <c r="CU152" s="48"/>
      <c r="CV152" s="48"/>
      <c r="CW152" s="48"/>
      <c r="CX152" s="48"/>
      <c r="CY152" s="48"/>
      <c r="CZ152" s="48"/>
      <c r="DA152" s="48"/>
      <c r="DB152" s="48"/>
      <c r="DC152" s="48"/>
      <c r="DD152" s="48"/>
      <c r="DE152" s="48"/>
      <c r="DF152" s="48"/>
      <c r="DG152" s="48"/>
      <c r="DH152" s="48"/>
      <c r="DI152" s="48"/>
      <c r="DJ152" s="48"/>
      <c r="DK152" s="48"/>
      <c r="DL152" s="48"/>
      <c r="DM152" s="48"/>
      <c r="DN152" s="48"/>
      <c r="DO152" s="48"/>
      <c r="DP152" s="48"/>
      <c r="DQ152" s="48"/>
      <c r="DR152" s="48"/>
      <c r="DS152" s="48"/>
      <c r="DT152" s="48"/>
      <c r="DU152" s="48"/>
      <c r="DV152" s="48"/>
      <c r="DW152" s="48"/>
      <c r="DX152" s="48"/>
      <c r="DY152" s="48"/>
      <c r="DZ152" s="48"/>
      <c r="EA152" s="48"/>
      <c r="EB152" s="48"/>
      <c r="EC152" s="48"/>
      <c r="ED152" s="48"/>
      <c r="EE152" s="48"/>
      <c r="EF152" s="48"/>
      <c r="EG152" s="48"/>
      <c r="EH152" s="48"/>
      <c r="EI152" s="48"/>
      <c r="EJ152" s="48"/>
      <c r="EK152" s="48"/>
      <c r="EL152" s="48"/>
      <c r="EM152" s="48"/>
      <c r="EN152" s="48"/>
      <c r="EO152" s="48"/>
      <c r="EP152" s="48"/>
      <c r="EQ152" s="48"/>
      <c r="ER152" s="48"/>
      <c r="ES152" s="48"/>
      <c r="ET152" s="48"/>
      <c r="EU152" s="48"/>
      <c r="EV152" s="48"/>
      <c r="EW152" s="48"/>
      <c r="EX152" s="48"/>
      <c r="EY152" s="48"/>
      <c r="EZ152" s="48"/>
      <c r="FA152" s="48"/>
      <c r="FB152" s="48"/>
      <c r="FC152" s="48"/>
      <c r="FD152" s="48"/>
      <c r="FE152" s="48"/>
      <c r="FF152" s="48"/>
      <c r="FG152" s="48"/>
      <c r="FH152" s="48"/>
      <c r="FI152" s="48"/>
      <c r="FJ152" s="48"/>
      <c r="FK152" s="48"/>
      <c r="FL152" s="48"/>
      <c r="FM152" s="48"/>
      <c r="FN152" s="48"/>
      <c r="FO152" s="48"/>
      <c r="FP152" s="48"/>
      <c r="FQ152" s="48"/>
      <c r="FR152" s="48"/>
      <c r="FS152" s="48"/>
      <c r="FT152" s="48"/>
      <c r="FU152" s="48"/>
      <c r="FV152" s="48"/>
      <c r="FW152" s="48"/>
      <c r="FX152" s="48"/>
      <c r="FY152" s="48"/>
      <c r="FZ152" s="48"/>
      <c r="GA152" s="48"/>
      <c r="GB152" s="48"/>
      <c r="GC152" s="48"/>
      <c r="GD152" s="48"/>
      <c r="GE152" s="48"/>
    </row>
    <row r="153" spans="1:190" s="43" customFormat="1" ht="15.75" thickBot="1" x14ac:dyDescent="0.3">
      <c r="B153" s="61"/>
      <c r="C153" s="61"/>
      <c r="D153" s="61"/>
      <c r="E153" s="62"/>
      <c r="F153" s="46"/>
      <c r="G153" s="46"/>
      <c r="H153" s="46"/>
      <c r="I153" s="46"/>
      <c r="J153" s="46"/>
      <c r="K153" s="46"/>
      <c r="L153" s="46"/>
      <c r="M153" s="46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  <c r="AM153" s="48"/>
      <c r="AN153" s="48"/>
      <c r="AO153" s="48"/>
      <c r="AP153" s="48"/>
      <c r="AQ153" s="48"/>
      <c r="AR153" s="48"/>
      <c r="AS153" s="48"/>
      <c r="AT153" s="48"/>
      <c r="AU153" s="48"/>
      <c r="AV153" s="48"/>
      <c r="AW153" s="48"/>
      <c r="AX153" s="48"/>
      <c r="AY153" s="48"/>
      <c r="AZ153" s="48"/>
      <c r="BA153" s="48"/>
      <c r="BB153" s="48"/>
      <c r="BC153" s="48"/>
      <c r="BD153" s="48"/>
      <c r="BE153" s="48"/>
      <c r="BF153" s="48"/>
      <c r="BG153" s="48"/>
      <c r="BH153" s="48"/>
      <c r="BI153" s="48"/>
      <c r="BJ153" s="48"/>
      <c r="BK153" s="48"/>
      <c r="BL153" s="48"/>
      <c r="BM153" s="48"/>
      <c r="BN153" s="48"/>
      <c r="BO153" s="48"/>
      <c r="BP153" s="48"/>
      <c r="BQ153" s="48"/>
      <c r="BR153" s="48"/>
      <c r="BS153" s="48"/>
      <c r="BT153" s="48"/>
      <c r="BU153" s="48"/>
      <c r="BV153" s="48"/>
      <c r="BW153" s="48"/>
      <c r="BX153" s="48"/>
      <c r="BY153" s="48"/>
      <c r="BZ153" s="48"/>
      <c r="CA153" s="48"/>
      <c r="CB153" s="48"/>
      <c r="CC153" s="48"/>
      <c r="CD153" s="48"/>
      <c r="CE153" s="48"/>
      <c r="CF153" s="48"/>
      <c r="CG153" s="48"/>
      <c r="CH153" s="48"/>
      <c r="CI153" s="48"/>
      <c r="CJ153" s="48"/>
      <c r="CK153" s="48"/>
      <c r="CL153" s="48"/>
      <c r="CM153" s="48"/>
      <c r="CN153" s="48"/>
      <c r="CO153" s="48"/>
      <c r="CP153" s="48"/>
      <c r="CQ153" s="48"/>
      <c r="CR153" s="48"/>
      <c r="CS153" s="48"/>
      <c r="CT153" s="48"/>
      <c r="CU153" s="48"/>
      <c r="CV153" s="48"/>
      <c r="CW153" s="48"/>
      <c r="CX153" s="48"/>
      <c r="CY153" s="48"/>
      <c r="CZ153" s="48"/>
      <c r="DA153" s="48"/>
      <c r="DB153" s="48"/>
      <c r="DC153" s="48"/>
      <c r="DD153" s="48"/>
      <c r="DE153" s="48"/>
      <c r="DF153" s="48"/>
      <c r="DG153" s="48"/>
      <c r="DH153" s="48"/>
      <c r="DI153" s="48"/>
      <c r="DJ153" s="48"/>
      <c r="DK153" s="48"/>
      <c r="DL153" s="48"/>
      <c r="DM153" s="48"/>
      <c r="DN153" s="48"/>
      <c r="DO153" s="48"/>
      <c r="DP153" s="48"/>
      <c r="DQ153" s="48"/>
      <c r="DR153" s="48"/>
      <c r="DS153" s="48"/>
      <c r="DT153" s="48"/>
      <c r="DU153" s="48"/>
      <c r="DV153" s="48"/>
      <c r="DW153" s="48"/>
      <c r="DX153" s="48"/>
      <c r="DY153" s="48"/>
      <c r="DZ153" s="48"/>
      <c r="EA153" s="48"/>
      <c r="EB153" s="48"/>
      <c r="EC153" s="48"/>
      <c r="ED153" s="48"/>
      <c r="EE153" s="48"/>
      <c r="EF153" s="48"/>
      <c r="EG153" s="48"/>
      <c r="EH153" s="48"/>
      <c r="EI153" s="48"/>
      <c r="EJ153" s="48"/>
      <c r="EK153" s="48"/>
      <c r="EL153" s="48"/>
      <c r="EM153" s="48"/>
      <c r="EN153" s="48"/>
      <c r="EO153" s="48"/>
      <c r="EP153" s="48"/>
      <c r="EQ153" s="48"/>
      <c r="ER153" s="48"/>
      <c r="ES153" s="48"/>
      <c r="ET153" s="48"/>
      <c r="EU153" s="48"/>
      <c r="EV153" s="48"/>
      <c r="EW153" s="48"/>
      <c r="EX153" s="48"/>
      <c r="EY153" s="48"/>
      <c r="EZ153" s="48"/>
      <c r="FA153" s="48"/>
      <c r="FB153" s="48"/>
      <c r="FC153" s="48"/>
      <c r="FD153" s="48"/>
      <c r="FE153" s="48"/>
      <c r="FF153" s="48"/>
      <c r="FG153" s="48"/>
      <c r="FH153" s="48"/>
      <c r="FI153" s="48"/>
      <c r="FJ153" s="48"/>
      <c r="FK153" s="48"/>
      <c r="FL153" s="48"/>
      <c r="FM153" s="48"/>
      <c r="FN153" s="48"/>
      <c r="FO153" s="48"/>
      <c r="FP153" s="48"/>
      <c r="FQ153" s="48"/>
      <c r="FR153" s="48"/>
      <c r="FS153" s="48"/>
      <c r="FT153" s="48"/>
      <c r="FU153" s="48"/>
      <c r="FV153" s="48"/>
      <c r="FW153" s="48"/>
      <c r="FX153" s="48"/>
      <c r="FY153" s="48"/>
      <c r="FZ153" s="48"/>
      <c r="GA153" s="48"/>
      <c r="GB153" s="48"/>
      <c r="GC153" s="48"/>
      <c r="GD153" s="48"/>
      <c r="GE153" s="48"/>
    </row>
    <row r="154" spans="1:190" ht="18" x14ac:dyDescent="0.25">
      <c r="A154" s="238" t="s">
        <v>67</v>
      </c>
      <c r="B154" s="239"/>
      <c r="C154" s="239"/>
      <c r="D154" s="239"/>
      <c r="E154" s="239"/>
      <c r="F154" s="239"/>
      <c r="G154" s="239"/>
      <c r="H154" s="239"/>
      <c r="I154" s="239"/>
      <c r="J154" s="239"/>
      <c r="K154" s="239"/>
      <c r="L154" s="239"/>
      <c r="M154" s="239"/>
      <c r="N154" s="239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  <c r="Y154" s="239"/>
      <c r="Z154" s="239"/>
      <c r="AA154" s="239"/>
      <c r="AB154" s="239"/>
      <c r="AC154" s="239"/>
      <c r="AD154" s="239"/>
      <c r="AE154" s="239"/>
      <c r="AF154" s="239"/>
      <c r="AG154" s="239"/>
      <c r="AH154" s="239"/>
      <c r="AI154" s="239"/>
      <c r="AJ154" s="239"/>
      <c r="AK154" s="239"/>
      <c r="AL154" s="239"/>
      <c r="AM154" s="239"/>
      <c r="AN154" s="239"/>
      <c r="AO154" s="239"/>
      <c r="AP154" s="239"/>
      <c r="AQ154" s="239"/>
      <c r="AR154" s="239"/>
      <c r="AS154" s="239"/>
      <c r="AT154" s="239"/>
      <c r="AU154" s="239"/>
      <c r="AV154" s="239"/>
      <c r="AW154" s="239"/>
      <c r="AX154" s="239"/>
      <c r="AY154" s="239"/>
      <c r="AZ154" s="239"/>
      <c r="BA154" s="239"/>
      <c r="BB154" s="239"/>
      <c r="BC154" s="239"/>
      <c r="BD154" s="239"/>
      <c r="BE154" s="239"/>
      <c r="BF154" s="239"/>
      <c r="BG154" s="239"/>
      <c r="BH154" s="239"/>
      <c r="BI154" s="239"/>
      <c r="BJ154" s="239"/>
      <c r="BK154" s="239"/>
      <c r="BL154" s="239"/>
      <c r="BM154" s="239"/>
      <c r="BN154" s="239"/>
      <c r="BO154" s="239"/>
      <c r="BP154" s="239"/>
      <c r="BQ154" s="239"/>
      <c r="BR154" s="239"/>
      <c r="BS154" s="239"/>
      <c r="BT154" s="239"/>
      <c r="BU154" s="239"/>
      <c r="BV154" s="239"/>
      <c r="BW154" s="239"/>
      <c r="BX154" s="239"/>
      <c r="BY154" s="239"/>
      <c r="BZ154" s="239"/>
      <c r="CA154" s="239"/>
      <c r="CB154" s="239"/>
      <c r="CC154" s="239"/>
      <c r="CD154" s="239"/>
      <c r="CE154" s="239"/>
      <c r="CF154" s="239"/>
      <c r="CG154" s="239"/>
      <c r="CH154" s="239"/>
      <c r="CI154" s="239"/>
      <c r="CJ154" s="239"/>
      <c r="CK154" s="239"/>
      <c r="CL154" s="239"/>
      <c r="CM154" s="239"/>
      <c r="CN154" s="239"/>
      <c r="CO154" s="239"/>
      <c r="CP154" s="239"/>
      <c r="CQ154" s="239"/>
      <c r="CR154" s="239"/>
      <c r="CS154" s="239"/>
      <c r="CT154" s="239"/>
      <c r="CU154" s="239"/>
      <c r="CV154" s="239"/>
      <c r="CW154" s="239"/>
      <c r="CX154" s="239"/>
      <c r="CY154" s="239"/>
      <c r="CZ154" s="239"/>
      <c r="DA154" s="239"/>
      <c r="DB154" s="239"/>
      <c r="DC154" s="239"/>
      <c r="DD154" s="239"/>
      <c r="DE154" s="239"/>
      <c r="DF154" s="239"/>
      <c r="DG154" s="239"/>
      <c r="DH154" s="239"/>
      <c r="DI154" s="239"/>
      <c r="DJ154" s="239"/>
      <c r="DK154" s="239"/>
      <c r="DL154" s="239"/>
      <c r="DM154" s="239"/>
      <c r="DN154" s="239"/>
      <c r="DO154" s="239"/>
      <c r="DP154" s="239"/>
      <c r="DQ154" s="239"/>
      <c r="DR154" s="239"/>
      <c r="DS154" s="239"/>
      <c r="DT154" s="239"/>
      <c r="DU154" s="239"/>
      <c r="DV154" s="239"/>
      <c r="DW154" s="239"/>
      <c r="DX154" s="239"/>
      <c r="DY154" s="239"/>
      <c r="DZ154" s="239"/>
      <c r="EA154" s="239"/>
      <c r="EB154" s="239"/>
      <c r="EC154" s="239"/>
      <c r="ED154" s="239"/>
      <c r="EE154" s="239"/>
      <c r="EF154" s="239"/>
      <c r="EG154" s="239"/>
      <c r="EH154" s="239"/>
      <c r="EI154" s="239"/>
      <c r="EJ154" s="239"/>
      <c r="EK154" s="239"/>
      <c r="EL154" s="239"/>
      <c r="EM154" s="239"/>
      <c r="EN154" s="239"/>
      <c r="EO154" s="239"/>
      <c r="EP154" s="239"/>
      <c r="EQ154" s="239"/>
      <c r="ER154" s="239"/>
      <c r="ES154" s="239"/>
      <c r="ET154" s="239"/>
      <c r="EU154" s="239"/>
      <c r="EV154" s="239"/>
      <c r="EW154" s="239"/>
      <c r="EX154" s="239"/>
      <c r="EY154" s="239"/>
      <c r="EZ154" s="239"/>
      <c r="FA154" s="239"/>
      <c r="FB154" s="239"/>
      <c r="FC154" s="239"/>
      <c r="FD154" s="239"/>
      <c r="FE154" s="239"/>
      <c r="FF154" s="239"/>
      <c r="FG154" s="239"/>
      <c r="FH154" s="239"/>
      <c r="FI154" s="239"/>
      <c r="FJ154" s="239"/>
      <c r="FK154" s="239"/>
      <c r="FL154" s="239"/>
      <c r="FM154" s="239"/>
      <c r="FN154" s="239"/>
      <c r="FO154" s="239"/>
      <c r="FP154" s="239"/>
      <c r="FQ154" s="239"/>
      <c r="FR154" s="239"/>
      <c r="FS154" s="239"/>
      <c r="FT154" s="239"/>
      <c r="FU154" s="239"/>
      <c r="FV154" s="239"/>
      <c r="FW154" s="239"/>
      <c r="FX154" s="239"/>
      <c r="FY154" s="239"/>
      <c r="FZ154" s="239"/>
      <c r="GA154" s="239"/>
      <c r="GB154" s="239"/>
      <c r="GC154" s="239"/>
      <c r="GD154" s="239"/>
      <c r="GE154" s="240"/>
    </row>
    <row r="155" spans="1:190" s="5" customFormat="1" ht="12.75" x14ac:dyDescent="0.2">
      <c r="A155" s="271" t="s">
        <v>74</v>
      </c>
      <c r="B155" s="242" t="s">
        <v>73</v>
      </c>
      <c r="C155" s="242"/>
      <c r="D155" s="242" t="s">
        <v>2</v>
      </c>
      <c r="E155" s="243">
        <v>1996</v>
      </c>
      <c r="F155" s="243"/>
      <c r="G155" s="243">
        <v>1997</v>
      </c>
      <c r="H155" s="243"/>
      <c r="I155" s="243">
        <v>1998</v>
      </c>
      <c r="J155" s="243"/>
      <c r="K155" s="243">
        <v>1999</v>
      </c>
      <c r="L155" s="243"/>
      <c r="M155" s="243">
        <v>2000</v>
      </c>
      <c r="N155" s="243"/>
      <c r="O155" s="243">
        <v>2001</v>
      </c>
      <c r="P155" s="243"/>
      <c r="Q155" s="243">
        <v>2002</v>
      </c>
      <c r="R155" s="243"/>
      <c r="S155" s="243">
        <v>2003</v>
      </c>
      <c r="T155" s="243"/>
      <c r="U155" s="243">
        <v>2004</v>
      </c>
      <c r="V155" s="243"/>
      <c r="W155" s="243">
        <v>2005</v>
      </c>
      <c r="X155" s="243"/>
      <c r="Y155" s="243">
        <v>2006</v>
      </c>
      <c r="Z155" s="243"/>
      <c r="AA155" s="243">
        <v>2007</v>
      </c>
      <c r="AB155" s="243"/>
      <c r="AC155" s="243">
        <v>2008</v>
      </c>
      <c r="AD155" s="243"/>
      <c r="AE155" s="243">
        <v>2009</v>
      </c>
      <c r="AF155" s="243"/>
      <c r="AG155" s="243">
        <v>2010</v>
      </c>
      <c r="AH155" s="243"/>
      <c r="AI155" s="243">
        <v>2011</v>
      </c>
      <c r="AJ155" s="243"/>
      <c r="AK155" s="243">
        <v>2012</v>
      </c>
      <c r="AL155" s="243"/>
      <c r="AM155" s="243">
        <v>2013</v>
      </c>
      <c r="AN155" s="243"/>
      <c r="AO155" s="230">
        <v>2014</v>
      </c>
      <c r="AP155" s="231"/>
      <c r="AQ155" s="230">
        <v>2015</v>
      </c>
      <c r="AR155" s="232"/>
      <c r="AS155" s="230">
        <v>2016</v>
      </c>
      <c r="AT155" s="231"/>
      <c r="AU155" s="231"/>
      <c r="AV155" s="231"/>
      <c r="AW155" s="231"/>
      <c r="AX155" s="231"/>
      <c r="AY155" s="231"/>
      <c r="AZ155" s="231"/>
      <c r="BA155" s="231"/>
      <c r="BB155" s="231"/>
      <c r="BC155" s="231"/>
      <c r="BD155" s="231"/>
      <c r="BE155" s="231"/>
      <c r="BF155" s="232"/>
      <c r="BG155" s="230">
        <v>2017</v>
      </c>
      <c r="BH155" s="231"/>
      <c r="BI155" s="231"/>
      <c r="BJ155" s="231"/>
      <c r="BK155" s="231"/>
      <c r="BL155" s="231"/>
      <c r="BM155" s="231"/>
      <c r="BN155" s="231"/>
      <c r="BO155" s="231"/>
      <c r="BP155" s="231"/>
      <c r="BQ155" s="231"/>
      <c r="BR155" s="231"/>
      <c r="BS155" s="231"/>
      <c r="BT155" s="232"/>
      <c r="BU155" s="230">
        <v>2018</v>
      </c>
      <c r="BV155" s="231"/>
      <c r="BW155" s="231"/>
      <c r="BX155" s="231"/>
      <c r="BY155" s="231"/>
      <c r="BZ155" s="231"/>
      <c r="CA155" s="231"/>
      <c r="CB155" s="231"/>
      <c r="CC155" s="231"/>
      <c r="CD155" s="231"/>
      <c r="CE155" s="231"/>
      <c r="CF155" s="231"/>
      <c r="CG155" s="231"/>
      <c r="CH155" s="232"/>
      <c r="CI155" s="230">
        <v>2019</v>
      </c>
      <c r="CJ155" s="231"/>
      <c r="CK155" s="231"/>
      <c r="CL155" s="231"/>
      <c r="CM155" s="231"/>
      <c r="CN155" s="231"/>
      <c r="CO155" s="231"/>
      <c r="CP155" s="231"/>
      <c r="CQ155" s="231"/>
      <c r="CR155" s="231"/>
      <c r="CS155" s="231"/>
      <c r="CT155" s="231"/>
      <c r="CU155" s="231"/>
      <c r="CV155" s="232"/>
      <c r="CW155" s="230">
        <v>2020</v>
      </c>
      <c r="CX155" s="231"/>
      <c r="CY155" s="231"/>
      <c r="CZ155" s="231"/>
      <c r="DA155" s="231"/>
      <c r="DB155" s="231"/>
      <c r="DC155" s="231"/>
      <c r="DD155" s="231"/>
      <c r="DE155" s="231"/>
      <c r="DF155" s="231"/>
      <c r="DG155" s="231"/>
      <c r="DH155" s="231"/>
      <c r="DI155" s="231"/>
      <c r="DJ155" s="232"/>
      <c r="DK155" s="230">
        <v>2021</v>
      </c>
      <c r="DL155" s="231"/>
      <c r="DM155" s="231"/>
      <c r="DN155" s="231"/>
      <c r="DO155" s="231"/>
      <c r="DP155" s="231"/>
      <c r="DQ155" s="231"/>
      <c r="DR155" s="231"/>
      <c r="DS155" s="231"/>
      <c r="DT155" s="231"/>
      <c r="DU155" s="231"/>
      <c r="DV155" s="231"/>
      <c r="DW155" s="231"/>
      <c r="DX155" s="232"/>
      <c r="DY155" s="230">
        <v>2022</v>
      </c>
      <c r="DZ155" s="231"/>
      <c r="EA155" s="231"/>
      <c r="EB155" s="231"/>
      <c r="EC155" s="231"/>
      <c r="ED155" s="231"/>
      <c r="EE155" s="231"/>
      <c r="EF155" s="231"/>
      <c r="EG155" s="231"/>
      <c r="EH155" s="231"/>
      <c r="EI155" s="231"/>
      <c r="EJ155" s="231"/>
      <c r="EK155" s="231"/>
      <c r="EL155" s="232"/>
      <c r="EM155" s="230">
        <v>2023</v>
      </c>
      <c r="EN155" s="231"/>
      <c r="EO155" s="231"/>
      <c r="EP155" s="231"/>
      <c r="EQ155" s="231"/>
      <c r="ER155" s="231"/>
      <c r="ES155" s="231"/>
      <c r="ET155" s="231"/>
      <c r="EU155" s="231"/>
      <c r="EV155" s="231"/>
      <c r="EW155" s="231"/>
      <c r="EX155" s="231"/>
      <c r="EY155" s="231"/>
      <c r="EZ155" s="232"/>
      <c r="FA155" s="230">
        <v>2024</v>
      </c>
      <c r="FB155" s="231"/>
      <c r="FC155" s="231"/>
      <c r="FD155" s="231"/>
      <c r="FE155" s="231"/>
      <c r="FF155" s="231"/>
      <c r="FG155" s="231"/>
      <c r="FH155" s="231"/>
      <c r="FI155" s="231"/>
      <c r="FJ155" s="231"/>
      <c r="FK155" s="231"/>
      <c r="FL155" s="231"/>
      <c r="FM155" s="231"/>
      <c r="FN155" s="232"/>
      <c r="FO155" s="230">
        <v>2025</v>
      </c>
      <c r="FP155" s="231"/>
      <c r="FQ155" s="231"/>
      <c r="FR155" s="231"/>
      <c r="FS155" s="231"/>
      <c r="FT155" s="231"/>
      <c r="FU155" s="231"/>
      <c r="FV155" s="231"/>
      <c r="FW155" s="231"/>
      <c r="FX155" s="231"/>
      <c r="FY155" s="231"/>
      <c r="FZ155" s="231"/>
      <c r="GA155" s="231"/>
      <c r="GB155" s="232"/>
      <c r="GC155" s="230" t="s">
        <v>3</v>
      </c>
      <c r="GD155" s="232"/>
      <c r="GE155" s="220" t="s">
        <v>4</v>
      </c>
    </row>
    <row r="156" spans="1:190" s="5" customFormat="1" ht="15" customHeight="1" x14ac:dyDescent="0.2">
      <c r="A156" s="272"/>
      <c r="B156" s="242"/>
      <c r="C156" s="242"/>
      <c r="D156" s="242"/>
      <c r="E156" s="37" t="s">
        <v>5</v>
      </c>
      <c r="F156" s="37" t="s">
        <v>6</v>
      </c>
      <c r="G156" s="37" t="s">
        <v>5</v>
      </c>
      <c r="H156" s="37" t="s">
        <v>6</v>
      </c>
      <c r="I156" s="37" t="s">
        <v>5</v>
      </c>
      <c r="J156" s="37" t="s">
        <v>6</v>
      </c>
      <c r="K156" s="37" t="s">
        <v>5</v>
      </c>
      <c r="L156" s="37" t="s">
        <v>6</v>
      </c>
      <c r="M156" s="37" t="s">
        <v>5</v>
      </c>
      <c r="N156" s="37" t="s">
        <v>6</v>
      </c>
      <c r="O156" s="37" t="s">
        <v>5</v>
      </c>
      <c r="P156" s="37" t="s">
        <v>6</v>
      </c>
      <c r="Q156" s="37" t="s">
        <v>5</v>
      </c>
      <c r="R156" s="37" t="s">
        <v>6</v>
      </c>
      <c r="S156" s="37" t="s">
        <v>5</v>
      </c>
      <c r="T156" s="37" t="s">
        <v>6</v>
      </c>
      <c r="U156" s="37" t="s">
        <v>5</v>
      </c>
      <c r="V156" s="37" t="s">
        <v>6</v>
      </c>
      <c r="W156" s="37" t="s">
        <v>5</v>
      </c>
      <c r="X156" s="37" t="s">
        <v>6</v>
      </c>
      <c r="Y156" s="37" t="s">
        <v>5</v>
      </c>
      <c r="Z156" s="37" t="s">
        <v>6</v>
      </c>
      <c r="AA156" s="37" t="s">
        <v>5</v>
      </c>
      <c r="AB156" s="37" t="s">
        <v>6</v>
      </c>
      <c r="AC156" s="37" t="s">
        <v>5</v>
      </c>
      <c r="AD156" s="37" t="s">
        <v>6</v>
      </c>
      <c r="AE156" s="37" t="s">
        <v>5</v>
      </c>
      <c r="AF156" s="37" t="s">
        <v>6</v>
      </c>
      <c r="AG156" s="37" t="s">
        <v>5</v>
      </c>
      <c r="AH156" s="37" t="s">
        <v>6</v>
      </c>
      <c r="AI156" s="37" t="s">
        <v>5</v>
      </c>
      <c r="AJ156" s="37" t="s">
        <v>6</v>
      </c>
      <c r="AK156" s="37" t="s">
        <v>5</v>
      </c>
      <c r="AL156" s="37" t="s">
        <v>6</v>
      </c>
      <c r="AM156" s="37" t="s">
        <v>5</v>
      </c>
      <c r="AN156" s="37" t="s">
        <v>6</v>
      </c>
      <c r="AO156" s="37" t="s">
        <v>5</v>
      </c>
      <c r="AP156" s="84" t="s">
        <v>6</v>
      </c>
      <c r="AQ156" s="84" t="s">
        <v>5</v>
      </c>
      <c r="AR156" s="37" t="s">
        <v>6</v>
      </c>
      <c r="AS156" s="84"/>
      <c r="AT156" s="84"/>
      <c r="AU156" s="84"/>
      <c r="AV156" s="84"/>
      <c r="AW156" s="84"/>
      <c r="AX156" s="84"/>
      <c r="AY156" s="84" t="s">
        <v>5</v>
      </c>
      <c r="AZ156" s="84"/>
      <c r="BA156" s="84"/>
      <c r="BB156" s="84"/>
      <c r="BC156" s="84"/>
      <c r="BD156" s="84"/>
      <c r="BE156" s="84"/>
      <c r="BF156" s="37" t="s">
        <v>6</v>
      </c>
      <c r="BG156" s="84"/>
      <c r="BH156" s="84"/>
      <c r="BI156" s="84"/>
      <c r="BJ156" s="84"/>
      <c r="BK156" s="84"/>
      <c r="BL156" s="84"/>
      <c r="BM156" s="84" t="s">
        <v>5</v>
      </c>
      <c r="BN156" s="84"/>
      <c r="BO156" s="84"/>
      <c r="BP156" s="84"/>
      <c r="BQ156" s="84"/>
      <c r="BR156" s="84"/>
      <c r="BS156" s="84"/>
      <c r="BT156" s="37" t="s">
        <v>6</v>
      </c>
      <c r="BU156" s="37"/>
      <c r="BV156" s="37"/>
      <c r="BW156" s="37"/>
      <c r="BX156" s="37"/>
      <c r="BY156" s="37"/>
      <c r="BZ156" s="37"/>
      <c r="CA156" s="84" t="s">
        <v>5</v>
      </c>
      <c r="CB156" s="37"/>
      <c r="CC156" s="37"/>
      <c r="CD156" s="37"/>
      <c r="CE156" s="37"/>
      <c r="CF156" s="37"/>
      <c r="CG156" s="37"/>
      <c r="CH156" s="37" t="s">
        <v>6</v>
      </c>
      <c r="CI156" s="37"/>
      <c r="CJ156" s="37"/>
      <c r="CK156" s="37"/>
      <c r="CL156" s="37"/>
      <c r="CM156" s="37"/>
      <c r="CN156" s="37"/>
      <c r="CO156" s="37" t="s">
        <v>5</v>
      </c>
      <c r="CP156" s="37"/>
      <c r="CQ156" s="37"/>
      <c r="CR156" s="37"/>
      <c r="CS156" s="37"/>
      <c r="CT156" s="37"/>
      <c r="CU156" s="37"/>
      <c r="CV156" s="37" t="s">
        <v>6</v>
      </c>
      <c r="CW156" s="37"/>
      <c r="CX156" s="37"/>
      <c r="CY156" s="37"/>
      <c r="CZ156" s="37"/>
      <c r="DA156" s="37"/>
      <c r="DB156" s="37"/>
      <c r="DC156" s="37" t="s">
        <v>5</v>
      </c>
      <c r="DD156" s="37"/>
      <c r="DE156" s="37"/>
      <c r="DF156" s="37"/>
      <c r="DG156" s="37"/>
      <c r="DH156" s="37"/>
      <c r="DI156" s="37"/>
      <c r="DJ156" s="37" t="s">
        <v>6</v>
      </c>
      <c r="DK156" s="37"/>
      <c r="DL156" s="37"/>
      <c r="DM156" s="37"/>
      <c r="DN156" s="37"/>
      <c r="DO156" s="37"/>
      <c r="DP156" s="37"/>
      <c r="DQ156" s="37" t="s">
        <v>5</v>
      </c>
      <c r="DR156" s="37"/>
      <c r="DS156" s="37"/>
      <c r="DT156" s="37"/>
      <c r="DU156" s="37"/>
      <c r="DV156" s="37"/>
      <c r="DW156" s="37"/>
      <c r="DX156" s="37" t="s">
        <v>6</v>
      </c>
      <c r="DY156" s="37"/>
      <c r="DZ156" s="37"/>
      <c r="EA156" s="37"/>
      <c r="EB156" s="37"/>
      <c r="EC156" s="37"/>
      <c r="ED156" s="37"/>
      <c r="EE156" s="37" t="s">
        <v>5</v>
      </c>
      <c r="EF156" s="37"/>
      <c r="EG156" s="37"/>
      <c r="EH156" s="37"/>
      <c r="EI156" s="37"/>
      <c r="EJ156" s="37"/>
      <c r="EK156" s="37"/>
      <c r="EL156" s="37" t="s">
        <v>6</v>
      </c>
      <c r="EM156" s="227" t="s">
        <v>5</v>
      </c>
      <c r="EN156" s="228"/>
      <c r="EO156" s="228"/>
      <c r="EP156" s="228"/>
      <c r="EQ156" s="228"/>
      <c r="ER156" s="228"/>
      <c r="ES156" s="229"/>
      <c r="ET156" s="227" t="s">
        <v>6</v>
      </c>
      <c r="EU156" s="228"/>
      <c r="EV156" s="228"/>
      <c r="EW156" s="228"/>
      <c r="EX156" s="228"/>
      <c r="EY156" s="228"/>
      <c r="EZ156" s="229"/>
      <c r="FA156" s="171"/>
      <c r="FB156" s="171"/>
      <c r="FC156" s="171"/>
      <c r="FD156" s="171"/>
      <c r="FE156" s="171"/>
      <c r="FF156" s="171"/>
      <c r="FG156" s="197" t="s">
        <v>5</v>
      </c>
      <c r="FH156" s="198"/>
      <c r="FI156" s="198"/>
      <c r="FJ156" s="198"/>
      <c r="FK156" s="198"/>
      <c r="FL156" s="198"/>
      <c r="FM156" s="199"/>
      <c r="FN156" s="197" t="s">
        <v>6</v>
      </c>
      <c r="FO156" s="227" t="s">
        <v>78</v>
      </c>
      <c r="FP156" s="228"/>
      <c r="FQ156" s="228"/>
      <c r="FR156" s="228"/>
      <c r="FS156" s="228"/>
      <c r="FT156" s="228"/>
      <c r="FU156" s="229"/>
      <c r="FV156" s="227" t="s">
        <v>6</v>
      </c>
      <c r="FW156" s="228"/>
      <c r="FX156" s="228"/>
      <c r="FY156" s="228"/>
      <c r="FZ156" s="228"/>
      <c r="GA156" s="228"/>
      <c r="GB156" s="229"/>
      <c r="GC156" s="37" t="s">
        <v>5</v>
      </c>
      <c r="GD156" s="37" t="s">
        <v>6</v>
      </c>
      <c r="GE156" s="222"/>
    </row>
    <row r="157" spans="1:190" s="5" customFormat="1" ht="14.25" customHeight="1" x14ac:dyDescent="0.2">
      <c r="A157" s="272"/>
      <c r="B157" s="274" t="s">
        <v>43</v>
      </c>
      <c r="C157" s="275"/>
      <c r="D157" s="51">
        <v>2001</v>
      </c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5" t="s">
        <v>11</v>
      </c>
      <c r="P157" s="11">
        <v>47533949.270000003</v>
      </c>
      <c r="Q157" s="55" t="s">
        <v>11</v>
      </c>
      <c r="R157" s="11">
        <v>55799829.979999997</v>
      </c>
      <c r="S157" s="55" t="s">
        <v>11</v>
      </c>
      <c r="T157" s="11">
        <v>73256572.459999993</v>
      </c>
      <c r="U157" s="55" t="s">
        <v>11</v>
      </c>
      <c r="V157" s="11">
        <v>86621383.219999999</v>
      </c>
      <c r="W157" s="55" t="s">
        <v>11</v>
      </c>
      <c r="X157" s="11">
        <v>111521747.95</v>
      </c>
      <c r="Y157" s="55" t="s">
        <v>11</v>
      </c>
      <c r="Z157" s="11">
        <v>122305644.95999999</v>
      </c>
      <c r="AA157" s="55" t="s">
        <v>11</v>
      </c>
      <c r="AB157" s="11">
        <v>138254569.37</v>
      </c>
      <c r="AC157" s="55" t="s">
        <v>11</v>
      </c>
      <c r="AD157" s="11">
        <v>139210280.53</v>
      </c>
      <c r="AE157" s="55" t="s">
        <v>11</v>
      </c>
      <c r="AF157" s="11">
        <v>148726171.81999999</v>
      </c>
      <c r="AG157" s="55" t="s">
        <v>11</v>
      </c>
      <c r="AH157" s="11">
        <v>168326646.47</v>
      </c>
      <c r="AI157" s="55" t="s">
        <v>11</v>
      </c>
      <c r="AJ157" s="11">
        <v>181755543.87</v>
      </c>
      <c r="AK157" s="55" t="s">
        <v>11</v>
      </c>
      <c r="AL157" s="11">
        <v>191885880.74000001</v>
      </c>
      <c r="AM157" s="55" t="s">
        <v>11</v>
      </c>
      <c r="AN157" s="73">
        <v>176768958.25</v>
      </c>
      <c r="AO157" s="55" t="s">
        <v>11</v>
      </c>
      <c r="AP157" s="73">
        <v>185527627.58000001</v>
      </c>
      <c r="AQ157" s="88" t="s">
        <v>11</v>
      </c>
      <c r="AR157" s="85">
        <v>185261103</v>
      </c>
      <c r="AS157" s="235" t="s">
        <v>11</v>
      </c>
      <c r="AT157" s="236"/>
      <c r="AU157" s="236"/>
      <c r="AV157" s="236"/>
      <c r="AW157" s="236"/>
      <c r="AX157" s="236"/>
      <c r="AY157" s="237"/>
      <c r="AZ157" s="235">
        <v>208797580.81999999</v>
      </c>
      <c r="BA157" s="236"/>
      <c r="BB157" s="236"/>
      <c r="BC157" s="236"/>
      <c r="BD157" s="236"/>
      <c r="BE157" s="236"/>
      <c r="BF157" s="237"/>
      <c r="BG157" s="235" t="s">
        <v>11</v>
      </c>
      <c r="BH157" s="236"/>
      <c r="BI157" s="236"/>
      <c r="BJ157" s="236"/>
      <c r="BK157" s="236"/>
      <c r="BL157" s="236"/>
      <c r="BM157" s="237"/>
      <c r="BN157" s="235">
        <v>172810014.94</v>
      </c>
      <c r="BO157" s="236"/>
      <c r="BP157" s="236"/>
      <c r="BQ157" s="236"/>
      <c r="BR157" s="236"/>
      <c r="BS157" s="236"/>
      <c r="BT157" s="237"/>
      <c r="BU157" s="235" t="s">
        <v>11</v>
      </c>
      <c r="BV157" s="236"/>
      <c r="BW157" s="236"/>
      <c r="BX157" s="236"/>
      <c r="BY157" s="236"/>
      <c r="BZ157" s="236"/>
      <c r="CA157" s="237"/>
      <c r="CB157" s="235">
        <v>164933921.86000001</v>
      </c>
      <c r="CC157" s="236"/>
      <c r="CD157" s="236"/>
      <c r="CE157" s="236"/>
      <c r="CF157" s="236"/>
      <c r="CG157" s="236"/>
      <c r="CH157" s="237"/>
      <c r="CI157" s="235" t="s">
        <v>11</v>
      </c>
      <c r="CJ157" s="236"/>
      <c r="CK157" s="236"/>
      <c r="CL157" s="236"/>
      <c r="CM157" s="236"/>
      <c r="CN157" s="236"/>
      <c r="CO157" s="237"/>
      <c r="CP157" s="235">
        <f>[45]Export!$L$47703</f>
        <v>194752796.60861531</v>
      </c>
      <c r="CQ157" s="236"/>
      <c r="CR157" s="236"/>
      <c r="CS157" s="236"/>
      <c r="CT157" s="236"/>
      <c r="CU157" s="236"/>
      <c r="CV157" s="237"/>
      <c r="CW157" s="235" t="s">
        <v>11</v>
      </c>
      <c r="CX157" s="236"/>
      <c r="CY157" s="236"/>
      <c r="CZ157" s="236"/>
      <c r="DA157" s="236"/>
      <c r="DB157" s="236"/>
      <c r="DC157" s="237"/>
      <c r="DD157" s="235">
        <f>[46]Export!$L$46230</f>
        <v>183637432.35507777</v>
      </c>
      <c r="DE157" s="236"/>
      <c r="DF157" s="236"/>
      <c r="DG157" s="236"/>
      <c r="DH157" s="236"/>
      <c r="DI157" s="236"/>
      <c r="DJ157" s="237"/>
      <c r="DK157" s="235" t="s">
        <v>11</v>
      </c>
      <c r="DL157" s="236"/>
      <c r="DM157" s="236"/>
      <c r="DN157" s="236"/>
      <c r="DO157" s="236"/>
      <c r="DP157" s="236"/>
      <c r="DQ157" s="237"/>
      <c r="DR157" s="235">
        <f>[47]Export!$L$48106</f>
        <v>174279568.86276793</v>
      </c>
      <c r="DS157" s="236"/>
      <c r="DT157" s="236"/>
      <c r="DU157" s="236"/>
      <c r="DV157" s="236"/>
      <c r="DW157" s="236"/>
      <c r="DX157" s="237"/>
      <c r="DY157" s="235" t="s">
        <v>11</v>
      </c>
      <c r="DZ157" s="236"/>
      <c r="EA157" s="236"/>
      <c r="EB157" s="236"/>
      <c r="EC157" s="236"/>
      <c r="ED157" s="236"/>
      <c r="EE157" s="237"/>
      <c r="EF157" s="235">
        <f>[48]Export!$L$48225</f>
        <v>220006959.16615331</v>
      </c>
      <c r="EG157" s="236"/>
      <c r="EH157" s="236"/>
      <c r="EI157" s="236"/>
      <c r="EJ157" s="236"/>
      <c r="EK157" s="236"/>
      <c r="EL157" s="237"/>
      <c r="EM157" s="235" t="s">
        <v>11</v>
      </c>
      <c r="EN157" s="236"/>
      <c r="EO157" s="236"/>
      <c r="EP157" s="236"/>
      <c r="EQ157" s="236"/>
      <c r="ER157" s="236"/>
      <c r="ES157" s="237"/>
      <c r="ET157" s="235">
        <f>[49]Export!$L$48166</f>
        <v>235848985.79446113</v>
      </c>
      <c r="EU157" s="236"/>
      <c r="EV157" s="236"/>
      <c r="EW157" s="236"/>
      <c r="EX157" s="236"/>
      <c r="EY157" s="236"/>
      <c r="EZ157" s="237"/>
      <c r="FA157" s="235" t="s">
        <v>11</v>
      </c>
      <c r="FB157" s="236"/>
      <c r="FC157" s="236"/>
      <c r="FD157" s="236"/>
      <c r="FE157" s="236"/>
      <c r="FF157" s="236"/>
      <c r="FG157" s="237"/>
      <c r="FH157" s="235">
        <f>[50]Export!$L$48521</f>
        <v>255479229.05444509</v>
      </c>
      <c r="FI157" s="236"/>
      <c r="FJ157" s="236"/>
      <c r="FK157" s="236"/>
      <c r="FL157" s="236"/>
      <c r="FM157" s="236"/>
      <c r="FN157" s="237"/>
      <c r="FO157" s="176"/>
      <c r="FP157" s="176"/>
      <c r="FQ157" s="176"/>
      <c r="FR157" s="176"/>
      <c r="FS157" s="176"/>
      <c r="FT157" s="176"/>
      <c r="FU157" s="235" t="s">
        <v>11</v>
      </c>
      <c r="FV157" s="236"/>
      <c r="FW157" s="236"/>
      <c r="FX157" s="236"/>
      <c r="FY157" s="236"/>
      <c r="FZ157" s="236"/>
      <c r="GA157" s="237"/>
      <c r="GB157" s="200">
        <f>[51]Export!$L$48853</f>
        <v>272762833.60246146</v>
      </c>
      <c r="GC157" s="55" t="s">
        <v>11</v>
      </c>
      <c r="GD157" s="11">
        <f>F157+H157+J157+L157+N157+P157+R157+T157+V157+X157+Z157+AB157+AD157+AF157+AH157+AJ157+AL157+AN157+AP157+AR157+AZ157+BN157+CB157+CP157+DD157+DX157+EF157+ET157+FH157+GB157</f>
        <v>3921785663.6712146</v>
      </c>
      <c r="GE157" s="53" t="s">
        <v>33</v>
      </c>
    </row>
    <row r="158" spans="1:190" s="29" customFormat="1" ht="9" thickBot="1" x14ac:dyDescent="0.2">
      <c r="A158" s="30"/>
      <c r="B158" s="31"/>
      <c r="C158" s="31"/>
      <c r="D158" s="31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  <c r="AB158" s="32"/>
      <c r="AC158" s="32"/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  <c r="AQ158" s="86"/>
      <c r="AR158" s="86"/>
      <c r="AS158" s="32"/>
      <c r="AT158" s="32"/>
      <c r="AU158" s="32"/>
      <c r="AV158" s="32"/>
      <c r="AW158" s="32"/>
      <c r="AX158" s="32"/>
      <c r="AY158" s="32"/>
      <c r="AZ158" s="32"/>
      <c r="BA158" s="32"/>
      <c r="BB158" s="32"/>
      <c r="BC158" s="32"/>
      <c r="BD158" s="32"/>
      <c r="BE158" s="32"/>
      <c r="BF158" s="32"/>
      <c r="BG158" s="32"/>
      <c r="BH158" s="32"/>
      <c r="BI158" s="32"/>
      <c r="BJ158" s="32"/>
      <c r="BK158" s="32"/>
      <c r="BL158" s="32"/>
      <c r="BM158" s="32"/>
      <c r="BN158" s="32"/>
      <c r="BO158" s="32"/>
      <c r="BP158" s="32"/>
      <c r="BQ158" s="32"/>
      <c r="BR158" s="32"/>
      <c r="BS158" s="32"/>
      <c r="BT158" s="32"/>
      <c r="BU158" s="32"/>
      <c r="BV158" s="32"/>
      <c r="BW158" s="32"/>
      <c r="BX158" s="32"/>
      <c r="BY158" s="32"/>
      <c r="BZ158" s="32"/>
      <c r="CA158" s="32"/>
      <c r="CB158" s="32"/>
      <c r="CC158" s="32"/>
      <c r="CD158" s="32"/>
      <c r="CE158" s="32"/>
      <c r="CF158" s="32"/>
      <c r="CG158" s="32"/>
      <c r="CH158" s="32"/>
      <c r="CI158" s="32"/>
      <c r="CJ158" s="32"/>
      <c r="CK158" s="32"/>
      <c r="CL158" s="32"/>
      <c r="CM158" s="32"/>
      <c r="CN158" s="32"/>
      <c r="CO158" s="32"/>
      <c r="CP158" s="32"/>
      <c r="CQ158" s="32"/>
      <c r="CR158" s="32"/>
      <c r="CS158" s="32"/>
      <c r="CT158" s="32"/>
      <c r="CU158" s="32"/>
      <c r="CV158" s="32"/>
      <c r="CW158" s="32"/>
      <c r="CX158" s="32"/>
      <c r="CY158" s="32"/>
      <c r="CZ158" s="32"/>
      <c r="DA158" s="32"/>
      <c r="DB158" s="32"/>
      <c r="DC158" s="32"/>
      <c r="DD158" s="32"/>
      <c r="DE158" s="32"/>
      <c r="DF158" s="32"/>
      <c r="DG158" s="32"/>
      <c r="DH158" s="32"/>
      <c r="DI158" s="32"/>
      <c r="DJ158" s="32"/>
      <c r="DK158" s="32"/>
      <c r="DL158" s="32"/>
      <c r="DM158" s="32"/>
      <c r="DN158" s="32"/>
      <c r="DO158" s="32"/>
      <c r="DP158" s="32"/>
      <c r="DQ158" s="32"/>
      <c r="DR158" s="32"/>
      <c r="DS158" s="32"/>
      <c r="DT158" s="32"/>
      <c r="DU158" s="32"/>
      <c r="DV158" s="32"/>
      <c r="DW158" s="32"/>
      <c r="DX158" s="32"/>
      <c r="DY158" s="32"/>
      <c r="DZ158" s="32"/>
      <c r="EA158" s="32"/>
      <c r="EB158" s="32"/>
      <c r="EC158" s="32"/>
      <c r="ED158" s="32"/>
      <c r="EE158" s="32"/>
      <c r="EF158" s="32"/>
      <c r="EG158" s="32"/>
      <c r="EH158" s="32"/>
      <c r="EI158" s="32"/>
      <c r="EJ158" s="32"/>
      <c r="EK158" s="32"/>
      <c r="EL158" s="32"/>
      <c r="EM158" s="32"/>
      <c r="EN158" s="32"/>
      <c r="EO158" s="32"/>
      <c r="EP158" s="32"/>
      <c r="EQ158" s="32"/>
      <c r="ER158" s="32"/>
      <c r="ES158" s="32"/>
      <c r="ET158" s="32"/>
      <c r="EU158" s="32"/>
      <c r="EV158" s="32"/>
      <c r="EW158" s="32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3"/>
    </row>
    <row r="159" spans="1:190" s="43" customFormat="1" ht="12.75" x14ac:dyDescent="0.2">
      <c r="A159" s="5" t="s">
        <v>44</v>
      </c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6"/>
      <c r="AC159" s="5"/>
      <c r="AD159" s="6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109"/>
      <c r="BG159" s="109"/>
      <c r="BH159" s="109"/>
      <c r="BI159" s="109"/>
      <c r="BJ159" s="109"/>
      <c r="BK159" s="109"/>
      <c r="BL159" s="109"/>
      <c r="BM159" s="109"/>
      <c r="BN159" s="109"/>
      <c r="BO159" s="109"/>
      <c r="BP159" s="109"/>
      <c r="BQ159" s="109"/>
      <c r="BR159" s="109"/>
      <c r="BS159" s="109"/>
      <c r="BT159" s="109"/>
      <c r="BU159" s="109"/>
      <c r="BV159" s="109"/>
      <c r="BW159" s="109"/>
      <c r="BX159" s="109"/>
      <c r="BY159" s="109"/>
      <c r="BZ159" s="109"/>
      <c r="CA159" s="109"/>
      <c r="CB159" s="109"/>
      <c r="CC159" s="109"/>
      <c r="CD159" s="109"/>
      <c r="CE159" s="109"/>
      <c r="CF159" s="109"/>
      <c r="CG159" s="109"/>
      <c r="CH159" s="109"/>
      <c r="CI159" s="109"/>
      <c r="CJ159" s="109"/>
      <c r="CK159" s="109"/>
      <c r="CL159" s="109"/>
      <c r="CM159" s="109"/>
      <c r="CN159" s="109"/>
      <c r="CO159" s="109"/>
      <c r="CP159" s="109"/>
      <c r="CQ159" s="109"/>
      <c r="CR159" s="109"/>
      <c r="CS159" s="109"/>
      <c r="CT159" s="109"/>
      <c r="CU159" s="109"/>
      <c r="CV159" s="109"/>
      <c r="CW159" s="109"/>
      <c r="CX159" s="109"/>
      <c r="CY159" s="109"/>
      <c r="CZ159" s="109"/>
      <c r="DA159" s="109"/>
      <c r="DB159" s="109"/>
      <c r="DC159" s="109"/>
      <c r="DD159" s="109"/>
      <c r="DE159" s="109"/>
      <c r="DF159" s="109"/>
      <c r="DG159" s="109"/>
      <c r="DH159" s="109"/>
      <c r="DI159" s="109"/>
      <c r="DJ159" s="109"/>
      <c r="DK159" s="109"/>
      <c r="DL159" s="109"/>
      <c r="DM159" s="109"/>
      <c r="DN159" s="109"/>
      <c r="DO159" s="109"/>
      <c r="DP159" s="109"/>
      <c r="DQ159" s="109"/>
      <c r="DR159" s="109"/>
      <c r="DS159" s="109"/>
      <c r="DT159" s="109"/>
      <c r="DU159" s="109"/>
      <c r="DV159" s="109"/>
      <c r="DW159" s="109"/>
      <c r="DX159" s="109"/>
      <c r="DY159" s="109"/>
      <c r="DZ159" s="109"/>
      <c r="EA159" s="109"/>
      <c r="EB159" s="109"/>
      <c r="EC159" s="109"/>
      <c r="ED159" s="109"/>
      <c r="EE159" s="109"/>
      <c r="EF159" s="109"/>
      <c r="EG159" s="109"/>
      <c r="EH159" s="109"/>
      <c r="EI159" s="109"/>
      <c r="EJ159" s="109"/>
      <c r="EK159" s="109"/>
      <c r="EL159" s="109"/>
      <c r="EM159" s="109"/>
      <c r="EN159" s="109"/>
      <c r="EO159" s="109"/>
      <c r="EP159" s="109"/>
      <c r="EQ159" s="109"/>
      <c r="ER159" s="109"/>
      <c r="ES159" s="109"/>
      <c r="ET159" s="109"/>
      <c r="EU159" s="109"/>
      <c r="EV159" s="109"/>
      <c r="EW159" s="109"/>
      <c r="EX159" s="109"/>
      <c r="EY159" s="109"/>
      <c r="EZ159" s="109"/>
      <c r="FA159" s="109"/>
      <c r="FB159" s="109"/>
      <c r="FC159" s="109"/>
      <c r="FD159" s="109"/>
      <c r="FE159" s="109"/>
      <c r="FF159" s="109"/>
      <c r="FG159" s="109"/>
      <c r="FH159" s="109"/>
      <c r="FI159" s="109"/>
      <c r="FJ159" s="109"/>
      <c r="FK159" s="109"/>
      <c r="FL159" s="109"/>
      <c r="FM159" s="109"/>
      <c r="FN159" s="109"/>
      <c r="FO159" s="109"/>
      <c r="FP159" s="109"/>
      <c r="FQ159" s="109"/>
      <c r="FR159" s="109"/>
      <c r="FS159" s="109"/>
      <c r="FT159" s="109"/>
      <c r="FU159" s="109"/>
      <c r="FV159" s="109"/>
      <c r="FW159" s="109"/>
      <c r="FX159" s="109"/>
      <c r="FY159" s="109"/>
      <c r="FZ159" s="109"/>
      <c r="GA159" s="109"/>
      <c r="GB159" s="109"/>
      <c r="GC159" s="5"/>
      <c r="GD159" s="36"/>
    </row>
    <row r="160" spans="1:190" s="43" customFormat="1" ht="12.75" x14ac:dyDescent="0.2">
      <c r="A160" s="5" t="s">
        <v>256</v>
      </c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6"/>
      <c r="AC160" s="5"/>
      <c r="AD160" s="6"/>
      <c r="AE160" s="5"/>
      <c r="AF160" s="5"/>
      <c r="AG160" s="5"/>
      <c r="AH160" s="5"/>
      <c r="AI160" s="5"/>
      <c r="AJ160" s="5"/>
      <c r="AK160" s="5"/>
      <c r="AL160" s="36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74"/>
      <c r="FA160" s="74"/>
      <c r="FB160" s="74"/>
      <c r="FC160" s="74"/>
      <c r="FD160" s="74"/>
      <c r="FE160" s="74"/>
      <c r="FF160" s="74"/>
      <c r="FG160" s="74"/>
      <c r="FH160" s="74"/>
      <c r="FI160" s="74"/>
      <c r="FJ160" s="74"/>
      <c r="FK160" s="74"/>
      <c r="FL160" s="74"/>
      <c r="FM160" s="74"/>
      <c r="FN160" s="74"/>
      <c r="FO160" s="74"/>
      <c r="FP160" s="74"/>
      <c r="FQ160" s="74"/>
      <c r="FR160" s="74"/>
      <c r="FS160" s="74"/>
      <c r="FT160" s="74"/>
      <c r="FU160" s="74"/>
      <c r="FV160" s="74"/>
      <c r="FW160" s="74"/>
      <c r="FX160" s="74"/>
      <c r="FY160" s="74"/>
      <c r="FZ160" s="74"/>
      <c r="GA160" s="74"/>
      <c r="GB160" s="74"/>
      <c r="GC160" s="5"/>
      <c r="GD160" s="5"/>
    </row>
    <row r="161" spans="1:187" ht="15.75" thickBot="1" x14ac:dyDescent="0.3"/>
    <row r="162" spans="1:187" ht="18" x14ac:dyDescent="0.25">
      <c r="A162" s="238" t="s">
        <v>71</v>
      </c>
      <c r="B162" s="239"/>
      <c r="C162" s="239"/>
      <c r="D162" s="239"/>
      <c r="E162" s="239"/>
      <c r="F162" s="239"/>
      <c r="G162" s="239"/>
      <c r="H162" s="239"/>
      <c r="I162" s="239"/>
      <c r="J162" s="239"/>
      <c r="K162" s="239"/>
      <c r="L162" s="239"/>
      <c r="M162" s="239"/>
      <c r="N162" s="239"/>
      <c r="O162" s="239"/>
      <c r="P162" s="239"/>
      <c r="Q162" s="239"/>
      <c r="R162" s="239"/>
      <c r="S162" s="239"/>
      <c r="T162" s="239"/>
      <c r="U162" s="239"/>
      <c r="V162" s="239"/>
      <c r="W162" s="239"/>
      <c r="X162" s="239"/>
      <c r="Y162" s="239"/>
      <c r="Z162" s="239"/>
      <c r="AA162" s="239"/>
      <c r="AB162" s="239"/>
      <c r="AC162" s="239"/>
      <c r="AD162" s="239"/>
      <c r="AE162" s="239"/>
      <c r="AF162" s="239"/>
      <c r="AG162" s="239"/>
      <c r="AH162" s="239"/>
      <c r="AI162" s="239"/>
      <c r="AJ162" s="239"/>
      <c r="AK162" s="239"/>
      <c r="AL162" s="239"/>
      <c r="AM162" s="239"/>
      <c r="AN162" s="239"/>
      <c r="AO162" s="239"/>
      <c r="AP162" s="239"/>
      <c r="AQ162" s="239"/>
      <c r="AR162" s="239"/>
      <c r="AS162" s="239"/>
      <c r="AT162" s="239"/>
      <c r="AU162" s="239"/>
      <c r="AV162" s="239"/>
      <c r="AW162" s="239"/>
      <c r="AX162" s="239"/>
      <c r="AY162" s="239"/>
      <c r="AZ162" s="239"/>
      <c r="BA162" s="239"/>
      <c r="BB162" s="239"/>
      <c r="BC162" s="239"/>
      <c r="BD162" s="239"/>
      <c r="BE162" s="239"/>
      <c r="BF162" s="239"/>
      <c r="BG162" s="239"/>
      <c r="BH162" s="239"/>
      <c r="BI162" s="239"/>
      <c r="BJ162" s="239"/>
      <c r="BK162" s="239"/>
      <c r="BL162" s="239"/>
      <c r="BM162" s="239"/>
      <c r="BN162" s="239"/>
      <c r="BO162" s="239"/>
      <c r="BP162" s="239"/>
      <c r="BQ162" s="239"/>
      <c r="BR162" s="239"/>
      <c r="BS162" s="239"/>
      <c r="BT162" s="239"/>
      <c r="BU162" s="239"/>
      <c r="BV162" s="239"/>
      <c r="BW162" s="239"/>
      <c r="BX162" s="239"/>
      <c r="BY162" s="239"/>
      <c r="BZ162" s="239"/>
      <c r="CA162" s="239"/>
      <c r="CB162" s="239"/>
      <c r="CC162" s="239"/>
      <c r="CD162" s="239"/>
      <c r="CE162" s="239"/>
      <c r="CF162" s="239"/>
      <c r="CG162" s="239"/>
      <c r="CH162" s="239"/>
      <c r="CI162" s="239"/>
      <c r="CJ162" s="239"/>
      <c r="CK162" s="239"/>
      <c r="CL162" s="239"/>
      <c r="CM162" s="239"/>
      <c r="CN162" s="239"/>
      <c r="CO162" s="239"/>
      <c r="CP162" s="239"/>
      <c r="CQ162" s="239"/>
      <c r="CR162" s="239"/>
      <c r="CS162" s="239"/>
      <c r="CT162" s="239"/>
      <c r="CU162" s="239"/>
      <c r="CV162" s="239"/>
      <c r="CW162" s="239"/>
      <c r="CX162" s="239"/>
      <c r="CY162" s="239"/>
      <c r="CZ162" s="239"/>
      <c r="DA162" s="239"/>
      <c r="DB162" s="239"/>
      <c r="DC162" s="239"/>
      <c r="DD162" s="239"/>
      <c r="DE162" s="239"/>
      <c r="DF162" s="239"/>
      <c r="DG162" s="239"/>
      <c r="DH162" s="239"/>
      <c r="DI162" s="239"/>
      <c r="DJ162" s="239"/>
      <c r="DK162" s="239"/>
      <c r="DL162" s="239"/>
      <c r="DM162" s="239"/>
      <c r="DN162" s="239"/>
      <c r="DO162" s="239"/>
      <c r="DP162" s="239"/>
      <c r="DQ162" s="239"/>
      <c r="DR162" s="239"/>
      <c r="DS162" s="239"/>
      <c r="DT162" s="239"/>
      <c r="DU162" s="239"/>
      <c r="DV162" s="239"/>
      <c r="DW162" s="239"/>
      <c r="DX162" s="239"/>
      <c r="DY162" s="239"/>
      <c r="DZ162" s="239"/>
      <c r="EA162" s="239"/>
      <c r="EB162" s="239"/>
      <c r="EC162" s="239"/>
      <c r="ED162" s="239"/>
      <c r="EE162" s="239"/>
      <c r="EF162" s="239"/>
      <c r="EG162" s="239"/>
      <c r="EH162" s="239"/>
      <c r="EI162" s="239"/>
      <c r="EJ162" s="239"/>
      <c r="EK162" s="239"/>
      <c r="EL162" s="239"/>
      <c r="EM162" s="239"/>
      <c r="EN162" s="239"/>
      <c r="EO162" s="239"/>
      <c r="EP162" s="239"/>
      <c r="EQ162" s="239"/>
      <c r="ER162" s="239"/>
      <c r="ES162" s="239"/>
      <c r="ET162" s="239"/>
      <c r="EU162" s="239"/>
      <c r="EV162" s="239"/>
      <c r="EW162" s="239"/>
      <c r="EX162" s="239"/>
      <c r="EY162" s="239"/>
      <c r="EZ162" s="239"/>
      <c r="FA162" s="239"/>
      <c r="FB162" s="239"/>
      <c r="FC162" s="239"/>
      <c r="FD162" s="239"/>
      <c r="FE162" s="239"/>
      <c r="FF162" s="239"/>
      <c r="FG162" s="239"/>
      <c r="FH162" s="239"/>
      <c r="FI162" s="239"/>
      <c r="FJ162" s="239"/>
      <c r="FK162" s="239"/>
      <c r="FL162" s="239"/>
      <c r="FM162" s="239"/>
      <c r="FN162" s="239"/>
      <c r="FO162" s="239"/>
      <c r="FP162" s="239"/>
      <c r="FQ162" s="239"/>
      <c r="FR162" s="239"/>
      <c r="FS162" s="239"/>
      <c r="FT162" s="239"/>
      <c r="FU162" s="239"/>
      <c r="FV162" s="239"/>
      <c r="FW162" s="239"/>
      <c r="FX162" s="239"/>
      <c r="FY162" s="239"/>
      <c r="FZ162" s="239"/>
      <c r="GA162" s="239"/>
      <c r="GB162" s="239"/>
      <c r="GC162" s="239"/>
      <c r="GD162" s="239"/>
      <c r="GE162" s="240"/>
    </row>
    <row r="163" spans="1:187" s="5" customFormat="1" ht="15" customHeight="1" x14ac:dyDescent="0.2">
      <c r="A163" s="273" t="s">
        <v>75</v>
      </c>
      <c r="B163" s="44" t="s">
        <v>0</v>
      </c>
      <c r="C163" s="37" t="s">
        <v>1</v>
      </c>
      <c r="D163" s="37" t="s">
        <v>2</v>
      </c>
      <c r="E163" s="243">
        <v>1996</v>
      </c>
      <c r="F163" s="243"/>
      <c r="G163" s="243">
        <v>1997</v>
      </c>
      <c r="H163" s="243"/>
      <c r="I163" s="243">
        <v>1998</v>
      </c>
      <c r="J163" s="243"/>
      <c r="K163" s="243">
        <v>1999</v>
      </c>
      <c r="L163" s="243"/>
      <c r="M163" s="243">
        <v>2000</v>
      </c>
      <c r="N163" s="243"/>
      <c r="O163" s="243">
        <v>2001</v>
      </c>
      <c r="P163" s="243"/>
      <c r="Q163" s="243">
        <v>2002</v>
      </c>
      <c r="R163" s="243"/>
      <c r="S163" s="243">
        <v>2003</v>
      </c>
      <c r="T163" s="243"/>
      <c r="U163" s="243">
        <v>2004</v>
      </c>
      <c r="V163" s="243"/>
      <c r="W163" s="243">
        <v>2005</v>
      </c>
      <c r="X163" s="243"/>
      <c r="Y163" s="243">
        <v>2006</v>
      </c>
      <c r="Z163" s="243"/>
      <c r="AA163" s="243">
        <v>2007</v>
      </c>
      <c r="AB163" s="243"/>
      <c r="AC163" s="243">
        <v>2008</v>
      </c>
      <c r="AD163" s="243"/>
      <c r="AE163" s="243">
        <v>2009</v>
      </c>
      <c r="AF163" s="243"/>
      <c r="AG163" s="243">
        <v>2010</v>
      </c>
      <c r="AH163" s="243"/>
      <c r="AI163" s="243">
        <v>2011</v>
      </c>
      <c r="AJ163" s="243"/>
      <c r="AK163" s="243">
        <v>2012</v>
      </c>
      <c r="AL163" s="243"/>
      <c r="AM163" s="243">
        <v>2013</v>
      </c>
      <c r="AN163" s="243"/>
      <c r="AO163" s="230">
        <v>2014</v>
      </c>
      <c r="AP163" s="232"/>
      <c r="AQ163" s="230">
        <v>2015</v>
      </c>
      <c r="AR163" s="232"/>
      <c r="AS163" s="230">
        <v>2016</v>
      </c>
      <c r="AT163" s="231"/>
      <c r="AU163" s="231"/>
      <c r="AV163" s="231"/>
      <c r="AW163" s="231"/>
      <c r="AX163" s="231"/>
      <c r="AY163" s="231"/>
      <c r="AZ163" s="231"/>
      <c r="BA163" s="231"/>
      <c r="BB163" s="231"/>
      <c r="BC163" s="231"/>
      <c r="BD163" s="231"/>
      <c r="BE163" s="231"/>
      <c r="BF163" s="232"/>
      <c r="BG163" s="230">
        <v>2017</v>
      </c>
      <c r="BH163" s="231"/>
      <c r="BI163" s="231"/>
      <c r="BJ163" s="231"/>
      <c r="BK163" s="231"/>
      <c r="BL163" s="231"/>
      <c r="BM163" s="231"/>
      <c r="BN163" s="231"/>
      <c r="BO163" s="231"/>
      <c r="BP163" s="231"/>
      <c r="BQ163" s="231"/>
      <c r="BR163" s="231"/>
      <c r="BS163" s="231"/>
      <c r="BT163" s="232"/>
      <c r="BU163" s="230">
        <v>2018</v>
      </c>
      <c r="BV163" s="231"/>
      <c r="BW163" s="231"/>
      <c r="BX163" s="231"/>
      <c r="BY163" s="231"/>
      <c r="BZ163" s="231"/>
      <c r="CA163" s="231"/>
      <c r="CB163" s="231"/>
      <c r="CC163" s="231"/>
      <c r="CD163" s="231"/>
      <c r="CE163" s="231"/>
      <c r="CF163" s="231"/>
      <c r="CG163" s="231"/>
      <c r="CH163" s="232"/>
      <c r="CI163" s="230">
        <v>2019</v>
      </c>
      <c r="CJ163" s="231"/>
      <c r="CK163" s="231"/>
      <c r="CL163" s="231"/>
      <c r="CM163" s="231"/>
      <c r="CN163" s="231"/>
      <c r="CO163" s="231"/>
      <c r="CP163" s="231"/>
      <c r="CQ163" s="231"/>
      <c r="CR163" s="231"/>
      <c r="CS163" s="231"/>
      <c r="CT163" s="231"/>
      <c r="CU163" s="231"/>
      <c r="CV163" s="232"/>
      <c r="CW163" s="230">
        <v>2020</v>
      </c>
      <c r="CX163" s="231"/>
      <c r="CY163" s="231"/>
      <c r="CZ163" s="231"/>
      <c r="DA163" s="231"/>
      <c r="DB163" s="231"/>
      <c r="DC163" s="231"/>
      <c r="DD163" s="231"/>
      <c r="DE163" s="231"/>
      <c r="DF163" s="231"/>
      <c r="DG163" s="231"/>
      <c r="DH163" s="231"/>
      <c r="DI163" s="231"/>
      <c r="DJ163" s="232"/>
      <c r="DK163" s="230">
        <v>2021</v>
      </c>
      <c r="DL163" s="231"/>
      <c r="DM163" s="231"/>
      <c r="DN163" s="231"/>
      <c r="DO163" s="231"/>
      <c r="DP163" s="231"/>
      <c r="DQ163" s="231"/>
      <c r="DR163" s="231"/>
      <c r="DS163" s="231"/>
      <c r="DT163" s="231"/>
      <c r="DU163" s="231"/>
      <c r="DV163" s="231"/>
      <c r="DW163" s="231"/>
      <c r="DX163" s="232"/>
      <c r="DY163" s="230">
        <v>2022</v>
      </c>
      <c r="DZ163" s="231"/>
      <c r="EA163" s="231"/>
      <c r="EB163" s="231"/>
      <c r="EC163" s="231"/>
      <c r="ED163" s="231"/>
      <c r="EE163" s="231"/>
      <c r="EF163" s="231"/>
      <c r="EG163" s="231"/>
      <c r="EH163" s="231"/>
      <c r="EI163" s="231"/>
      <c r="EJ163" s="231"/>
      <c r="EK163" s="231"/>
      <c r="EL163" s="232"/>
      <c r="EM163" s="230">
        <v>2023</v>
      </c>
      <c r="EN163" s="231"/>
      <c r="EO163" s="231"/>
      <c r="EP163" s="231"/>
      <c r="EQ163" s="231"/>
      <c r="ER163" s="231"/>
      <c r="ES163" s="231"/>
      <c r="ET163" s="231"/>
      <c r="EU163" s="231"/>
      <c r="EV163" s="231"/>
      <c r="EW163" s="231"/>
      <c r="EX163" s="231"/>
      <c r="EY163" s="231"/>
      <c r="EZ163" s="232"/>
      <c r="FA163" s="230">
        <v>2024</v>
      </c>
      <c r="FB163" s="231"/>
      <c r="FC163" s="231"/>
      <c r="FD163" s="231"/>
      <c r="FE163" s="231"/>
      <c r="FF163" s="231"/>
      <c r="FG163" s="231"/>
      <c r="FH163" s="231"/>
      <c r="FI163" s="231"/>
      <c r="FJ163" s="231"/>
      <c r="FK163" s="231"/>
      <c r="FL163" s="231"/>
      <c r="FM163" s="231"/>
      <c r="FN163" s="232"/>
      <c r="FO163" s="230">
        <v>2025</v>
      </c>
      <c r="FP163" s="231"/>
      <c r="FQ163" s="231"/>
      <c r="FR163" s="231"/>
      <c r="FS163" s="231"/>
      <c r="FT163" s="231"/>
      <c r="FU163" s="231"/>
      <c r="FV163" s="231"/>
      <c r="FW163" s="231"/>
      <c r="FX163" s="231"/>
      <c r="FY163" s="231"/>
      <c r="FZ163" s="231"/>
      <c r="GA163" s="231"/>
      <c r="GB163" s="232"/>
      <c r="GC163" s="230" t="s">
        <v>3</v>
      </c>
      <c r="GD163" s="232"/>
      <c r="GE163" s="38" t="s">
        <v>4</v>
      </c>
    </row>
    <row r="164" spans="1:187" x14ac:dyDescent="0.25">
      <c r="A164" s="272"/>
      <c r="B164" s="56" t="s">
        <v>76</v>
      </c>
      <c r="C164" s="51" t="s">
        <v>7</v>
      </c>
      <c r="D164" s="52">
        <v>39083</v>
      </c>
      <c r="E164" s="276"/>
      <c r="F164" s="277"/>
      <c r="G164" s="276"/>
      <c r="H164" s="277"/>
      <c r="I164" s="276"/>
      <c r="J164" s="277"/>
      <c r="K164" s="276"/>
      <c r="L164" s="277"/>
      <c r="M164" s="276"/>
      <c r="N164" s="277"/>
      <c r="O164" s="276"/>
      <c r="P164" s="277"/>
      <c r="Q164" s="276"/>
      <c r="R164" s="277"/>
      <c r="S164" s="276"/>
      <c r="T164" s="277"/>
      <c r="U164" s="276"/>
      <c r="V164" s="277"/>
      <c r="W164" s="276"/>
      <c r="X164" s="277"/>
      <c r="Y164" s="276"/>
      <c r="Z164" s="277"/>
      <c r="AA164" s="278">
        <v>84221.23</v>
      </c>
      <c r="AB164" s="279"/>
      <c r="AC164" s="278">
        <v>37618.5</v>
      </c>
      <c r="AD164" s="279"/>
      <c r="AE164" s="278">
        <v>160956.51</v>
      </c>
      <c r="AF164" s="279"/>
      <c r="AG164" s="278">
        <v>346245.19</v>
      </c>
      <c r="AH164" s="279"/>
      <c r="AI164" s="278">
        <v>556083.81000000006</v>
      </c>
      <c r="AJ164" s="279"/>
      <c r="AK164" s="278">
        <v>221694.7</v>
      </c>
      <c r="AL164" s="279"/>
      <c r="AM164" s="278">
        <v>76029.95</v>
      </c>
      <c r="AN164" s="279"/>
      <c r="AO164" s="278">
        <v>2124.9</v>
      </c>
      <c r="AP164" s="279"/>
      <c r="AQ164" s="278">
        <v>2535.6</v>
      </c>
      <c r="AR164" s="279"/>
      <c r="AS164" s="278">
        <v>0</v>
      </c>
      <c r="AT164" s="280"/>
      <c r="AU164" s="280"/>
      <c r="AV164" s="280"/>
      <c r="AW164" s="280"/>
      <c r="AX164" s="280"/>
      <c r="AY164" s="280"/>
      <c r="AZ164" s="280"/>
      <c r="BA164" s="280"/>
      <c r="BB164" s="280"/>
      <c r="BC164" s="280"/>
      <c r="BD164" s="280"/>
      <c r="BE164" s="280"/>
      <c r="BF164" s="279"/>
      <c r="BG164" s="278">
        <v>0</v>
      </c>
      <c r="BH164" s="280"/>
      <c r="BI164" s="280"/>
      <c r="BJ164" s="280"/>
      <c r="BK164" s="280"/>
      <c r="BL164" s="280"/>
      <c r="BM164" s="280"/>
      <c r="BN164" s="280"/>
      <c r="BO164" s="280"/>
      <c r="BP164" s="280"/>
      <c r="BQ164" s="280"/>
      <c r="BR164" s="280"/>
      <c r="BS164" s="280"/>
      <c r="BT164" s="279"/>
      <c r="BU164" s="278">
        <v>0</v>
      </c>
      <c r="BV164" s="280"/>
      <c r="BW164" s="280"/>
      <c r="BX164" s="280"/>
      <c r="BY164" s="280"/>
      <c r="BZ164" s="280"/>
      <c r="CA164" s="280"/>
      <c r="CB164" s="280"/>
      <c r="CC164" s="280"/>
      <c r="CD164" s="280"/>
      <c r="CE164" s="280"/>
      <c r="CF164" s="280"/>
      <c r="CG164" s="280"/>
      <c r="CH164" s="279"/>
      <c r="CI164" s="278">
        <v>0</v>
      </c>
      <c r="CJ164" s="280"/>
      <c r="CK164" s="280"/>
      <c r="CL164" s="280"/>
      <c r="CM164" s="280"/>
      <c r="CN164" s="280"/>
      <c r="CO164" s="280"/>
      <c r="CP164" s="280"/>
      <c r="CQ164" s="280"/>
      <c r="CR164" s="280"/>
      <c r="CS164" s="280"/>
      <c r="CT164" s="280"/>
      <c r="CU164" s="280"/>
      <c r="CV164" s="279"/>
      <c r="CW164" s="278">
        <v>0</v>
      </c>
      <c r="CX164" s="280"/>
      <c r="CY164" s="280"/>
      <c r="CZ164" s="280"/>
      <c r="DA164" s="280"/>
      <c r="DB164" s="280"/>
      <c r="DC164" s="280"/>
      <c r="DD164" s="280"/>
      <c r="DE164" s="280"/>
      <c r="DF164" s="280"/>
      <c r="DG164" s="280"/>
      <c r="DH164" s="280"/>
      <c r="DI164" s="280"/>
      <c r="DJ164" s="279"/>
      <c r="DK164" s="278">
        <v>0</v>
      </c>
      <c r="DL164" s="280"/>
      <c r="DM164" s="280"/>
      <c r="DN164" s="280"/>
      <c r="DO164" s="280"/>
      <c r="DP164" s="280"/>
      <c r="DQ164" s="280"/>
      <c r="DR164" s="280"/>
      <c r="DS164" s="280"/>
      <c r="DT164" s="280"/>
      <c r="DU164" s="280"/>
      <c r="DV164" s="280"/>
      <c r="DW164" s="280"/>
      <c r="DX164" s="279"/>
      <c r="DY164" s="278">
        <v>0</v>
      </c>
      <c r="DZ164" s="280"/>
      <c r="EA164" s="280"/>
      <c r="EB164" s="280"/>
      <c r="EC164" s="280"/>
      <c r="ED164" s="280"/>
      <c r="EE164" s="280"/>
      <c r="EF164" s="280"/>
      <c r="EG164" s="280"/>
      <c r="EH164" s="280"/>
      <c r="EI164" s="280"/>
      <c r="EJ164" s="280"/>
      <c r="EK164" s="280"/>
      <c r="EL164" s="279"/>
      <c r="EM164" s="278">
        <v>0</v>
      </c>
      <c r="EN164" s="280"/>
      <c r="EO164" s="280"/>
      <c r="EP164" s="280"/>
      <c r="EQ164" s="280"/>
      <c r="ER164" s="280"/>
      <c r="ES164" s="280"/>
      <c r="ET164" s="280"/>
      <c r="EU164" s="280"/>
      <c r="EV164" s="280"/>
      <c r="EW164" s="280"/>
      <c r="EX164" s="280"/>
      <c r="EY164" s="280"/>
      <c r="EZ164" s="279"/>
      <c r="FA164" s="278">
        <v>0</v>
      </c>
      <c r="FB164" s="280"/>
      <c r="FC164" s="280"/>
      <c r="FD164" s="280"/>
      <c r="FE164" s="280"/>
      <c r="FF164" s="280"/>
      <c r="FG164" s="280"/>
      <c r="FH164" s="280"/>
      <c r="FI164" s="280"/>
      <c r="FJ164" s="280"/>
      <c r="FK164" s="280"/>
      <c r="FL164" s="280"/>
      <c r="FM164" s="280"/>
      <c r="FN164" s="279"/>
      <c r="FO164" s="178"/>
      <c r="FP164" s="178"/>
      <c r="FQ164" s="178"/>
      <c r="FR164" s="178"/>
      <c r="FS164" s="178"/>
      <c r="FT164" s="178"/>
      <c r="FU164" s="280">
        <v>0</v>
      </c>
      <c r="FV164" s="280"/>
      <c r="FW164" s="280"/>
      <c r="FX164" s="280"/>
      <c r="FY164" s="280"/>
      <c r="FZ164" s="280"/>
      <c r="GA164" s="280"/>
      <c r="GB164" s="279"/>
      <c r="GC164" s="278">
        <f>E164+G164+I164+K164+M164+O164+Q164+S164+U164+W164+Y164+AA164+AC164+AE164+AG164+AI164+AK164+AM164+AO164+AQ164+AS164+BG164+CI164+CW164+DK164+DY164+EM164+FA164+FU164</f>
        <v>1487510.39</v>
      </c>
      <c r="GD164" s="279"/>
      <c r="GE164" s="53" t="s">
        <v>15</v>
      </c>
    </row>
    <row r="165" spans="1:187" s="29" customFormat="1" ht="9" thickBot="1" x14ac:dyDescent="0.2">
      <c r="A165" s="39"/>
      <c r="B165" s="40"/>
      <c r="C165" s="40"/>
      <c r="D165" s="40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F165" s="41"/>
      <c r="AG165" s="41"/>
      <c r="AH165" s="41"/>
      <c r="AI165" s="41"/>
      <c r="AJ165" s="41"/>
      <c r="AK165" s="41"/>
      <c r="AL165" s="41"/>
      <c r="AM165" s="41"/>
      <c r="AN165" s="41"/>
      <c r="AO165" s="41"/>
      <c r="AP165" s="41"/>
      <c r="AQ165" s="87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1"/>
      <c r="BM165" s="41"/>
      <c r="BN165" s="41"/>
      <c r="BO165" s="41"/>
      <c r="BP165" s="41"/>
      <c r="BQ165" s="41"/>
      <c r="BR165" s="41"/>
      <c r="BS165" s="41"/>
      <c r="BT165" s="41"/>
      <c r="BU165" s="41"/>
      <c r="BV165" s="41"/>
      <c r="BW165" s="41"/>
      <c r="BX165" s="41"/>
      <c r="BY165" s="41"/>
      <c r="BZ165" s="41"/>
      <c r="CA165" s="41"/>
      <c r="CB165" s="41"/>
      <c r="CC165" s="41"/>
      <c r="CD165" s="41"/>
      <c r="CE165" s="41"/>
      <c r="CF165" s="41"/>
      <c r="CG165" s="41"/>
      <c r="CH165" s="41"/>
      <c r="CI165" s="41"/>
      <c r="CJ165" s="41"/>
      <c r="CK165" s="41"/>
      <c r="CL165" s="41"/>
      <c r="CM165" s="41"/>
      <c r="CN165" s="41"/>
      <c r="CO165" s="41"/>
      <c r="CP165" s="41"/>
      <c r="CQ165" s="41"/>
      <c r="CR165" s="41"/>
      <c r="CS165" s="41"/>
      <c r="CT165" s="41"/>
      <c r="CU165" s="41"/>
      <c r="CV165" s="41"/>
      <c r="CW165" s="41"/>
      <c r="CX165" s="41"/>
      <c r="CY165" s="41"/>
      <c r="CZ165" s="41"/>
      <c r="DA165" s="41"/>
      <c r="DB165" s="41"/>
      <c r="DC165" s="41"/>
      <c r="DD165" s="41"/>
      <c r="DE165" s="41"/>
      <c r="DF165" s="41"/>
      <c r="DG165" s="41"/>
      <c r="DH165" s="41"/>
      <c r="DI165" s="41"/>
      <c r="DJ165" s="41"/>
      <c r="DK165" s="41"/>
      <c r="DL165" s="41"/>
      <c r="DM165" s="41"/>
      <c r="DN165" s="41"/>
      <c r="DO165" s="41"/>
      <c r="DP165" s="41"/>
      <c r="DQ165" s="41"/>
      <c r="DR165" s="41"/>
      <c r="DS165" s="41"/>
      <c r="DT165" s="41"/>
      <c r="DU165" s="41"/>
      <c r="DV165" s="41"/>
      <c r="DW165" s="41"/>
      <c r="DX165" s="41"/>
      <c r="DY165" s="41"/>
      <c r="DZ165" s="41"/>
      <c r="EA165" s="41"/>
      <c r="EB165" s="41"/>
      <c r="EC165" s="41"/>
      <c r="ED165" s="41"/>
      <c r="EE165" s="41"/>
      <c r="EF165" s="41"/>
      <c r="EG165" s="41"/>
      <c r="EH165" s="41"/>
      <c r="EI165" s="41"/>
      <c r="EJ165" s="41"/>
      <c r="EK165" s="41"/>
      <c r="EL165" s="41"/>
      <c r="EM165" s="41"/>
      <c r="EN165" s="41"/>
      <c r="EO165" s="41"/>
      <c r="EP165" s="41"/>
      <c r="EQ165" s="41"/>
      <c r="ER165" s="41"/>
      <c r="ES165" s="41"/>
      <c r="ET165" s="41"/>
      <c r="EU165" s="41"/>
      <c r="EV165" s="41"/>
      <c r="EW165" s="41"/>
      <c r="EX165" s="41"/>
      <c r="EY165" s="41"/>
      <c r="EZ165" s="41"/>
      <c r="FA165" s="41"/>
      <c r="FB165" s="41"/>
      <c r="FC165" s="41"/>
      <c r="FD165" s="41"/>
      <c r="FE165" s="41"/>
      <c r="FF165" s="41"/>
      <c r="FG165" s="41"/>
      <c r="FH165" s="41"/>
      <c r="FI165" s="41"/>
      <c r="FJ165" s="41"/>
      <c r="FK165" s="41"/>
      <c r="FL165" s="41"/>
      <c r="FM165" s="41"/>
      <c r="FN165" s="41"/>
      <c r="FO165" s="41"/>
      <c r="FP165" s="41"/>
      <c r="FQ165" s="41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41"/>
      <c r="GC165" s="41"/>
      <c r="GD165" s="41"/>
      <c r="GE165" s="42"/>
    </row>
    <row r="166" spans="1:187" s="43" customFormat="1" ht="12.75" x14ac:dyDescent="0.2">
      <c r="A166" s="5" t="s">
        <v>72</v>
      </c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  <c r="GB166" s="5"/>
      <c r="GC166" s="5"/>
      <c r="GD166" s="5"/>
    </row>
    <row r="167" spans="1:187" s="43" customFormat="1" ht="12.75" x14ac:dyDescent="0.2">
      <c r="A167" s="5" t="s">
        <v>77</v>
      </c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  <c r="FU167" s="5"/>
      <c r="FV167" s="5"/>
      <c r="FW167" s="5"/>
      <c r="FX167" s="5"/>
      <c r="FY167" s="5"/>
      <c r="FZ167" s="5"/>
      <c r="GA167" s="5"/>
      <c r="GB167" s="5"/>
      <c r="GC167" s="5"/>
      <c r="GD167" s="5"/>
    </row>
    <row r="168" spans="1:187" s="43" customFormat="1" ht="12.75" x14ac:dyDescent="0.2">
      <c r="A168" s="5" t="s">
        <v>256</v>
      </c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</row>
    <row r="169" spans="1:187" ht="15.75" thickBot="1" x14ac:dyDescent="0.3"/>
    <row r="170" spans="1:187" s="43" customFormat="1" ht="18" x14ac:dyDescent="0.25">
      <c r="A170" s="238" t="s">
        <v>121</v>
      </c>
      <c r="B170" s="239"/>
      <c r="C170" s="239"/>
      <c r="D170" s="239"/>
      <c r="E170" s="239"/>
      <c r="F170" s="239"/>
      <c r="G170" s="239"/>
      <c r="H170" s="239"/>
      <c r="I170" s="239"/>
      <c r="J170" s="239"/>
      <c r="K170" s="239"/>
      <c r="L170" s="239"/>
      <c r="M170" s="239"/>
      <c r="N170" s="239"/>
      <c r="O170" s="239"/>
      <c r="P170" s="239"/>
      <c r="Q170" s="239"/>
      <c r="R170" s="239"/>
      <c r="S170" s="239"/>
      <c r="T170" s="239"/>
      <c r="U170" s="239"/>
      <c r="V170" s="239"/>
      <c r="W170" s="239"/>
      <c r="X170" s="239"/>
      <c r="Y170" s="239"/>
      <c r="Z170" s="239"/>
      <c r="AA170" s="239"/>
      <c r="AB170" s="239"/>
      <c r="AC170" s="239"/>
      <c r="AD170" s="239"/>
      <c r="AE170" s="239"/>
      <c r="AF170" s="239"/>
      <c r="AG170" s="239"/>
      <c r="AH170" s="239"/>
      <c r="AI170" s="239"/>
      <c r="AJ170" s="239"/>
      <c r="AK170" s="239"/>
      <c r="AL170" s="239"/>
      <c r="AM170" s="239"/>
      <c r="AN170" s="239"/>
      <c r="AO170" s="239"/>
      <c r="AP170" s="239"/>
      <c r="AQ170" s="239"/>
      <c r="AR170" s="239"/>
      <c r="AS170" s="239"/>
      <c r="AT170" s="239"/>
      <c r="AU170" s="239"/>
      <c r="AV170" s="239"/>
      <c r="AW170" s="239"/>
      <c r="AX170" s="239"/>
      <c r="AY170" s="239"/>
      <c r="AZ170" s="239"/>
      <c r="BA170" s="239"/>
      <c r="BB170" s="239"/>
      <c r="BC170" s="239"/>
      <c r="BD170" s="239"/>
      <c r="BE170" s="239"/>
      <c r="BF170" s="239"/>
      <c r="BG170" s="239"/>
      <c r="BH170" s="239"/>
      <c r="BI170" s="239"/>
      <c r="BJ170" s="239"/>
      <c r="BK170" s="239"/>
      <c r="BL170" s="239"/>
      <c r="BM170" s="239"/>
      <c r="BN170" s="239"/>
      <c r="BO170" s="239"/>
      <c r="BP170" s="239"/>
      <c r="BQ170" s="239"/>
      <c r="BR170" s="239"/>
      <c r="BS170" s="239"/>
      <c r="BT170" s="239"/>
      <c r="BU170" s="239"/>
      <c r="BV170" s="239"/>
      <c r="BW170" s="239"/>
      <c r="BX170" s="239"/>
      <c r="BY170" s="239"/>
      <c r="BZ170" s="239"/>
      <c r="CA170" s="239"/>
      <c r="CB170" s="239"/>
      <c r="CC170" s="239"/>
      <c r="CD170" s="239"/>
      <c r="CE170" s="239"/>
      <c r="CF170" s="239"/>
      <c r="CG170" s="239"/>
      <c r="CH170" s="239"/>
      <c r="CI170" s="239"/>
      <c r="CJ170" s="239"/>
      <c r="CK170" s="239"/>
      <c r="CL170" s="239"/>
      <c r="CM170" s="239"/>
      <c r="CN170" s="239"/>
      <c r="CO170" s="239"/>
      <c r="CP170" s="239"/>
      <c r="CQ170" s="239"/>
      <c r="CR170" s="239"/>
      <c r="CS170" s="239"/>
      <c r="CT170" s="239"/>
      <c r="CU170" s="239"/>
      <c r="CV170" s="239"/>
      <c r="CW170" s="239"/>
      <c r="CX170" s="239"/>
      <c r="CY170" s="239"/>
      <c r="CZ170" s="239"/>
      <c r="DA170" s="239"/>
      <c r="DB170" s="239"/>
      <c r="DC170" s="239"/>
      <c r="DD170" s="239"/>
      <c r="DE170" s="239"/>
      <c r="DF170" s="239"/>
      <c r="DG170" s="239"/>
      <c r="DH170" s="239"/>
      <c r="DI170" s="239"/>
      <c r="DJ170" s="239"/>
      <c r="DK170" s="239"/>
      <c r="DL170" s="239"/>
      <c r="DM170" s="239"/>
      <c r="DN170" s="239"/>
      <c r="DO170" s="239"/>
      <c r="DP170" s="239"/>
      <c r="DQ170" s="239"/>
      <c r="DR170" s="239"/>
      <c r="DS170" s="239"/>
      <c r="DT170" s="239"/>
      <c r="DU170" s="239"/>
      <c r="DV170" s="239"/>
      <c r="DW170" s="239"/>
      <c r="DX170" s="239"/>
      <c r="DY170" s="239"/>
      <c r="DZ170" s="239"/>
      <c r="EA170" s="239"/>
      <c r="EB170" s="239"/>
      <c r="EC170" s="239"/>
      <c r="ED170" s="239"/>
      <c r="EE170" s="239"/>
      <c r="EF170" s="239"/>
      <c r="EG170" s="239"/>
      <c r="EH170" s="239"/>
      <c r="EI170" s="239"/>
      <c r="EJ170" s="239"/>
      <c r="EK170" s="239"/>
      <c r="EL170" s="239"/>
      <c r="EM170" s="239"/>
      <c r="EN170" s="239"/>
      <c r="EO170" s="239"/>
      <c r="EP170" s="239"/>
      <c r="EQ170" s="239"/>
      <c r="ER170" s="239"/>
      <c r="ES170" s="239"/>
      <c r="ET170" s="239"/>
      <c r="EU170" s="239"/>
      <c r="EV170" s="239"/>
      <c r="EW170" s="239"/>
      <c r="EX170" s="239"/>
      <c r="EY170" s="239"/>
      <c r="EZ170" s="239"/>
      <c r="FA170" s="239"/>
      <c r="FB170" s="239"/>
      <c r="FC170" s="239"/>
      <c r="FD170" s="239"/>
      <c r="FE170" s="239"/>
      <c r="FF170" s="239"/>
      <c r="FG170" s="239"/>
      <c r="FH170" s="239"/>
      <c r="FI170" s="239"/>
      <c r="FJ170" s="239"/>
      <c r="FK170" s="239"/>
      <c r="FL170" s="239"/>
      <c r="FM170" s="239"/>
      <c r="FN170" s="239"/>
      <c r="FO170" s="239"/>
      <c r="FP170" s="239"/>
      <c r="FQ170" s="239"/>
      <c r="FR170" s="239"/>
      <c r="FS170" s="239"/>
      <c r="FT170" s="239"/>
      <c r="FU170" s="239"/>
      <c r="FV170" s="239"/>
      <c r="FW170" s="239"/>
      <c r="FX170" s="239"/>
      <c r="FY170" s="239"/>
      <c r="FZ170" s="239"/>
      <c r="GA170" s="239"/>
      <c r="GB170" s="239"/>
      <c r="GC170" s="239"/>
      <c r="GD170" s="239"/>
      <c r="GE170" s="240"/>
    </row>
    <row r="171" spans="1:187" s="43" customFormat="1" ht="12.75" x14ac:dyDescent="0.2">
      <c r="A171" s="117"/>
      <c r="B171" s="118"/>
      <c r="C171" s="119"/>
      <c r="D171" s="120"/>
      <c r="E171" s="243">
        <v>1996</v>
      </c>
      <c r="F171" s="243"/>
      <c r="G171" s="243">
        <v>1997</v>
      </c>
      <c r="H171" s="243"/>
      <c r="I171" s="243">
        <v>1998</v>
      </c>
      <c r="J171" s="243"/>
      <c r="K171" s="243">
        <v>1999</v>
      </c>
      <c r="L171" s="243"/>
      <c r="M171" s="243">
        <v>2000</v>
      </c>
      <c r="N171" s="243"/>
      <c r="O171" s="243">
        <v>2001</v>
      </c>
      <c r="P171" s="243"/>
      <c r="Q171" s="243">
        <v>2002</v>
      </c>
      <c r="R171" s="243"/>
      <c r="S171" s="243">
        <v>2003</v>
      </c>
      <c r="T171" s="243"/>
      <c r="U171" s="243">
        <v>2004</v>
      </c>
      <c r="V171" s="243"/>
      <c r="W171" s="243">
        <v>2005</v>
      </c>
      <c r="X171" s="243"/>
      <c r="Y171" s="243">
        <v>2006</v>
      </c>
      <c r="Z171" s="243"/>
      <c r="AA171" s="243">
        <v>2007</v>
      </c>
      <c r="AB171" s="243"/>
      <c r="AC171" s="243">
        <v>2008</v>
      </c>
      <c r="AD171" s="243"/>
      <c r="AE171" s="243">
        <v>2009</v>
      </c>
      <c r="AF171" s="243"/>
      <c r="AG171" s="243">
        <v>2010</v>
      </c>
      <c r="AH171" s="243"/>
      <c r="AI171" s="243">
        <v>2011</v>
      </c>
      <c r="AJ171" s="243"/>
      <c r="AK171" s="243">
        <v>2012</v>
      </c>
      <c r="AL171" s="243"/>
      <c r="AM171" s="243">
        <v>2013</v>
      </c>
      <c r="AN171" s="243"/>
      <c r="AO171" s="230">
        <v>2014</v>
      </c>
      <c r="AP171" s="231"/>
      <c r="AQ171" s="230">
        <v>2015</v>
      </c>
      <c r="AR171" s="232"/>
      <c r="AS171" s="230">
        <v>2016</v>
      </c>
      <c r="AT171" s="231"/>
      <c r="AU171" s="231"/>
      <c r="AV171" s="231"/>
      <c r="AW171" s="231"/>
      <c r="AX171" s="231"/>
      <c r="AY171" s="231"/>
      <c r="AZ171" s="231"/>
      <c r="BA171" s="231"/>
      <c r="BB171" s="231"/>
      <c r="BC171" s="231"/>
      <c r="BD171" s="231"/>
      <c r="BE171" s="231"/>
      <c r="BF171" s="232"/>
      <c r="BG171" s="230">
        <v>2017</v>
      </c>
      <c r="BH171" s="231"/>
      <c r="BI171" s="231"/>
      <c r="BJ171" s="231"/>
      <c r="BK171" s="231"/>
      <c r="BL171" s="231"/>
      <c r="BM171" s="231"/>
      <c r="BN171" s="231"/>
      <c r="BO171" s="231"/>
      <c r="BP171" s="231"/>
      <c r="BQ171" s="231"/>
      <c r="BR171" s="231"/>
      <c r="BS171" s="231"/>
      <c r="BT171" s="232"/>
      <c r="BU171" s="230">
        <v>2018</v>
      </c>
      <c r="BV171" s="231"/>
      <c r="BW171" s="231"/>
      <c r="BX171" s="231"/>
      <c r="BY171" s="231"/>
      <c r="BZ171" s="231"/>
      <c r="CA171" s="231"/>
      <c r="CB171" s="231"/>
      <c r="CC171" s="231"/>
      <c r="CD171" s="231"/>
      <c r="CE171" s="231"/>
      <c r="CF171" s="231"/>
      <c r="CG171" s="231"/>
      <c r="CH171" s="232"/>
      <c r="CI171" s="230">
        <v>2019</v>
      </c>
      <c r="CJ171" s="231"/>
      <c r="CK171" s="231"/>
      <c r="CL171" s="231"/>
      <c r="CM171" s="231"/>
      <c r="CN171" s="231"/>
      <c r="CO171" s="231"/>
      <c r="CP171" s="231"/>
      <c r="CQ171" s="231"/>
      <c r="CR171" s="231"/>
      <c r="CS171" s="231"/>
      <c r="CT171" s="231"/>
      <c r="CU171" s="231"/>
      <c r="CV171" s="232"/>
      <c r="CW171" s="230">
        <v>2020</v>
      </c>
      <c r="CX171" s="231"/>
      <c r="CY171" s="231"/>
      <c r="CZ171" s="231"/>
      <c r="DA171" s="231"/>
      <c r="DB171" s="231"/>
      <c r="DC171" s="231"/>
      <c r="DD171" s="231"/>
      <c r="DE171" s="231"/>
      <c r="DF171" s="231"/>
      <c r="DG171" s="231"/>
      <c r="DH171" s="231"/>
      <c r="DI171" s="231"/>
      <c r="DJ171" s="232"/>
      <c r="DK171" s="230">
        <v>2021</v>
      </c>
      <c r="DL171" s="231"/>
      <c r="DM171" s="231"/>
      <c r="DN171" s="231"/>
      <c r="DO171" s="231"/>
      <c r="DP171" s="231"/>
      <c r="DQ171" s="231"/>
      <c r="DR171" s="231"/>
      <c r="DS171" s="231"/>
      <c r="DT171" s="231"/>
      <c r="DU171" s="231"/>
      <c r="DV171" s="231"/>
      <c r="DW171" s="231"/>
      <c r="DX171" s="232"/>
      <c r="DY171" s="230">
        <v>2022</v>
      </c>
      <c r="DZ171" s="231"/>
      <c r="EA171" s="231"/>
      <c r="EB171" s="231"/>
      <c r="EC171" s="231"/>
      <c r="ED171" s="231"/>
      <c r="EE171" s="231"/>
      <c r="EF171" s="231"/>
      <c r="EG171" s="231"/>
      <c r="EH171" s="231"/>
      <c r="EI171" s="231"/>
      <c r="EJ171" s="231"/>
      <c r="EK171" s="231"/>
      <c r="EL171" s="232"/>
      <c r="EM171" s="230">
        <v>2023</v>
      </c>
      <c r="EN171" s="231"/>
      <c r="EO171" s="231"/>
      <c r="EP171" s="231"/>
      <c r="EQ171" s="231"/>
      <c r="ER171" s="231"/>
      <c r="ES171" s="231"/>
      <c r="ET171" s="231"/>
      <c r="EU171" s="231"/>
      <c r="EV171" s="231"/>
      <c r="EW171" s="231"/>
      <c r="EX171" s="231"/>
      <c r="EY171" s="231"/>
      <c r="EZ171" s="232"/>
      <c r="FA171" s="230">
        <v>2024</v>
      </c>
      <c r="FB171" s="231"/>
      <c r="FC171" s="231"/>
      <c r="FD171" s="231"/>
      <c r="FE171" s="231"/>
      <c r="FF171" s="231"/>
      <c r="FG171" s="231"/>
      <c r="FH171" s="231"/>
      <c r="FI171" s="231"/>
      <c r="FJ171" s="231"/>
      <c r="FK171" s="231"/>
      <c r="FL171" s="231"/>
      <c r="FM171" s="231"/>
      <c r="FN171" s="232"/>
      <c r="FO171" s="177"/>
      <c r="FP171" s="177"/>
      <c r="FQ171" s="177"/>
      <c r="FR171" s="177"/>
      <c r="FS171" s="177"/>
      <c r="FT171" s="177"/>
      <c r="FU171" s="230">
        <v>2025</v>
      </c>
      <c r="FV171" s="231"/>
      <c r="FW171" s="231"/>
      <c r="FX171" s="231"/>
      <c r="FY171" s="231"/>
      <c r="FZ171" s="231"/>
      <c r="GA171" s="231"/>
      <c r="GB171" s="232"/>
      <c r="GC171" s="230" t="s">
        <v>3</v>
      </c>
      <c r="GD171" s="232"/>
      <c r="GE171" s="116"/>
    </row>
    <row r="172" spans="1:187" s="43" customFormat="1" ht="15" customHeight="1" thickBot="1" x14ac:dyDescent="0.25">
      <c r="A172" s="286" t="s">
        <v>123</v>
      </c>
      <c r="B172" s="287"/>
      <c r="C172" s="288"/>
      <c r="D172" s="122">
        <v>39083</v>
      </c>
      <c r="E172" s="114"/>
      <c r="F172" s="114"/>
      <c r="G172" s="114"/>
      <c r="H172" s="114"/>
      <c r="I172" s="114"/>
      <c r="J172" s="114"/>
      <c r="K172" s="114"/>
      <c r="L172" s="114"/>
      <c r="M172" s="114"/>
      <c r="N172" s="114"/>
      <c r="O172" s="114"/>
      <c r="P172" s="114"/>
      <c r="Q172" s="114"/>
      <c r="R172" s="114"/>
      <c r="S172" s="114"/>
      <c r="T172" s="114"/>
      <c r="U172" s="115"/>
      <c r="V172" s="115"/>
      <c r="W172" s="115"/>
      <c r="X172" s="115"/>
      <c r="Y172" s="115"/>
      <c r="Z172" s="115"/>
      <c r="AA172" s="281">
        <v>266492.77</v>
      </c>
      <c r="AB172" s="282"/>
      <c r="AC172" s="281">
        <v>165551.75</v>
      </c>
      <c r="AD172" s="282"/>
      <c r="AE172" s="281">
        <v>407980.7</v>
      </c>
      <c r="AF172" s="282"/>
      <c r="AG172" s="281">
        <v>3443949.75</v>
      </c>
      <c r="AH172" s="282"/>
      <c r="AI172" s="281">
        <v>3443416.8</v>
      </c>
      <c r="AJ172" s="282"/>
      <c r="AK172" s="281">
        <v>2957794.44</v>
      </c>
      <c r="AL172" s="282"/>
      <c r="AM172" s="281">
        <v>2234467.2599999998</v>
      </c>
      <c r="AN172" s="282"/>
      <c r="AO172" s="281">
        <v>1243162</v>
      </c>
      <c r="AP172" s="282"/>
      <c r="AQ172" s="281">
        <v>5631801.5099999998</v>
      </c>
      <c r="AR172" s="282"/>
      <c r="AS172" s="283">
        <v>2594500.8854999999</v>
      </c>
      <c r="AT172" s="284"/>
      <c r="AU172" s="284"/>
      <c r="AV172" s="284"/>
      <c r="AW172" s="284"/>
      <c r="AX172" s="284"/>
      <c r="AY172" s="284"/>
      <c r="AZ172" s="284"/>
      <c r="BA172" s="284"/>
      <c r="BB172" s="284"/>
      <c r="BC172" s="284"/>
      <c r="BD172" s="284"/>
      <c r="BE172" s="284"/>
      <c r="BF172" s="285"/>
      <c r="BG172" s="283">
        <v>7071628.8799999999</v>
      </c>
      <c r="BH172" s="284"/>
      <c r="BI172" s="284"/>
      <c r="BJ172" s="284"/>
      <c r="BK172" s="284"/>
      <c r="BL172" s="284"/>
      <c r="BM172" s="284"/>
      <c r="BN172" s="284"/>
      <c r="BO172" s="284"/>
      <c r="BP172" s="284"/>
      <c r="BQ172" s="284"/>
      <c r="BR172" s="284"/>
      <c r="BS172" s="284"/>
      <c r="BT172" s="285"/>
      <c r="BU172" s="283">
        <v>7634864.8600000003</v>
      </c>
      <c r="BV172" s="284"/>
      <c r="BW172" s="284"/>
      <c r="BX172" s="284"/>
      <c r="BY172" s="284"/>
      <c r="BZ172" s="284"/>
      <c r="CA172" s="284"/>
      <c r="CB172" s="284"/>
      <c r="CC172" s="284"/>
      <c r="CD172" s="284"/>
      <c r="CE172" s="284"/>
      <c r="CF172" s="284"/>
      <c r="CG172" s="284"/>
      <c r="CH172" s="285"/>
      <c r="CI172" s="283">
        <v>7599653.6500000004</v>
      </c>
      <c r="CJ172" s="284"/>
      <c r="CK172" s="284"/>
      <c r="CL172" s="284"/>
      <c r="CM172" s="284"/>
      <c r="CN172" s="284"/>
      <c r="CO172" s="284"/>
      <c r="CP172" s="284"/>
      <c r="CQ172" s="284"/>
      <c r="CR172" s="284"/>
      <c r="CS172" s="284"/>
      <c r="CT172" s="284"/>
      <c r="CU172" s="284"/>
      <c r="CV172" s="285"/>
      <c r="CW172" s="283">
        <v>7887413.6200000001</v>
      </c>
      <c r="CX172" s="284"/>
      <c r="CY172" s="284"/>
      <c r="CZ172" s="284"/>
      <c r="DA172" s="284"/>
      <c r="DB172" s="284"/>
      <c r="DC172" s="284"/>
      <c r="DD172" s="284"/>
      <c r="DE172" s="284"/>
      <c r="DF172" s="284"/>
      <c r="DG172" s="284"/>
      <c r="DH172" s="284"/>
      <c r="DI172" s="284"/>
      <c r="DJ172" s="285"/>
      <c r="DK172" s="283">
        <v>7443937.4000000004</v>
      </c>
      <c r="DL172" s="284"/>
      <c r="DM172" s="284"/>
      <c r="DN172" s="284"/>
      <c r="DO172" s="284"/>
      <c r="DP172" s="284"/>
      <c r="DQ172" s="284"/>
      <c r="DR172" s="284"/>
      <c r="DS172" s="284"/>
      <c r="DT172" s="284"/>
      <c r="DU172" s="284"/>
      <c r="DV172" s="284"/>
      <c r="DW172" s="284"/>
      <c r="DX172" s="285"/>
      <c r="DY172" s="283">
        <v>9466752.2400000002</v>
      </c>
      <c r="DZ172" s="284"/>
      <c r="EA172" s="284"/>
      <c r="EB172" s="284"/>
      <c r="EC172" s="284"/>
      <c r="ED172" s="284"/>
      <c r="EE172" s="284"/>
      <c r="EF172" s="284"/>
      <c r="EG172" s="284"/>
      <c r="EH172" s="284"/>
      <c r="EI172" s="284"/>
      <c r="EJ172" s="284"/>
      <c r="EK172" s="284"/>
      <c r="EL172" s="285"/>
      <c r="EM172" s="283">
        <v>11264138.58</v>
      </c>
      <c r="EN172" s="284"/>
      <c r="EO172" s="284"/>
      <c r="EP172" s="284"/>
      <c r="EQ172" s="284"/>
      <c r="ER172" s="284"/>
      <c r="ES172" s="284"/>
      <c r="ET172" s="284"/>
      <c r="EU172" s="284"/>
      <c r="EV172" s="284"/>
      <c r="EW172" s="284"/>
      <c r="EX172" s="284"/>
      <c r="EY172" s="284"/>
      <c r="EZ172" s="285"/>
      <c r="FA172" s="283">
        <v>12099104.26</v>
      </c>
      <c r="FB172" s="284"/>
      <c r="FC172" s="284"/>
      <c r="FD172" s="284"/>
      <c r="FE172" s="284"/>
      <c r="FF172" s="284"/>
      <c r="FG172" s="284"/>
      <c r="FH172" s="284"/>
      <c r="FI172" s="284"/>
      <c r="FJ172" s="284"/>
      <c r="FK172" s="284"/>
      <c r="FL172" s="284"/>
      <c r="FM172" s="284"/>
      <c r="FN172" s="285"/>
      <c r="FO172" s="179"/>
      <c r="FP172" s="179"/>
      <c r="FQ172" s="179"/>
      <c r="FR172" s="179"/>
      <c r="FS172" s="179"/>
      <c r="FT172" s="179"/>
      <c r="FU172" s="284">
        <v>12410285.119999999</v>
      </c>
      <c r="FV172" s="284"/>
      <c r="FW172" s="284"/>
      <c r="FX172" s="284"/>
      <c r="FY172" s="284"/>
      <c r="FZ172" s="284"/>
      <c r="GA172" s="284"/>
      <c r="GB172" s="285"/>
      <c r="GC172" s="281">
        <f>AA172+AC172+AE172+AG172+AI172+AK172+AM172+AO172+AQ172+AS172+BG172+BU172+CI172+CW172+DK172+DY172+EM172+FA172+FU172</f>
        <v>105266896.4755</v>
      </c>
      <c r="GD172" s="282"/>
      <c r="GE172" s="121" t="s">
        <v>9</v>
      </c>
    </row>
    <row r="173" spans="1:187" s="43" customFormat="1" x14ac:dyDescent="0.25">
      <c r="A173" s="5" t="s">
        <v>124</v>
      </c>
      <c r="B173" s="61"/>
      <c r="C173" s="61"/>
      <c r="D173" s="61"/>
      <c r="E173" s="62"/>
      <c r="F173" s="46"/>
      <c r="G173" s="46"/>
      <c r="H173" s="46"/>
      <c r="I173" s="46"/>
      <c r="J173" s="46"/>
      <c r="K173" s="46"/>
      <c r="L173" s="46"/>
      <c r="M173" s="46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  <c r="AM173" s="48"/>
      <c r="AN173" s="48"/>
      <c r="AO173" s="48"/>
      <c r="AP173" s="48"/>
      <c r="AQ173" s="48"/>
      <c r="AR173" s="48"/>
      <c r="AS173" s="48"/>
      <c r="AT173" s="48"/>
      <c r="AU173" s="48"/>
      <c r="AV173" s="48"/>
      <c r="AW173" s="48"/>
      <c r="AX173" s="48"/>
      <c r="AY173" s="48"/>
      <c r="AZ173" s="48"/>
      <c r="BA173" s="48"/>
      <c r="BB173" s="48"/>
      <c r="BC173" s="48"/>
      <c r="BD173" s="48"/>
      <c r="BE173" s="48"/>
      <c r="BF173" s="48"/>
      <c r="BG173" s="48"/>
      <c r="BH173" s="48"/>
      <c r="BI173" s="48"/>
      <c r="BJ173" s="48"/>
      <c r="BK173" s="48"/>
      <c r="BL173" s="48"/>
      <c r="BM173" s="48"/>
      <c r="BN173" s="48"/>
      <c r="BO173" s="48"/>
      <c r="BP173" s="48"/>
      <c r="BQ173" s="48"/>
      <c r="BR173" s="48"/>
      <c r="BS173" s="48"/>
      <c r="BT173" s="48"/>
      <c r="BU173" s="48"/>
      <c r="BV173" s="48"/>
      <c r="BW173" s="48"/>
      <c r="BX173" s="48"/>
      <c r="BY173" s="48"/>
      <c r="BZ173" s="48"/>
      <c r="CA173" s="48"/>
      <c r="CB173" s="48"/>
      <c r="CC173" s="48"/>
      <c r="CD173" s="48"/>
      <c r="CE173" s="48"/>
      <c r="CF173" s="48"/>
      <c r="CG173" s="48"/>
      <c r="CH173" s="48"/>
      <c r="CI173" s="48"/>
      <c r="CJ173" s="48"/>
      <c r="CK173" s="48"/>
      <c r="CL173" s="48"/>
      <c r="CM173" s="48"/>
      <c r="CN173" s="48"/>
      <c r="CO173" s="48"/>
      <c r="CP173" s="48"/>
      <c r="CQ173" s="48"/>
      <c r="CR173" s="48"/>
      <c r="CS173" s="48"/>
      <c r="CT173" s="48"/>
      <c r="CU173" s="48"/>
      <c r="CV173" s="48"/>
      <c r="CW173" s="48"/>
      <c r="CX173" s="48"/>
      <c r="CY173" s="48"/>
      <c r="CZ173" s="48"/>
      <c r="DA173" s="48"/>
      <c r="DB173" s="48"/>
      <c r="DC173" s="48"/>
      <c r="DD173" s="48"/>
      <c r="DE173" s="48"/>
      <c r="DF173" s="48"/>
      <c r="DG173" s="48"/>
      <c r="DH173" s="48"/>
      <c r="DI173" s="48"/>
      <c r="DJ173" s="48"/>
      <c r="DK173" s="48"/>
      <c r="DL173" s="48"/>
      <c r="DM173" s="48"/>
      <c r="DN173" s="48"/>
      <c r="DO173" s="48"/>
      <c r="DP173" s="48"/>
      <c r="DQ173" s="48"/>
      <c r="DR173" s="48"/>
      <c r="DS173" s="48"/>
      <c r="DT173" s="48"/>
      <c r="DU173" s="48"/>
      <c r="DV173" s="48"/>
      <c r="DW173" s="48"/>
      <c r="DX173" s="48"/>
      <c r="DY173" s="48"/>
      <c r="DZ173" s="48"/>
      <c r="EA173" s="48"/>
      <c r="EB173" s="48"/>
      <c r="EC173" s="48"/>
      <c r="ED173" s="48"/>
      <c r="EE173" s="48"/>
      <c r="EF173" s="48"/>
      <c r="EG173" s="48"/>
      <c r="EH173" s="48"/>
      <c r="EI173" s="48"/>
      <c r="EJ173" s="48"/>
      <c r="EK173" s="48"/>
      <c r="EL173" s="48"/>
      <c r="EM173" s="48"/>
      <c r="EN173" s="48"/>
      <c r="EO173" s="48"/>
      <c r="EP173" s="48"/>
      <c r="EQ173" s="48"/>
      <c r="ER173" s="48"/>
      <c r="ES173" s="48"/>
      <c r="ET173" s="48"/>
      <c r="EU173" s="48"/>
      <c r="EV173" s="48"/>
      <c r="EW173" s="48"/>
      <c r="EX173" s="48"/>
      <c r="EY173" s="48"/>
      <c r="EZ173" s="48"/>
      <c r="FA173" s="48"/>
      <c r="FB173" s="48"/>
      <c r="FC173" s="48"/>
      <c r="FD173" s="48"/>
      <c r="FE173" s="48"/>
      <c r="FF173" s="48"/>
      <c r="FG173" s="48"/>
      <c r="FH173" s="48"/>
      <c r="FI173" s="48"/>
      <c r="FJ173" s="48"/>
      <c r="FK173" s="48"/>
      <c r="FL173" s="48"/>
      <c r="FM173" s="48"/>
      <c r="FN173" s="48"/>
      <c r="FO173" s="48"/>
      <c r="FP173" s="48"/>
      <c r="FQ173" s="48"/>
      <c r="FR173" s="48"/>
      <c r="FS173" s="48"/>
      <c r="FT173" s="48"/>
      <c r="FU173" s="48"/>
      <c r="FV173" s="48"/>
      <c r="FW173" s="48"/>
      <c r="FX173" s="48"/>
      <c r="FY173" s="48"/>
      <c r="FZ173" s="48"/>
      <c r="GA173" s="48"/>
      <c r="GB173" s="48"/>
      <c r="GC173" s="48"/>
      <c r="GD173" s="48"/>
      <c r="GE173" s="48"/>
    </row>
    <row r="174" spans="1:187" x14ac:dyDescent="0.25">
      <c r="A174" s="5" t="s">
        <v>256</v>
      </c>
    </row>
    <row r="190" spans="156:184" x14ac:dyDescent="0.25">
      <c r="EZ190" s="5" t="str">
        <f>[27]PB!$D$17</f>
        <v>GRAMAME</v>
      </c>
      <c r="FA190" s="83">
        <f>[27]PB!$R$17</f>
        <v>1159173.48</v>
      </c>
      <c r="FB190" s="83">
        <f>[27]PB!$S$17</f>
        <v>46392.27</v>
      </c>
      <c r="FC190" s="83"/>
      <c r="FD190" s="83">
        <f>[27]PB!$Q$17</f>
        <v>51947.78</v>
      </c>
      <c r="FE190" s="83"/>
      <c r="FF190" s="83">
        <f>[27]PB!$T$17</f>
        <v>53236.53</v>
      </c>
      <c r="FG190" s="10">
        <f t="shared" ref="FG190" si="467">SUM(FA190:FF190)</f>
        <v>1310750.06</v>
      </c>
      <c r="FH190" s="83">
        <f>[27]PB!$V$17</f>
        <v>1162755.22</v>
      </c>
      <c r="FI190" s="83">
        <f>[27]PB!$W$17</f>
        <v>63813.56</v>
      </c>
      <c r="FJ190" s="83"/>
      <c r="FK190" s="83">
        <f>[27]PB!$U$17</f>
        <v>35797.800000000003</v>
      </c>
      <c r="FL190" s="83"/>
      <c r="FM190" s="83">
        <f>[27]PB!$X$17</f>
        <v>70228.58</v>
      </c>
      <c r="FN190" s="10">
        <f t="shared" ref="FN190" si="468">SUM(FH190:FM190)</f>
        <v>1332595.1600000001</v>
      </c>
      <c r="FO190" s="180"/>
      <c r="FP190" s="180"/>
      <c r="FQ190" s="180"/>
      <c r="FR190" s="180"/>
      <c r="FS190" s="180"/>
      <c r="FT190" s="180"/>
      <c r="FU190" s="180"/>
      <c r="FV190" s="180"/>
      <c r="FW190" s="180"/>
      <c r="FX190" s="180"/>
      <c r="FY190" s="180"/>
      <c r="FZ190" s="180"/>
      <c r="GA190" s="180"/>
      <c r="GB190" s="180"/>
    </row>
    <row r="195" spans="156:184" x14ac:dyDescent="0.25">
      <c r="EZ195" s="5" t="str">
        <f>[27]PB!$D$19</f>
        <v>MAMANGUAPE</v>
      </c>
      <c r="FA195" s="83">
        <f>[27]PB!$R$19</f>
        <v>268897.11</v>
      </c>
      <c r="FB195" s="83">
        <f>[27]PB!$S$19</f>
        <v>5110.45</v>
      </c>
      <c r="FC195" s="83"/>
      <c r="FD195" s="83">
        <f>[27]PB!$Q$19</f>
        <v>122981.16</v>
      </c>
      <c r="FE195" s="83"/>
      <c r="FF195" s="83">
        <f>[27]PB!$T$19</f>
        <v>118193.35</v>
      </c>
      <c r="FG195" s="10">
        <f t="shared" ref="FG195:FG196" si="469">SUM(FA195:FF195)</f>
        <v>515182.06999999995</v>
      </c>
      <c r="FH195" s="83">
        <f>[27]PB!$V$19</f>
        <v>281333.83</v>
      </c>
      <c r="FI195" s="83">
        <f>[27]PB!$W$19</f>
        <v>2278.09</v>
      </c>
      <c r="FJ195" s="83"/>
      <c r="FK195" s="83">
        <f>[27]PB!$U$19</f>
        <v>149009.19</v>
      </c>
      <c r="FL195" s="83"/>
      <c r="FM195" s="83">
        <f>[27]PB!$X$19</f>
        <v>80306.48</v>
      </c>
      <c r="FN195" s="10">
        <f t="shared" ref="FN195:FN196" si="470">SUM(FH195:FM195)</f>
        <v>512927.59</v>
      </c>
      <c r="FO195" s="180"/>
      <c r="FP195" s="180"/>
      <c r="FQ195" s="180"/>
      <c r="FR195" s="180"/>
      <c r="FS195" s="180"/>
      <c r="FT195" s="180"/>
      <c r="FU195" s="180"/>
      <c r="FV195" s="180"/>
      <c r="FW195" s="180"/>
      <c r="FX195" s="180"/>
      <c r="FY195" s="180"/>
      <c r="FZ195" s="180"/>
      <c r="GA195" s="180"/>
      <c r="GB195" s="180"/>
    </row>
    <row r="196" spans="156:184" x14ac:dyDescent="0.25">
      <c r="EZ196" s="5" t="str">
        <f>[27]PB!$D$20</f>
        <v>CAMARATUBA</v>
      </c>
      <c r="FA196" s="83">
        <f>[27]PB!$R$20</f>
        <v>14560.03</v>
      </c>
      <c r="FB196" s="83">
        <f>[27]PB!$S$20</f>
        <v>0</v>
      </c>
      <c r="FC196" s="83"/>
      <c r="FD196" s="83">
        <f>[27]PB!$Q$20</f>
        <v>0</v>
      </c>
      <c r="FE196" s="83"/>
      <c r="FF196" s="83">
        <f>[27]PB!$T$20</f>
        <v>17722.39</v>
      </c>
      <c r="FG196" s="10">
        <f t="shared" si="469"/>
        <v>32282.42</v>
      </c>
      <c r="FH196" s="83">
        <f>[27]PB!$V$20</f>
        <v>14489.96</v>
      </c>
      <c r="FI196" s="83">
        <f>[27]PB!$W$20</f>
        <v>0</v>
      </c>
      <c r="FJ196" s="83"/>
      <c r="FK196" s="83">
        <f>[27]PB!$U$20</f>
        <v>26114</v>
      </c>
      <c r="FL196" s="83"/>
      <c r="FM196" s="83">
        <f>[27]PB!$X$20</f>
        <v>17197.07</v>
      </c>
      <c r="FN196" s="10">
        <f t="shared" si="470"/>
        <v>57801.03</v>
      </c>
      <c r="FO196" s="180"/>
      <c r="FP196" s="180"/>
      <c r="FQ196" s="180"/>
      <c r="FR196" s="180"/>
      <c r="FS196" s="180"/>
      <c r="FT196" s="180"/>
      <c r="FU196" s="180"/>
      <c r="FV196" s="180"/>
      <c r="FW196" s="180"/>
      <c r="FX196" s="180"/>
      <c r="FY196" s="180"/>
      <c r="FZ196" s="180"/>
      <c r="GA196" s="180"/>
      <c r="GB196" s="180"/>
    </row>
    <row r="199" spans="156:184" x14ac:dyDescent="0.25">
      <c r="EZ199" s="5" t="str">
        <f>[27]PB!$D$22</f>
        <v>CURIMATAÚ</v>
      </c>
      <c r="FA199" s="83">
        <f>[27]PB!$R$22</f>
        <v>14617.28</v>
      </c>
      <c r="FB199" s="83">
        <f>[27]PB!$S$22</f>
        <v>805.92</v>
      </c>
      <c r="FC199" s="83"/>
      <c r="FD199" s="83">
        <f>[27]PB!$Q$22</f>
        <v>0</v>
      </c>
      <c r="FE199" s="83"/>
      <c r="FF199" s="83">
        <f>[27]PB!$T$22</f>
        <v>5325.84</v>
      </c>
      <c r="FG199" s="10">
        <f t="shared" ref="FG199" si="471">SUM(FA199:FF199)</f>
        <v>20749.04</v>
      </c>
      <c r="FH199" s="83">
        <f>[27]PB!$V$22</f>
        <v>19344.41</v>
      </c>
      <c r="FI199" s="83">
        <f>[27]PB!$W$22</f>
        <v>0</v>
      </c>
      <c r="FJ199" s="83"/>
      <c r="FK199" s="83">
        <f>[27]PB!$U$22</f>
        <v>0</v>
      </c>
      <c r="FL199" s="83"/>
      <c r="FM199" s="83">
        <f>[27]PB!$X$22</f>
        <v>8652.35</v>
      </c>
      <c r="FN199" s="10">
        <f t="shared" ref="FN199" si="472">SUM(FH199:FM199)</f>
        <v>27996.760000000002</v>
      </c>
      <c r="FO199" s="180"/>
      <c r="FP199" s="180"/>
      <c r="FQ199" s="180"/>
      <c r="FR199" s="180"/>
      <c r="FS199" s="180"/>
      <c r="FT199" s="180"/>
      <c r="FU199" s="180"/>
      <c r="FV199" s="180"/>
      <c r="FW199" s="180"/>
      <c r="FX199" s="180"/>
      <c r="FY199" s="180"/>
      <c r="FZ199" s="180"/>
      <c r="GA199" s="180"/>
      <c r="GB199" s="180"/>
    </row>
    <row r="200" spans="156:184" x14ac:dyDescent="0.25">
      <c r="EZ200" s="5" t="str">
        <f>[27]PB!$D$23</f>
        <v>JACU</v>
      </c>
      <c r="FA200" s="83">
        <f>[27]PB!$R$23</f>
        <v>543.12</v>
      </c>
      <c r="FB200" s="83">
        <f>[27]PB!$S$23</f>
        <v>0</v>
      </c>
      <c r="FC200" s="83"/>
      <c r="FD200" s="83">
        <f>[27]PB!$Q$23</f>
        <v>0</v>
      </c>
      <c r="FE200" s="83"/>
      <c r="FF200" s="83">
        <f>[27]PB!$T$23</f>
        <v>0</v>
      </c>
      <c r="FG200" s="10">
        <f t="shared" ref="FG200:FG201" si="473">SUM(FA200:FF200)</f>
        <v>543.12</v>
      </c>
      <c r="FH200" s="83">
        <f>[27]PB!$V$23</f>
        <v>681.68</v>
      </c>
      <c r="FI200" s="83">
        <f>[27]PB!$W$23</f>
        <v>0</v>
      </c>
      <c r="FJ200" s="83"/>
      <c r="FK200" s="83">
        <f>[27]PB!$U$23</f>
        <v>0</v>
      </c>
      <c r="FL200" s="83"/>
      <c r="FM200" s="83">
        <f>[27]PB!$X$23</f>
        <v>0</v>
      </c>
      <c r="FN200" s="10">
        <f t="shared" ref="FN200:FN201" si="474">SUM(FH200:FM200)</f>
        <v>681.68</v>
      </c>
      <c r="FO200" s="180"/>
      <c r="FP200" s="180"/>
      <c r="FQ200" s="180"/>
      <c r="FR200" s="180"/>
      <c r="FS200" s="180"/>
      <c r="FT200" s="180"/>
      <c r="FU200" s="180"/>
      <c r="FV200" s="180"/>
      <c r="FW200" s="180"/>
      <c r="FX200" s="180"/>
      <c r="FY200" s="180"/>
      <c r="FZ200" s="180"/>
      <c r="GA200" s="180"/>
      <c r="GB200" s="180"/>
    </row>
    <row r="201" spans="156:184" x14ac:dyDescent="0.25">
      <c r="EZ201" s="5" t="str">
        <f>[27]PB!$D$24</f>
        <v>TRAIRÍ</v>
      </c>
      <c r="FA201" s="83">
        <f>[27]PB!$R$24</f>
        <v>261.05</v>
      </c>
      <c r="FB201" s="83">
        <f>[27]PB!$S$24</f>
        <v>0</v>
      </c>
      <c r="FC201" s="83"/>
      <c r="FD201" s="83">
        <f>[27]PB!$Q$24</f>
        <v>274.05</v>
      </c>
      <c r="FE201" s="83"/>
      <c r="FF201" s="83">
        <f>[27]PB!$T$24</f>
        <v>0</v>
      </c>
      <c r="FG201" s="10">
        <f t="shared" si="473"/>
        <v>535.1</v>
      </c>
      <c r="FH201" s="83">
        <f>[27]PB!$V$24</f>
        <v>261.05</v>
      </c>
      <c r="FI201" s="83">
        <f>[27]PB!$W$24</f>
        <v>274.05</v>
      </c>
      <c r="FJ201" s="83"/>
      <c r="FK201" s="83">
        <f>[27]PB!$U$24</f>
        <v>0</v>
      </c>
      <c r="FL201" s="83"/>
      <c r="FM201" s="83">
        <f>[27]PB!$X$24</f>
        <v>0</v>
      </c>
      <c r="FN201" s="10">
        <f t="shared" si="474"/>
        <v>535.1</v>
      </c>
      <c r="FO201" s="180"/>
      <c r="FP201" s="180"/>
      <c r="FQ201" s="180"/>
      <c r="FR201" s="180"/>
      <c r="FS201" s="180"/>
      <c r="FT201" s="180"/>
      <c r="FU201" s="180"/>
      <c r="FV201" s="180"/>
      <c r="FW201" s="180"/>
      <c r="FX201" s="180"/>
      <c r="FY201" s="180"/>
      <c r="FZ201" s="180"/>
      <c r="GA201" s="180"/>
      <c r="GB201" s="180"/>
    </row>
  </sheetData>
  <mergeCells count="339">
    <mergeCell ref="AA172:AB172"/>
    <mergeCell ref="AC172:AD172"/>
    <mergeCell ref="AE172:AF172"/>
    <mergeCell ref="AG172:AH172"/>
    <mergeCell ref="AI172:AJ172"/>
    <mergeCell ref="GC172:GD172"/>
    <mergeCell ref="FO156:FU156"/>
    <mergeCell ref="FO163:GB163"/>
    <mergeCell ref="FV156:GB156"/>
    <mergeCell ref="FO155:GB155"/>
    <mergeCell ref="FU157:GA157"/>
    <mergeCell ref="FU164:GB164"/>
    <mergeCell ref="A172:C172"/>
    <mergeCell ref="GE118:GE120"/>
    <mergeCell ref="EM164:EZ164"/>
    <mergeCell ref="EM171:EZ171"/>
    <mergeCell ref="EM172:EZ172"/>
    <mergeCell ref="DY163:EL163"/>
    <mergeCell ref="DY164:EL164"/>
    <mergeCell ref="DY171:EL171"/>
    <mergeCell ref="DY172:EL172"/>
    <mergeCell ref="DY155:EL155"/>
    <mergeCell ref="DY157:EE157"/>
    <mergeCell ref="EF157:EL157"/>
    <mergeCell ref="ET156:EZ156"/>
    <mergeCell ref="EM156:ES156"/>
    <mergeCell ref="EM163:EZ163"/>
    <mergeCell ref="FA164:FN164"/>
    <mergeCell ref="FA172:FN172"/>
    <mergeCell ref="FA155:FN155"/>
    <mergeCell ref="B141:D141"/>
    <mergeCell ref="GE129:GE140"/>
    <mergeCell ref="GB14:GB15"/>
    <mergeCell ref="FO24:FO25"/>
    <mergeCell ref="FP24:FP25"/>
    <mergeCell ref="FQ24:FQ25"/>
    <mergeCell ref="FR24:FR25"/>
    <mergeCell ref="FS24:FS25"/>
    <mergeCell ref="FT24:FT25"/>
    <mergeCell ref="FU24:FU25"/>
    <mergeCell ref="FV24:FV25"/>
    <mergeCell ref="FW24:FW25"/>
    <mergeCell ref="FX24:FX25"/>
    <mergeCell ref="FY24:FY25"/>
    <mergeCell ref="FZ24:FZ25"/>
    <mergeCell ref="GA24:GA25"/>
    <mergeCell ref="GB24:GB25"/>
    <mergeCell ref="FY31:FY32"/>
    <mergeCell ref="FZ31:FZ32"/>
    <mergeCell ref="E171:F171"/>
    <mergeCell ref="G171:H171"/>
    <mergeCell ref="I171:J171"/>
    <mergeCell ref="K171:L171"/>
    <mergeCell ref="M171:N171"/>
    <mergeCell ref="AZ157:BF157"/>
    <mergeCell ref="AS157:AY157"/>
    <mergeCell ref="AS164:BF164"/>
    <mergeCell ref="AS163:BF163"/>
    <mergeCell ref="O163:P163"/>
    <mergeCell ref="AQ164:AR164"/>
    <mergeCell ref="AO171:AP171"/>
    <mergeCell ref="AO164:AP164"/>
    <mergeCell ref="AO163:AP163"/>
    <mergeCell ref="AE171:AF171"/>
    <mergeCell ref="AG171:AH171"/>
    <mergeCell ref="AI171:AJ171"/>
    <mergeCell ref="AK171:AL171"/>
    <mergeCell ref="AK172:AL172"/>
    <mergeCell ref="AM172:AN172"/>
    <mergeCell ref="AO172:AP172"/>
    <mergeCell ref="AQ172:AR172"/>
    <mergeCell ref="AS172:BF172"/>
    <mergeCell ref="FA171:FN171"/>
    <mergeCell ref="FU171:GB171"/>
    <mergeCell ref="FU172:GB172"/>
    <mergeCell ref="DK164:DX164"/>
    <mergeCell ref="AM171:AN171"/>
    <mergeCell ref="BG172:BT172"/>
    <mergeCell ref="BU172:CH172"/>
    <mergeCell ref="CI171:CV171"/>
    <mergeCell ref="CI172:CV172"/>
    <mergeCell ref="BU171:CH171"/>
    <mergeCell ref="CW172:DJ172"/>
    <mergeCell ref="DK171:DX171"/>
    <mergeCell ref="DK172:DX172"/>
    <mergeCell ref="O171:P171"/>
    <mergeCell ref="Q171:R171"/>
    <mergeCell ref="S171:T171"/>
    <mergeCell ref="U171:V171"/>
    <mergeCell ref="W171:X171"/>
    <mergeCell ref="Y171:Z171"/>
    <mergeCell ref="AA171:AB171"/>
    <mergeCell ref="AC171:AD171"/>
    <mergeCell ref="Q164:R164"/>
    <mergeCell ref="S164:T164"/>
    <mergeCell ref="O164:P164"/>
    <mergeCell ref="A170:GE170"/>
    <mergeCell ref="U164:V164"/>
    <mergeCell ref="I164:J164"/>
    <mergeCell ref="K164:L164"/>
    <mergeCell ref="BG164:BT164"/>
    <mergeCell ref="CW171:DJ171"/>
    <mergeCell ref="BG171:BT171"/>
    <mergeCell ref="AQ171:AR171"/>
    <mergeCell ref="GC171:GD171"/>
    <mergeCell ref="AS171:BF171"/>
    <mergeCell ref="BU164:CH164"/>
    <mergeCell ref="CW164:DJ164"/>
    <mergeCell ref="CI164:CV164"/>
    <mergeCell ref="K163:L163"/>
    <mergeCell ref="GC164:GD164"/>
    <mergeCell ref="W164:X164"/>
    <mergeCell ref="Y164:Z164"/>
    <mergeCell ref="AA164:AB164"/>
    <mergeCell ref="AC164:AD164"/>
    <mergeCell ref="AE164:AF164"/>
    <mergeCell ref="M164:N164"/>
    <mergeCell ref="AA163:AB163"/>
    <mergeCell ref="AC163:AD163"/>
    <mergeCell ref="AE163:AF163"/>
    <mergeCell ref="AG164:AH164"/>
    <mergeCell ref="AI164:AJ164"/>
    <mergeCell ref="AK164:AL164"/>
    <mergeCell ref="AM164:AN164"/>
    <mergeCell ref="Y163:Z163"/>
    <mergeCell ref="GC163:GD163"/>
    <mergeCell ref="CW163:DJ163"/>
    <mergeCell ref="CI163:CV163"/>
    <mergeCell ref="W163:X163"/>
    <mergeCell ref="M163:N163"/>
    <mergeCell ref="DK163:DX163"/>
    <mergeCell ref="S163:T163"/>
    <mergeCell ref="AM155:AN155"/>
    <mergeCell ref="AA155:AB155"/>
    <mergeCell ref="AK155:AL155"/>
    <mergeCell ref="W155:X155"/>
    <mergeCell ref="Y155:Z155"/>
    <mergeCell ref="M155:N155"/>
    <mergeCell ref="AG163:AH163"/>
    <mergeCell ref="AI163:AJ163"/>
    <mergeCell ref="AK163:AL163"/>
    <mergeCell ref="AM163:AN163"/>
    <mergeCell ref="A162:GE162"/>
    <mergeCell ref="Q163:R163"/>
    <mergeCell ref="U163:V163"/>
    <mergeCell ref="GC155:GD155"/>
    <mergeCell ref="BG163:BT163"/>
    <mergeCell ref="AQ163:AR163"/>
    <mergeCell ref="FH157:FN157"/>
    <mergeCell ref="FA157:FG157"/>
    <mergeCell ref="FA163:FN163"/>
    <mergeCell ref="GE155:GE156"/>
    <mergeCell ref="CW155:DJ155"/>
    <mergeCell ref="CW157:DC157"/>
    <mergeCell ref="I163:J163"/>
    <mergeCell ref="A163:A164"/>
    <mergeCell ref="B157:C157"/>
    <mergeCell ref="D155:D156"/>
    <mergeCell ref="E155:F155"/>
    <mergeCell ref="E163:F163"/>
    <mergeCell ref="E164:F164"/>
    <mergeCell ref="G164:H164"/>
    <mergeCell ref="A142:A143"/>
    <mergeCell ref="B143:D143"/>
    <mergeCell ref="G163:H163"/>
    <mergeCell ref="B107:D107"/>
    <mergeCell ref="B38:D38"/>
    <mergeCell ref="A28:A38"/>
    <mergeCell ref="U2:V2"/>
    <mergeCell ref="B27:D27"/>
    <mergeCell ref="B60:D60"/>
    <mergeCell ref="A39:A60"/>
    <mergeCell ref="A144:D144"/>
    <mergeCell ref="B155:C156"/>
    <mergeCell ref="A155:A157"/>
    <mergeCell ref="B98:D98"/>
    <mergeCell ref="A101:A107"/>
    <mergeCell ref="U155:V155"/>
    <mergeCell ref="O155:P155"/>
    <mergeCell ref="Q155:R155"/>
    <mergeCell ref="S155:T155"/>
    <mergeCell ref="A13:A27"/>
    <mergeCell ref="A108:A110"/>
    <mergeCell ref="B110:D110"/>
    <mergeCell ref="A118:A121"/>
    <mergeCell ref="B121:D121"/>
    <mergeCell ref="A122:A128"/>
    <mergeCell ref="B128:D128"/>
    <mergeCell ref="A129:A141"/>
    <mergeCell ref="GE101:GE106"/>
    <mergeCell ref="ES91:EZ91"/>
    <mergeCell ref="ES92:EZ92"/>
    <mergeCell ref="FA2:FN2"/>
    <mergeCell ref="FA3:FG3"/>
    <mergeCell ref="S2:T2"/>
    <mergeCell ref="G155:H155"/>
    <mergeCell ref="I155:J155"/>
    <mergeCell ref="K155:L155"/>
    <mergeCell ref="AO155:AP155"/>
    <mergeCell ref="FO14:FO15"/>
    <mergeCell ref="FP14:FP15"/>
    <mergeCell ref="FQ14:FQ15"/>
    <mergeCell ref="FR14:FR15"/>
    <mergeCell ref="FS14:FS15"/>
    <mergeCell ref="FT14:FT15"/>
    <mergeCell ref="FZ14:FZ15"/>
    <mergeCell ref="GA14:GA15"/>
    <mergeCell ref="FO31:FO32"/>
    <mergeCell ref="GE122:GE127"/>
    <mergeCell ref="AG155:AH155"/>
    <mergeCell ref="AI155:AJ155"/>
    <mergeCell ref="ES79:EZ79"/>
    <mergeCell ref="ES80:EZ80"/>
    <mergeCell ref="ES81:EZ81"/>
    <mergeCell ref="ES82:EZ82"/>
    <mergeCell ref="ES83:EZ83"/>
    <mergeCell ref="ES84:EZ84"/>
    <mergeCell ref="ES85:EZ85"/>
    <mergeCell ref="ES86:EZ86"/>
    <mergeCell ref="ES87:EZ87"/>
    <mergeCell ref="ES88:EZ88"/>
    <mergeCell ref="ES89:EZ89"/>
    <mergeCell ref="CW3:DC3"/>
    <mergeCell ref="DD3:DJ3"/>
    <mergeCell ref="CP157:CV157"/>
    <mergeCell ref="CI155:CV155"/>
    <mergeCell ref="DK155:DX155"/>
    <mergeCell ref="A154:GE154"/>
    <mergeCell ref="A61:A98"/>
    <mergeCell ref="B100:D100"/>
    <mergeCell ref="A99:A100"/>
    <mergeCell ref="AQ155:AR155"/>
    <mergeCell ref="AS155:BF155"/>
    <mergeCell ref="A5:A12"/>
    <mergeCell ref="B12:D12"/>
    <mergeCell ref="AC155:AD155"/>
    <mergeCell ref="FH3:FN3"/>
    <mergeCell ref="BG157:BM157"/>
    <mergeCell ref="BN157:BT157"/>
    <mergeCell ref="BG155:BT155"/>
    <mergeCell ref="GE108:GE109"/>
    <mergeCell ref="A111:A117"/>
    <mergeCell ref="GE111:GE116"/>
    <mergeCell ref="B117:D117"/>
    <mergeCell ref="AE155:AF155"/>
    <mergeCell ref="GE13:GE26"/>
    <mergeCell ref="EE73:EL73"/>
    <mergeCell ref="EE74:EL74"/>
    <mergeCell ref="EE75:EL75"/>
    <mergeCell ref="EE76:EL76"/>
    <mergeCell ref="EE77:EL77"/>
    <mergeCell ref="GE61:GE97"/>
    <mergeCell ref="GE39:GE59"/>
    <mergeCell ref="DR3:DX3"/>
    <mergeCell ref="ES90:EZ90"/>
    <mergeCell ref="ES78:EZ78"/>
    <mergeCell ref="BG3:BM3"/>
    <mergeCell ref="BN3:BT3"/>
    <mergeCell ref="BU2:CH2"/>
    <mergeCell ref="CI2:CV2"/>
    <mergeCell ref="W2:X2"/>
    <mergeCell ref="AA2:AB2"/>
    <mergeCell ref="AG2:AH2"/>
    <mergeCell ref="AO2:AP2"/>
    <mergeCell ref="BU3:CA3"/>
    <mergeCell ref="CP3:CV3"/>
    <mergeCell ref="Y2:Z2"/>
    <mergeCell ref="A1:GE1"/>
    <mergeCell ref="A2:B3"/>
    <mergeCell ref="C2:C3"/>
    <mergeCell ref="D2:D3"/>
    <mergeCell ref="E2:F2"/>
    <mergeCell ref="G2:H2"/>
    <mergeCell ref="I2:J2"/>
    <mergeCell ref="K2:L2"/>
    <mergeCell ref="M2:N2"/>
    <mergeCell ref="O2:P2"/>
    <mergeCell ref="AM2:AN2"/>
    <mergeCell ref="AK2:AL2"/>
    <mergeCell ref="GC2:GD2"/>
    <mergeCell ref="AI2:AJ2"/>
    <mergeCell ref="Q2:R2"/>
    <mergeCell ref="AE2:AF2"/>
    <mergeCell ref="AS3:AY3"/>
    <mergeCell ref="AZ3:BF3"/>
    <mergeCell ref="AS2:BF2"/>
    <mergeCell ref="AQ2:AR2"/>
    <mergeCell ref="CB3:CH3"/>
    <mergeCell ref="DK3:DQ3"/>
    <mergeCell ref="AC2:AD2"/>
    <mergeCell ref="BG2:BT2"/>
    <mergeCell ref="FX14:FX15"/>
    <mergeCell ref="FY14:FY15"/>
    <mergeCell ref="DK157:DQ157"/>
    <mergeCell ref="DK2:DX2"/>
    <mergeCell ref="BU163:CH163"/>
    <mergeCell ref="BU157:CA157"/>
    <mergeCell ref="CB157:CH157"/>
    <mergeCell ref="CI3:CO3"/>
    <mergeCell ref="CW2:DJ2"/>
    <mergeCell ref="DR157:DX157"/>
    <mergeCell ref="BU155:CH155"/>
    <mergeCell ref="CI157:CO157"/>
    <mergeCell ref="DD157:DJ157"/>
    <mergeCell ref="DY2:EL2"/>
    <mergeCell ref="DY3:EE3"/>
    <mergeCell ref="EF3:EL3"/>
    <mergeCell ref="EM2:EZ2"/>
    <mergeCell ref="EM3:ES3"/>
    <mergeCell ref="ET3:EZ3"/>
    <mergeCell ref="EM155:EZ155"/>
    <mergeCell ref="EM157:ES157"/>
    <mergeCell ref="ET157:EZ157"/>
    <mergeCell ref="ES93:EZ93"/>
    <mergeCell ref="ES94:EZ94"/>
    <mergeCell ref="FG95:FN95"/>
    <mergeCell ref="FG96:FN96"/>
    <mergeCell ref="GE5:GE11"/>
    <mergeCell ref="GE2:GE4"/>
    <mergeCell ref="GA31:GA32"/>
    <mergeCell ref="GB31:GB32"/>
    <mergeCell ref="FP31:FP32"/>
    <mergeCell ref="FQ31:FQ32"/>
    <mergeCell ref="FR31:FR32"/>
    <mergeCell ref="FS31:FS32"/>
    <mergeCell ref="FT31:FT32"/>
    <mergeCell ref="FU31:FU32"/>
    <mergeCell ref="FV31:FV32"/>
    <mergeCell ref="FW31:FW32"/>
    <mergeCell ref="FX31:FX32"/>
    <mergeCell ref="GE28:GE37"/>
    <mergeCell ref="GC3:GC4"/>
    <mergeCell ref="GD3:GD4"/>
    <mergeCell ref="FO3:FU3"/>
    <mergeCell ref="FV3:GB3"/>
    <mergeCell ref="FO2:GB2"/>
    <mergeCell ref="FU14:FU15"/>
    <mergeCell ref="FV14:FV15"/>
    <mergeCell ref="FW14:FW15"/>
  </mergeCells>
  <phoneticPr fontId="25" type="noConversion"/>
  <printOptions horizontalCentered="1" verticalCentered="1"/>
  <pageMargins left="0" right="0" top="0.78740157480314965" bottom="0.78740157480314965" header="0.31496062992125984" footer="0.31496062992125984"/>
  <pageSetup paperSize="8" scale="2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4"/>
  <sheetViews>
    <sheetView workbookViewId="0">
      <selection sqref="A1:F1"/>
    </sheetView>
  </sheetViews>
  <sheetFormatPr defaultRowHeight="12.75" x14ac:dyDescent="0.2"/>
  <cols>
    <col min="1" max="1" width="39" style="5" bestFit="1" customWidth="1"/>
    <col min="2" max="2" width="8.140625" style="5" customWidth="1"/>
    <col min="3" max="4" width="14" style="5" bestFit="1" customWidth="1"/>
    <col min="5" max="6" width="15.7109375" style="5" bestFit="1" customWidth="1"/>
    <col min="7" max="8" width="9.140625" style="5"/>
    <col min="9" max="12" width="14.85546875" style="5" customWidth="1"/>
    <col min="13" max="13" width="9.140625" style="5"/>
    <col min="14" max="17" width="17.7109375" style="5" customWidth="1"/>
    <col min="18" max="16384" width="9.140625" style="5"/>
  </cols>
  <sheetData>
    <row r="1" spans="1:9" x14ac:dyDescent="0.2">
      <c r="A1" s="289" t="s">
        <v>102</v>
      </c>
      <c r="B1" s="290"/>
      <c r="C1" s="290"/>
      <c r="D1" s="290"/>
      <c r="E1" s="290"/>
      <c r="F1" s="291"/>
    </row>
    <row r="2" spans="1:9" x14ac:dyDescent="0.2">
      <c r="A2" s="241" t="s">
        <v>62</v>
      </c>
      <c r="B2" s="242" t="s">
        <v>2</v>
      </c>
      <c r="C2" s="243">
        <v>2025</v>
      </c>
      <c r="D2" s="243"/>
      <c r="E2" s="243" t="s">
        <v>65</v>
      </c>
      <c r="F2" s="295"/>
    </row>
    <row r="3" spans="1:9" x14ac:dyDescent="0.2">
      <c r="A3" s="241"/>
      <c r="B3" s="242"/>
      <c r="C3" s="37" t="s">
        <v>5</v>
      </c>
      <c r="D3" s="37" t="s">
        <v>6</v>
      </c>
      <c r="E3" s="37" t="s">
        <v>5</v>
      </c>
      <c r="F3" s="38" t="s">
        <v>6</v>
      </c>
    </row>
    <row r="4" spans="1:9" x14ac:dyDescent="0.2">
      <c r="A4" s="241" t="s">
        <v>63</v>
      </c>
      <c r="B4" s="242"/>
      <c r="C4" s="242"/>
      <c r="D4" s="242"/>
      <c r="E4" s="242"/>
      <c r="F4" s="292"/>
    </row>
    <row r="5" spans="1:9" x14ac:dyDescent="0.2">
      <c r="A5" s="16" t="s">
        <v>12</v>
      </c>
      <c r="B5" s="2">
        <f>cobranças!D5</f>
        <v>37681</v>
      </c>
      <c r="C5" s="91">
        <f>cobranças!FU5/1000000</f>
        <v>0</v>
      </c>
      <c r="D5" s="91">
        <f>cobranças!GB5/1000000</f>
        <v>1.1521446200000001</v>
      </c>
      <c r="E5" s="91">
        <f>cobranças!GC5/1000000</f>
        <v>318.83279499000002</v>
      </c>
      <c r="F5" s="98">
        <f>cobranças!GD5/1000000</f>
        <v>308.98865219999999</v>
      </c>
    </row>
    <row r="6" spans="1:9" x14ac:dyDescent="0.2">
      <c r="A6" s="16" t="s">
        <v>61</v>
      </c>
      <c r="B6" s="2">
        <f>cobranças!D6</f>
        <v>38718</v>
      </c>
      <c r="C6" s="91">
        <f>cobranças!FU6/1000000</f>
        <v>27.409986359999998</v>
      </c>
      <c r="D6" s="91">
        <f>cobranças!GB6/1000000</f>
        <v>28.25009515</v>
      </c>
      <c r="E6" s="91">
        <f>cobranças!GC6/1000000</f>
        <v>372.64497338000001</v>
      </c>
      <c r="F6" s="98">
        <f>cobranças!GD6/1000000</f>
        <v>357.68807400999998</v>
      </c>
    </row>
    <row r="7" spans="1:9" x14ac:dyDescent="0.2">
      <c r="A7" s="16" t="s">
        <v>53</v>
      </c>
      <c r="B7" s="2">
        <f>cobranças!D7</f>
        <v>40360</v>
      </c>
      <c r="C7" s="91">
        <f>cobranças!FU7/1000000</f>
        <v>58.088268479999996</v>
      </c>
      <c r="D7" s="91">
        <f>cobranças!GB7/1000000</f>
        <v>50.549244200000004</v>
      </c>
      <c r="E7" s="91">
        <f>cobranças!GC7/1000000</f>
        <v>537.77269091999995</v>
      </c>
      <c r="F7" s="98">
        <f>cobranças!GD7/1000000</f>
        <v>462.54131960999996</v>
      </c>
    </row>
    <row r="8" spans="1:9" x14ac:dyDescent="0.2">
      <c r="A8" s="16" t="s">
        <v>54</v>
      </c>
      <c r="B8" s="2">
        <f>cobranças!D8</f>
        <v>40848</v>
      </c>
      <c r="C8" s="91">
        <f>cobranças!FU8/1000000</f>
        <v>0</v>
      </c>
      <c r="D8" s="91">
        <f>cobranças!GB8/1000000</f>
        <v>5.0977133399999994</v>
      </c>
      <c r="E8" s="91">
        <f>cobranças!GC8/1000000</f>
        <v>175.96855884999999</v>
      </c>
      <c r="F8" s="98">
        <f>cobranças!GD8/1000000</f>
        <v>164.33455881999998</v>
      </c>
    </row>
    <row r="9" spans="1:9" x14ac:dyDescent="0.2">
      <c r="A9" s="190" t="s">
        <v>246</v>
      </c>
      <c r="B9" s="131">
        <v>42795</v>
      </c>
      <c r="C9" s="91">
        <f>cobranças!FU9/1000000</f>
        <v>20.842162329999997</v>
      </c>
      <c r="D9" s="91">
        <f>cobranças!GB9/1000000</f>
        <v>19.322755170000001</v>
      </c>
      <c r="E9" s="91">
        <f>cobranças!GC9/1000000</f>
        <v>116.14617644999997</v>
      </c>
      <c r="F9" s="98">
        <f>cobranças!GD9/1000000</f>
        <v>111.37589987</v>
      </c>
    </row>
    <row r="10" spans="1:9" x14ac:dyDescent="0.2">
      <c r="A10" s="16" t="s">
        <v>189</v>
      </c>
      <c r="B10" s="131">
        <v>42826</v>
      </c>
      <c r="C10" s="91">
        <f>cobranças!FU10/1000000</f>
        <v>0.63390060999999998</v>
      </c>
      <c r="D10" s="91">
        <f>cobranças!GB10/1000000</f>
        <v>0.58047421999999993</v>
      </c>
      <c r="E10" s="91">
        <f>cobranças!GC10/1000000</f>
        <v>2.3213066200000001</v>
      </c>
      <c r="F10" s="98">
        <f>cobranças!GD10/1000000</f>
        <v>2.2474565399999999</v>
      </c>
    </row>
    <row r="11" spans="1:9" x14ac:dyDescent="0.2">
      <c r="A11" s="16" t="s">
        <v>242</v>
      </c>
      <c r="B11" s="131">
        <v>42856</v>
      </c>
      <c r="C11" s="91">
        <f>cobranças!FU11/1000000</f>
        <v>25.307016179999998</v>
      </c>
      <c r="D11" s="91">
        <f>cobranças!GB11/1000000</f>
        <v>20.76374775</v>
      </c>
      <c r="E11" s="91">
        <f>cobranças!GC11/1000000</f>
        <v>25.307016179999998</v>
      </c>
      <c r="F11" s="98">
        <f>cobranças!GD11/1000000</f>
        <v>20.76374775</v>
      </c>
    </row>
    <row r="12" spans="1:9" x14ac:dyDescent="0.2">
      <c r="A12" s="247" t="s">
        <v>65</v>
      </c>
      <c r="B12" s="260"/>
      <c r="C12" s="93">
        <f>SUM(C5:C11)</f>
        <v>132.28133395999998</v>
      </c>
      <c r="D12" s="93">
        <f t="shared" ref="D12:E12" si="0">SUM(D5:D11)</f>
        <v>125.71617445000001</v>
      </c>
      <c r="E12" s="93">
        <f t="shared" si="0"/>
        <v>1548.9935173899999</v>
      </c>
      <c r="F12" s="99">
        <f>SUM(F5:F11)</f>
        <v>1427.9397088000001</v>
      </c>
      <c r="H12" s="6"/>
      <c r="I12" s="36"/>
    </row>
    <row r="13" spans="1:9" x14ac:dyDescent="0.2">
      <c r="A13" s="241" t="s">
        <v>64</v>
      </c>
      <c r="B13" s="242"/>
      <c r="C13" s="242"/>
      <c r="D13" s="242"/>
      <c r="E13" s="242"/>
      <c r="F13" s="292"/>
    </row>
    <row r="14" spans="1:9" x14ac:dyDescent="0.2">
      <c r="A14" s="17" t="s">
        <v>55</v>
      </c>
      <c r="B14" s="102">
        <f>cobranças!D13</f>
        <v>35370</v>
      </c>
      <c r="C14" s="91">
        <f>cobranças!FU27/1000000</f>
        <v>250.43460723000004</v>
      </c>
      <c r="D14" s="91">
        <f>cobranças!GB27/1000000</f>
        <v>248.05211215</v>
      </c>
      <c r="E14" s="91">
        <f>cobranças!GC27/1000000</f>
        <v>2458.78924925</v>
      </c>
      <c r="F14" s="98">
        <f>cobranças!GD27/1000000</f>
        <v>2270.4646575799993</v>
      </c>
    </row>
    <row r="15" spans="1:9" ht="12.75" customHeight="1" x14ac:dyDescent="0.2">
      <c r="A15" s="16" t="s">
        <v>56</v>
      </c>
      <c r="B15" s="2">
        <f>cobranças!D28</f>
        <v>37987</v>
      </c>
      <c r="C15" s="91">
        <f>cobranças!FU38/1000000</f>
        <v>100.32418243000004</v>
      </c>
      <c r="D15" s="91">
        <f>cobranças!GB38/1000000</f>
        <v>98.226672740000026</v>
      </c>
      <c r="E15" s="91">
        <f>cobranças!GC38/1000000</f>
        <v>933.14401296470112</v>
      </c>
      <c r="F15" s="98">
        <f>cobranças!GD38/1000000</f>
        <v>883.6566486700001</v>
      </c>
    </row>
    <row r="16" spans="1:9" x14ac:dyDescent="0.2">
      <c r="A16" s="16" t="s">
        <v>57</v>
      </c>
      <c r="B16" s="2">
        <f>cobranças!D39</f>
        <v>39083</v>
      </c>
      <c r="C16" s="168">
        <f>cobranças!FU60/1000000</f>
        <v>172.69642146000004</v>
      </c>
      <c r="D16" s="91">
        <f>cobranças!GB60/1000000</f>
        <v>155.61788444999999</v>
      </c>
      <c r="E16" s="91">
        <f>cobranças!GC60/1000000</f>
        <v>1788.9183501740001</v>
      </c>
      <c r="F16" s="98">
        <f>cobranças!GD60/1000000</f>
        <v>1661.0817422360003</v>
      </c>
    </row>
    <row r="17" spans="1:12" x14ac:dyDescent="0.2">
      <c r="A17" s="16" t="s">
        <v>58</v>
      </c>
      <c r="B17" s="2">
        <f>cobranças!D61</f>
        <v>40179</v>
      </c>
      <c r="C17" s="91">
        <f>cobranças!FU98/1000000</f>
        <v>193.46984209999991</v>
      </c>
      <c r="D17" s="91">
        <f>cobranças!GB98/1000000</f>
        <v>123.93444135000006</v>
      </c>
      <c r="E17" s="91">
        <f>cobranças!GC98/1000000</f>
        <v>908.74483780359992</v>
      </c>
      <c r="F17" s="98">
        <f>cobranças!GD98/1000000</f>
        <v>704.95699325788621</v>
      </c>
    </row>
    <row r="18" spans="1:12" x14ac:dyDescent="0.2">
      <c r="A18" s="16" t="s">
        <v>59</v>
      </c>
      <c r="B18" s="2">
        <f>cobranças!D99</f>
        <v>41518</v>
      </c>
      <c r="C18" s="100">
        <f>cobranças!FU100/1000000</f>
        <v>3.93646261</v>
      </c>
      <c r="D18" s="100">
        <f>cobranças!GB100/1000000</f>
        <v>1.1899700800000002</v>
      </c>
      <c r="E18" s="91">
        <f>cobranças!GC100/1000000</f>
        <v>45.866272550000005</v>
      </c>
      <c r="F18" s="98">
        <f>cobranças!GD100/1000000</f>
        <v>33.352170780000002</v>
      </c>
    </row>
    <row r="19" spans="1:12" x14ac:dyDescent="0.2">
      <c r="A19" s="16" t="s">
        <v>96</v>
      </c>
      <c r="B19" s="2">
        <v>42005</v>
      </c>
      <c r="C19" s="91">
        <f>cobranças!FU107/1000000</f>
        <v>6.6823874000000005</v>
      </c>
      <c r="D19" s="91">
        <f>cobranças!GB107/1000000</f>
        <v>5.5564006300000006</v>
      </c>
      <c r="E19" s="91">
        <f>cobranças!GC107/1000000</f>
        <v>49.253481729999997</v>
      </c>
      <c r="F19" s="98">
        <f>cobranças!GD107/1000000</f>
        <v>45.820101020880003</v>
      </c>
    </row>
    <row r="20" spans="1:12" x14ac:dyDescent="0.2">
      <c r="A20" s="16" t="s">
        <v>171</v>
      </c>
      <c r="B20" s="2">
        <v>45261</v>
      </c>
      <c r="C20" s="91">
        <f>cobranças!FU110/1000000</f>
        <v>8.764056029999999</v>
      </c>
      <c r="D20" s="91">
        <f>cobranças!GB110/1000000</f>
        <v>2.0297287699999997</v>
      </c>
      <c r="E20" s="91">
        <f>cobranças!GC110/1000000</f>
        <v>14.695598759999999</v>
      </c>
      <c r="F20" s="98">
        <f>cobranças!GD110/1000000</f>
        <v>2.31467182</v>
      </c>
    </row>
    <row r="21" spans="1:12" x14ac:dyDescent="0.2">
      <c r="A21" s="16" t="s">
        <v>202</v>
      </c>
      <c r="B21" s="2">
        <v>45292</v>
      </c>
      <c r="C21" s="91">
        <f>cobranças!FU117/1000000</f>
        <v>2.3219882700000003</v>
      </c>
      <c r="D21" s="91">
        <f>cobranças!GB117/1000000</f>
        <v>0</v>
      </c>
      <c r="E21" s="91">
        <f>cobranças!GC117/1000000</f>
        <v>2.8794520699999997</v>
      </c>
      <c r="F21" s="98">
        <f>cobranças!GD117/1000000</f>
        <v>0.55746380000000006</v>
      </c>
    </row>
    <row r="22" spans="1:12" x14ac:dyDescent="0.2">
      <c r="A22" s="16" t="s">
        <v>239</v>
      </c>
      <c r="B22" s="2">
        <v>45292</v>
      </c>
      <c r="C22" s="91">
        <f>cobranças!FU120/1000000</f>
        <v>2.6496378700000003</v>
      </c>
      <c r="D22" s="91">
        <f>cobranças!GB121/1000000</f>
        <v>0.75049723000000013</v>
      </c>
      <c r="E22" s="91">
        <f>cobranças!GC121/1000000</f>
        <v>2.6496378700000003</v>
      </c>
      <c r="F22" s="98">
        <f>cobranças!GD121/1000000</f>
        <v>0.75049723000000013</v>
      </c>
    </row>
    <row r="23" spans="1:12" x14ac:dyDescent="0.2">
      <c r="A23" s="16" t="s">
        <v>238</v>
      </c>
      <c r="B23" s="2">
        <v>45292</v>
      </c>
      <c r="C23" s="91">
        <f>cobranças!FU128/1000000</f>
        <v>22.076128230000002</v>
      </c>
      <c r="D23" s="91">
        <f>cobranças!GB128/1000000</f>
        <v>0.31791501</v>
      </c>
      <c r="E23" s="91">
        <f>cobranças!GC128/1000000</f>
        <v>22.076128230000002</v>
      </c>
      <c r="F23" s="98">
        <f>cobranças!GD128/1000000</f>
        <v>0.31791501</v>
      </c>
    </row>
    <row r="24" spans="1:12" x14ac:dyDescent="0.2">
      <c r="A24" s="16" t="s">
        <v>240</v>
      </c>
      <c r="B24" s="2">
        <v>45748</v>
      </c>
      <c r="C24" s="91">
        <f>cobranças!FU141/1000000</f>
        <v>6.8215830000000005E-2</v>
      </c>
      <c r="D24" s="91">
        <f>cobranças!GB141/1000000</f>
        <v>6.8215830000000005E-2</v>
      </c>
      <c r="E24" s="91">
        <f>cobranças!GC141/1000000</f>
        <v>6.8215830000000005E-2</v>
      </c>
      <c r="F24" s="98">
        <f>cobranças!GD141/1000000</f>
        <v>6.8215830000000005E-2</v>
      </c>
    </row>
    <row r="25" spans="1:12" x14ac:dyDescent="0.2">
      <c r="A25" s="16" t="s">
        <v>241</v>
      </c>
      <c r="B25" s="2">
        <v>45383</v>
      </c>
      <c r="C25" s="91">
        <f>cobranças!FU143/1000000</f>
        <v>5.7056275599999999</v>
      </c>
      <c r="D25" s="91">
        <f>cobranças!GB143/1000000</f>
        <v>0.62478615000000004</v>
      </c>
      <c r="E25" s="91">
        <f>cobranças!GC143/1000000</f>
        <v>5.7056275599999999</v>
      </c>
      <c r="F25" s="98">
        <f>cobranças!GD143/1000000</f>
        <v>0.62478615000000004</v>
      </c>
    </row>
    <row r="26" spans="1:12" ht="13.5" thickBot="1" x14ac:dyDescent="0.25">
      <c r="A26" s="293" t="s">
        <v>65</v>
      </c>
      <c r="B26" s="294"/>
      <c r="C26" s="191">
        <f>SUM(C14:C25)</f>
        <v>769.12955702000011</v>
      </c>
      <c r="D26" s="191">
        <f>SUM(D14:D25)</f>
        <v>636.36862438999992</v>
      </c>
      <c r="E26" s="191">
        <f>SUM(E14:E25)</f>
        <v>6232.7908647923014</v>
      </c>
      <c r="F26" s="192">
        <f>SUM(F14:F25)</f>
        <v>5603.9658633847657</v>
      </c>
    </row>
    <row r="27" spans="1:12" ht="15.75" customHeight="1" thickBot="1" x14ac:dyDescent="0.3">
      <c r="A27" s="296" t="s">
        <v>122</v>
      </c>
      <c r="B27" s="297"/>
      <c r="C27" s="188">
        <f>C26+C12</f>
        <v>901.41089098000009</v>
      </c>
      <c r="D27" s="188">
        <f>D26+D12</f>
        <v>762.08479883999996</v>
      </c>
      <c r="E27" s="188">
        <f>E26+E12</f>
        <v>7781.7843821823008</v>
      </c>
      <c r="F27" s="189">
        <f>F26+F12</f>
        <v>7031.9055721847653</v>
      </c>
    </row>
    <row r="28" spans="1:12" x14ac:dyDescent="0.2">
      <c r="C28" s="6"/>
      <c r="D28" s="6"/>
      <c r="E28" s="6"/>
      <c r="F28" s="6"/>
    </row>
    <row r="29" spans="1:12" ht="13.5" thickBot="1" x14ac:dyDescent="0.25">
      <c r="C29" s="6"/>
      <c r="D29" s="6"/>
      <c r="E29" s="6"/>
      <c r="F29" s="6"/>
    </row>
    <row r="30" spans="1:12" ht="15.75" customHeight="1" x14ac:dyDescent="0.2">
      <c r="I30" s="289" t="s">
        <v>104</v>
      </c>
      <c r="J30" s="290"/>
      <c r="K30" s="290"/>
      <c r="L30" s="291"/>
    </row>
    <row r="31" spans="1:12" ht="15" customHeight="1" x14ac:dyDescent="0.2">
      <c r="C31" s="6"/>
      <c r="D31" s="6"/>
      <c r="E31" s="6"/>
      <c r="F31" s="6"/>
      <c r="I31" s="90" t="s">
        <v>66</v>
      </c>
      <c r="J31" s="37" t="s">
        <v>2</v>
      </c>
      <c r="K31" s="37">
        <v>2025</v>
      </c>
      <c r="L31" s="38" t="s">
        <v>65</v>
      </c>
    </row>
    <row r="32" spans="1:12" ht="13.5" thickBot="1" x14ac:dyDescent="0.25">
      <c r="I32" s="19" t="s">
        <v>43</v>
      </c>
      <c r="J32" s="35">
        <f>cobranças!D157</f>
        <v>2001</v>
      </c>
      <c r="K32" s="103">
        <f>cobranças!GB157/1000000</f>
        <v>272.76283360246146</v>
      </c>
      <c r="L32" s="104">
        <f>cobranças!GD157/1000000</f>
        <v>3921.7856636712145</v>
      </c>
    </row>
    <row r="33" spans="9:12" ht="13.5" thickBot="1" x14ac:dyDescent="0.25"/>
    <row r="34" spans="9:12" x14ac:dyDescent="0.2">
      <c r="I34" s="289" t="s">
        <v>105</v>
      </c>
      <c r="J34" s="290"/>
      <c r="K34" s="290"/>
      <c r="L34" s="291"/>
    </row>
    <row r="35" spans="9:12" x14ac:dyDescent="0.2">
      <c r="I35" s="90" t="s">
        <v>66</v>
      </c>
      <c r="J35" s="37" t="s">
        <v>2</v>
      </c>
      <c r="K35" s="37">
        <v>2025</v>
      </c>
      <c r="L35" s="38" t="s">
        <v>65</v>
      </c>
    </row>
    <row r="36" spans="9:12" ht="13.5" thickBot="1" x14ac:dyDescent="0.25">
      <c r="I36" s="19" t="s">
        <v>98</v>
      </c>
      <c r="J36" s="35">
        <v>2007</v>
      </c>
      <c r="K36" s="103">
        <f>cobranças!FU164/1000000</f>
        <v>0</v>
      </c>
      <c r="L36" s="104">
        <f>cobranças!GC164/1000000</f>
        <v>1.48751039</v>
      </c>
    </row>
    <row r="37" spans="9:12" ht="13.5" thickBot="1" x14ac:dyDescent="0.25"/>
    <row r="38" spans="9:12" ht="25.5" customHeight="1" x14ac:dyDescent="0.2">
      <c r="I38" s="289" t="s">
        <v>126</v>
      </c>
      <c r="J38" s="290"/>
      <c r="K38" s="290"/>
      <c r="L38" s="291"/>
    </row>
    <row r="39" spans="9:12" x14ac:dyDescent="0.2">
      <c r="I39" s="90"/>
      <c r="J39" s="37" t="s">
        <v>2</v>
      </c>
      <c r="K39" s="37">
        <v>2025</v>
      </c>
      <c r="L39" s="38" t="s">
        <v>65</v>
      </c>
    </row>
    <row r="40" spans="9:12" ht="26.25" thickBot="1" x14ac:dyDescent="0.25">
      <c r="I40" s="19" t="s">
        <v>125</v>
      </c>
      <c r="J40" s="113">
        <v>39083</v>
      </c>
      <c r="K40" s="125">
        <f>cobranças!FU164/1000000</f>
        <v>0</v>
      </c>
      <c r="L40" s="139">
        <f>cobranças!GC172/1000000</f>
        <v>105.2668964755</v>
      </c>
    </row>
    <row r="44" spans="9:12" ht="15" customHeight="1" x14ac:dyDescent="0.2"/>
  </sheetData>
  <mergeCells count="13">
    <mergeCell ref="I38:L38"/>
    <mergeCell ref="A1:F1"/>
    <mergeCell ref="A4:F4"/>
    <mergeCell ref="A13:F13"/>
    <mergeCell ref="B2:B3"/>
    <mergeCell ref="A12:B12"/>
    <mergeCell ref="I34:L34"/>
    <mergeCell ref="I30:L30"/>
    <mergeCell ref="A26:B26"/>
    <mergeCell ref="E2:F2"/>
    <mergeCell ref="C2:D2"/>
    <mergeCell ref="A2:A3"/>
    <mergeCell ref="A27:B2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152"/>
  <sheetViews>
    <sheetView workbookViewId="0">
      <selection sqref="A1:H1"/>
    </sheetView>
  </sheetViews>
  <sheetFormatPr defaultRowHeight="15" x14ac:dyDescent="0.25"/>
  <cols>
    <col min="1" max="1" width="18.140625" style="5" customWidth="1"/>
    <col min="2" max="2" width="43.5703125" style="5" customWidth="1"/>
    <col min="3" max="3" width="8.5703125" style="5" bestFit="1" customWidth="1"/>
    <col min="4" max="4" width="6.7109375" style="5" bestFit="1" customWidth="1"/>
    <col min="5" max="8" width="12.28515625" style="5" customWidth="1"/>
    <col min="9" max="9" width="10.140625" bestFit="1" customWidth="1"/>
    <col min="10" max="10" width="15.140625" customWidth="1"/>
    <col min="11" max="11" width="14" bestFit="1" customWidth="1"/>
    <col min="12" max="12" width="15.28515625" customWidth="1"/>
    <col min="13" max="14" width="12.140625" customWidth="1"/>
    <col min="15" max="15" width="15.7109375" customWidth="1"/>
    <col min="16" max="17" width="12.140625" customWidth="1"/>
  </cols>
  <sheetData>
    <row r="1" spans="1:15" s="43" customFormat="1" ht="12.75" x14ac:dyDescent="0.2">
      <c r="A1" s="289" t="s">
        <v>106</v>
      </c>
      <c r="B1" s="290"/>
      <c r="C1" s="290"/>
      <c r="D1" s="290"/>
      <c r="E1" s="290"/>
      <c r="F1" s="290"/>
      <c r="G1" s="290"/>
      <c r="H1" s="291"/>
    </row>
    <row r="2" spans="1:15" s="5" customFormat="1" ht="12.75" x14ac:dyDescent="0.2">
      <c r="A2" s="241" t="s">
        <v>0</v>
      </c>
      <c r="B2" s="242"/>
      <c r="C2" s="242" t="s">
        <v>1</v>
      </c>
      <c r="D2" s="242" t="s">
        <v>2</v>
      </c>
      <c r="E2" s="243">
        <v>2025</v>
      </c>
      <c r="F2" s="243"/>
      <c r="G2" s="243" t="s">
        <v>3</v>
      </c>
      <c r="H2" s="295"/>
    </row>
    <row r="3" spans="1:15" s="5" customFormat="1" ht="12.75" x14ac:dyDescent="0.2">
      <c r="A3" s="241"/>
      <c r="B3" s="242"/>
      <c r="C3" s="242"/>
      <c r="D3" s="242"/>
      <c r="E3" s="37" t="s">
        <v>78</v>
      </c>
      <c r="F3" s="37" t="s">
        <v>6</v>
      </c>
      <c r="G3" s="37" t="s">
        <v>5</v>
      </c>
      <c r="H3" s="38" t="s">
        <v>6</v>
      </c>
    </row>
    <row r="4" spans="1:15" s="5" customFormat="1" ht="12.75" x14ac:dyDescent="0.2">
      <c r="A4" s="247" t="s">
        <v>36</v>
      </c>
      <c r="B4" s="15" t="s">
        <v>70</v>
      </c>
      <c r="C4" s="1" t="s">
        <v>7</v>
      </c>
      <c r="D4" s="2">
        <f>cobranças!D5</f>
        <v>37681</v>
      </c>
      <c r="E4" s="91">
        <f>cobranças!FU5/1000000</f>
        <v>0</v>
      </c>
      <c r="F4" s="91">
        <f>cobranças!GB5/1000000</f>
        <v>1.1521446200000001</v>
      </c>
      <c r="G4" s="91">
        <f>cobranças!GC5/1000000</f>
        <v>318.83279499000002</v>
      </c>
      <c r="H4" s="98">
        <f>cobranças!GD5/1000000</f>
        <v>308.98865219999999</v>
      </c>
      <c r="J4" s="137"/>
      <c r="K4" s="137"/>
      <c r="L4" s="137"/>
      <c r="M4" s="137"/>
      <c r="N4" s="137"/>
    </row>
    <row r="5" spans="1:15" s="5" customFormat="1" ht="12.75" x14ac:dyDescent="0.2">
      <c r="A5" s="247"/>
      <c r="B5" s="15" t="s">
        <v>248</v>
      </c>
      <c r="C5" s="1" t="s">
        <v>7</v>
      </c>
      <c r="D5" s="2">
        <f>cobranças!D6</f>
        <v>38718</v>
      </c>
      <c r="E5" s="91">
        <f>cobranças!FU6/1000000</f>
        <v>27.409986359999998</v>
      </c>
      <c r="F5" s="91">
        <f>cobranças!GB6/1000000</f>
        <v>28.25009515</v>
      </c>
      <c r="G5" s="91">
        <f>cobranças!GC6/1000000</f>
        <v>372.64497338000001</v>
      </c>
      <c r="H5" s="98">
        <f>cobranças!GD6/1000000</f>
        <v>357.68807400999998</v>
      </c>
      <c r="J5" s="137"/>
      <c r="K5" s="137"/>
      <c r="L5" s="137"/>
      <c r="M5" s="137"/>
      <c r="N5" s="137"/>
    </row>
    <row r="6" spans="1:15" s="5" customFormat="1" ht="12.75" x14ac:dyDescent="0.2">
      <c r="A6" s="247"/>
      <c r="B6" s="15" t="str">
        <f>cobranças!B7</f>
        <v>São Francisco (CBHSF)</v>
      </c>
      <c r="C6" s="1" t="s">
        <v>7</v>
      </c>
      <c r="D6" s="2">
        <f>cobranças!D7</f>
        <v>40360</v>
      </c>
      <c r="E6" s="91">
        <f>cobranças!FU7/1000000</f>
        <v>58.088268479999996</v>
      </c>
      <c r="F6" s="91">
        <f>cobranças!GB7/1000000</f>
        <v>50.549244200000004</v>
      </c>
      <c r="G6" s="91">
        <f>cobranças!GC7/1000000</f>
        <v>537.77269091999995</v>
      </c>
      <c r="H6" s="98">
        <f>cobranças!GD7/1000000</f>
        <v>462.54131960999996</v>
      </c>
      <c r="J6" s="137"/>
      <c r="K6" s="137"/>
      <c r="L6" s="137"/>
      <c r="M6" s="137"/>
      <c r="N6" s="137"/>
    </row>
    <row r="7" spans="1:15" s="5" customFormat="1" ht="12.75" x14ac:dyDescent="0.2">
      <c r="A7" s="247"/>
      <c r="B7" s="15" t="s">
        <v>99</v>
      </c>
      <c r="C7" s="1" t="s">
        <v>7</v>
      </c>
      <c r="D7" s="2">
        <f>cobranças!D8</f>
        <v>40848</v>
      </c>
      <c r="E7" s="91">
        <f>cobranças!FU8/1000000</f>
        <v>0</v>
      </c>
      <c r="F7" s="91">
        <f>cobranças!GB8/1000000</f>
        <v>5.0977133399999994</v>
      </c>
      <c r="G7" s="91">
        <f>cobranças!GC8/1000000</f>
        <v>175.96855884999999</v>
      </c>
      <c r="H7" s="98">
        <f>cobranças!GD8/1000000</f>
        <v>164.33455881999998</v>
      </c>
      <c r="J7" s="137"/>
      <c r="K7" s="137"/>
      <c r="L7" s="137"/>
      <c r="M7" s="137"/>
      <c r="N7" s="137"/>
    </row>
    <row r="8" spans="1:15" s="5" customFormat="1" ht="12.75" x14ac:dyDescent="0.2">
      <c r="A8" s="247"/>
      <c r="B8" s="133" t="s">
        <v>145</v>
      </c>
      <c r="C8" s="1" t="s">
        <v>7</v>
      </c>
      <c r="D8" s="2">
        <f>cobranças!D9</f>
        <v>42795</v>
      </c>
      <c r="E8" s="91">
        <f>cobranças!FU9/1000000</f>
        <v>20.842162329999997</v>
      </c>
      <c r="F8" s="91">
        <f>cobranças!GB9/1000000</f>
        <v>19.322755170000001</v>
      </c>
      <c r="G8" s="91">
        <f>cobranças!GC9/1000000</f>
        <v>116.14617644999997</v>
      </c>
      <c r="H8" s="98">
        <f>cobranças!GD9/1000000</f>
        <v>111.37589987</v>
      </c>
      <c r="J8" s="137"/>
      <c r="K8" s="137"/>
      <c r="L8" s="137"/>
      <c r="M8" s="137"/>
      <c r="N8" s="137"/>
    </row>
    <row r="9" spans="1:15" s="5" customFormat="1" ht="12.75" x14ac:dyDescent="0.2">
      <c r="A9" s="247"/>
      <c r="B9" s="15" t="s">
        <v>146</v>
      </c>
      <c r="C9" s="1" t="s">
        <v>7</v>
      </c>
      <c r="D9" s="2">
        <f>cobranças!D10</f>
        <v>42826</v>
      </c>
      <c r="E9" s="91">
        <f>cobranças!FU10/1000000</f>
        <v>0.63390060999999998</v>
      </c>
      <c r="F9" s="91">
        <f>cobranças!GB10/1000000</f>
        <v>0.58047421999999993</v>
      </c>
      <c r="G9" s="91">
        <f>cobranças!GC10/1000000</f>
        <v>2.3213066200000001</v>
      </c>
      <c r="H9" s="98">
        <f>cobranças!GD10/1000000</f>
        <v>2.2474565399999999</v>
      </c>
      <c r="J9" s="137"/>
      <c r="K9" s="137"/>
      <c r="L9" s="137"/>
      <c r="M9" s="137"/>
      <c r="N9" s="137"/>
    </row>
    <row r="10" spans="1:15" s="5" customFormat="1" ht="12.75" x14ac:dyDescent="0.2">
      <c r="A10" s="248"/>
      <c r="B10" s="15" t="s">
        <v>247</v>
      </c>
      <c r="C10" s="1" t="s">
        <v>7</v>
      </c>
      <c r="D10" s="2">
        <f>cobranças!D11</f>
        <v>45292</v>
      </c>
      <c r="E10" s="91">
        <f>cobranças!FU11/1000000</f>
        <v>25.307016179999998</v>
      </c>
      <c r="F10" s="91">
        <f>cobranças!GB11/1000000</f>
        <v>20.76374775</v>
      </c>
      <c r="G10" s="91">
        <f>cobranças!GC11/1000000</f>
        <v>25.307016179999998</v>
      </c>
      <c r="H10" s="98">
        <f>cobranças!GD11/1000000</f>
        <v>20.76374775</v>
      </c>
      <c r="J10" s="137"/>
      <c r="K10" s="137"/>
      <c r="L10" s="137"/>
      <c r="M10" s="137"/>
      <c r="N10" s="137"/>
    </row>
    <row r="11" spans="1:15" s="5" customFormat="1" ht="12.75" x14ac:dyDescent="0.2">
      <c r="A11" s="248"/>
      <c r="B11" s="259" t="s">
        <v>60</v>
      </c>
      <c r="C11" s="260"/>
      <c r="D11" s="260"/>
      <c r="E11" s="93">
        <f>cobranças!FU12/1000000</f>
        <v>132.28133396000001</v>
      </c>
      <c r="F11" s="93">
        <f>cobranças!GB12/1000000</f>
        <v>125.71617445</v>
      </c>
      <c r="G11" s="93">
        <f>cobranças!GC12/1000000</f>
        <v>1548.9935173900001</v>
      </c>
      <c r="H11" s="99">
        <f>cobranças!GD12/1000000</f>
        <v>1427.9397087999996</v>
      </c>
      <c r="J11" s="137"/>
      <c r="K11" s="137"/>
      <c r="L11" s="137"/>
      <c r="M11" s="137"/>
      <c r="N11" s="137"/>
      <c r="O11" s="137"/>
    </row>
    <row r="12" spans="1:15" s="5" customFormat="1" ht="12.75" x14ac:dyDescent="0.2">
      <c r="A12" s="251" t="s">
        <v>100</v>
      </c>
      <c r="B12" s="15" t="str">
        <f>cobranças!B13</f>
        <v>Em todas as bacias hidrográficas do Estado</v>
      </c>
      <c r="C12" s="1" t="s">
        <v>26</v>
      </c>
      <c r="D12" s="7">
        <f>cobranças!D13</f>
        <v>35370</v>
      </c>
      <c r="E12" s="126"/>
      <c r="F12" s="126"/>
      <c r="G12" s="92">
        <f>cobranças!GC13/1000000</f>
        <v>148.18611035000001</v>
      </c>
      <c r="H12" s="105">
        <f>cobranças!GD13/1000000</f>
        <v>136.98141539</v>
      </c>
      <c r="J12" s="137"/>
      <c r="K12" s="137"/>
      <c r="L12" s="36"/>
      <c r="M12" s="36"/>
      <c r="N12" s="36"/>
    </row>
    <row r="13" spans="1:15" s="5" customFormat="1" ht="12.75" x14ac:dyDescent="0.2">
      <c r="A13" s="251"/>
      <c r="B13" s="15" t="str">
        <f>cobranças!B14</f>
        <v>Coreaú</v>
      </c>
      <c r="C13" s="66" t="s">
        <v>26</v>
      </c>
      <c r="D13" s="7">
        <f>cobranças!D14</f>
        <v>35370</v>
      </c>
      <c r="E13" s="127">
        <f>cobranças!FU14/1000000</f>
        <v>6.9546013399999991</v>
      </c>
      <c r="F13" s="127">
        <f>cobranças!GB14/1000000</f>
        <v>7.0043517400000006</v>
      </c>
      <c r="G13" s="92">
        <f>cobranças!GC14/1000000</f>
        <v>12.820068029999998</v>
      </c>
      <c r="H13" s="105">
        <f>cobranças!GD14/1000000</f>
        <v>16.028488190000001</v>
      </c>
      <c r="J13" s="137"/>
      <c r="K13" s="137"/>
      <c r="L13" s="36"/>
      <c r="M13" s="36"/>
      <c r="N13" s="36"/>
    </row>
    <row r="14" spans="1:15" s="5" customFormat="1" ht="12.75" x14ac:dyDescent="0.2">
      <c r="A14" s="251"/>
      <c r="B14" s="15" t="str">
        <f>cobranças!B15</f>
        <v>Acaraú</v>
      </c>
      <c r="C14" s="66" t="s">
        <v>26</v>
      </c>
      <c r="D14" s="7">
        <f>cobranças!D15</f>
        <v>35370</v>
      </c>
      <c r="E14" s="127">
        <f>cobranças!FU15/1000000</f>
        <v>0</v>
      </c>
      <c r="F14" s="127">
        <f>cobranças!GB15/1000000</f>
        <v>0</v>
      </c>
      <c r="G14" s="92">
        <f>cobranças!GC15/1000000</f>
        <v>44.355358969999997</v>
      </c>
      <c r="H14" s="105">
        <f>cobranças!GD15/1000000</f>
        <v>43.349218419999993</v>
      </c>
      <c r="J14" s="137"/>
      <c r="K14" s="137"/>
      <c r="L14" s="36"/>
      <c r="M14" s="36"/>
      <c r="N14" s="36"/>
    </row>
    <row r="15" spans="1:15" s="5" customFormat="1" ht="12.75" x14ac:dyDescent="0.2">
      <c r="A15" s="251"/>
      <c r="B15" s="15" t="str">
        <f>cobranças!B16</f>
        <v>Litoral</v>
      </c>
      <c r="C15" s="66" t="s">
        <v>26</v>
      </c>
      <c r="D15" s="7">
        <f>cobranças!D16</f>
        <v>35370</v>
      </c>
      <c r="E15" s="127">
        <f>cobranças!FU16/1000000</f>
        <v>2.3513596200000002</v>
      </c>
      <c r="F15" s="127">
        <f>cobranças!GB16/1000000</f>
        <v>2.8966096800000001</v>
      </c>
      <c r="G15" s="92">
        <f>cobranças!GC16/1000000</f>
        <v>16.751303689999997</v>
      </c>
      <c r="H15" s="105">
        <f>cobranças!GD16/1000000</f>
        <v>20.386749239999997</v>
      </c>
      <c r="J15" s="137"/>
      <c r="K15" s="137"/>
      <c r="L15" s="36"/>
      <c r="M15" s="36"/>
      <c r="N15" s="36"/>
    </row>
    <row r="16" spans="1:15" s="5" customFormat="1" ht="12.75" x14ac:dyDescent="0.2">
      <c r="A16" s="251"/>
      <c r="B16" s="15" t="str">
        <f>cobranças!B17</f>
        <v>Curu</v>
      </c>
      <c r="C16" s="66" t="s">
        <v>26</v>
      </c>
      <c r="D16" s="7">
        <f>cobranças!D17</f>
        <v>35370</v>
      </c>
      <c r="E16" s="127">
        <f>cobranças!FU17/1000000</f>
        <v>3.2442863700000002</v>
      </c>
      <c r="F16" s="127">
        <f>cobranças!GB17/1000000</f>
        <v>3.1723057199999998</v>
      </c>
      <c r="G16" s="92">
        <f>cobranças!GC17/1000000</f>
        <v>18.979843330000001</v>
      </c>
      <c r="H16" s="105">
        <f>cobranças!GD17/1000000</f>
        <v>20.199209699999997</v>
      </c>
      <c r="J16" s="137"/>
      <c r="K16" s="137"/>
      <c r="L16" s="36"/>
      <c r="M16" s="36"/>
      <c r="N16" s="36"/>
    </row>
    <row r="17" spans="1:15" s="5" customFormat="1" ht="12.75" x14ac:dyDescent="0.2">
      <c r="A17" s="251"/>
      <c r="B17" s="15" t="str">
        <f>cobranças!B18</f>
        <v>Metropolitana</v>
      </c>
      <c r="C17" s="66" t="s">
        <v>26</v>
      </c>
      <c r="D17" s="7">
        <f>cobranças!D18</f>
        <v>35370</v>
      </c>
      <c r="E17" s="127">
        <f>cobranças!FU18/1000000</f>
        <v>211.03256848000001</v>
      </c>
      <c r="F17" s="127">
        <f>cobranças!GB18/1000000</f>
        <v>209.79959706</v>
      </c>
      <c r="G17" s="92">
        <f>cobranças!GC18/1000000</f>
        <v>2023.24522194</v>
      </c>
      <c r="H17" s="105">
        <f>cobranças!GD18/1000000</f>
        <v>1835.0367823299996</v>
      </c>
      <c r="J17" s="137"/>
      <c r="K17" s="137"/>
      <c r="L17" s="36"/>
      <c r="M17" s="36"/>
      <c r="N17" s="36"/>
    </row>
    <row r="18" spans="1:15" s="5" customFormat="1" ht="12.75" x14ac:dyDescent="0.2">
      <c r="A18" s="251"/>
      <c r="B18" s="15" t="str">
        <f>cobranças!B19</f>
        <v>Parnaíba (Serra Ibiapaba + Sertão de Crateús)</v>
      </c>
      <c r="C18" s="66" t="s">
        <v>26</v>
      </c>
      <c r="D18" s="7">
        <f>cobranças!D19</f>
        <v>35370</v>
      </c>
      <c r="E18" s="127">
        <f>cobranças!FU19/1000000</f>
        <v>0</v>
      </c>
      <c r="F18" s="127">
        <f>cobranças!GB19/1000000</f>
        <v>0</v>
      </c>
      <c r="G18" s="92">
        <f>cobranças!GC19/1000000</f>
        <v>12.69932843</v>
      </c>
      <c r="H18" s="105">
        <f>cobranças!GD19/1000000</f>
        <v>11.750614800000001</v>
      </c>
      <c r="J18" s="137"/>
      <c r="K18" s="137"/>
      <c r="L18" s="36"/>
      <c r="M18" s="36"/>
      <c r="N18" s="36"/>
    </row>
    <row r="19" spans="1:15" s="5" customFormat="1" ht="12.75" x14ac:dyDescent="0.2">
      <c r="A19" s="251"/>
      <c r="B19" s="15" t="str">
        <f>cobranças!B20</f>
        <v>Serra Ibiapaba</v>
      </c>
      <c r="C19" s="66" t="s">
        <v>26</v>
      </c>
      <c r="D19" s="7">
        <f>cobranças!D20</f>
        <v>35370</v>
      </c>
      <c r="E19" s="127">
        <f>cobranças!FU20/1000000</f>
        <v>1.2619784599999999</v>
      </c>
      <c r="F19" s="127">
        <f>cobranças!GB20/1000000</f>
        <v>1.2298750500000002</v>
      </c>
      <c r="G19" s="92">
        <f>cobranças!GC20/1000000</f>
        <v>4.1903595899999999</v>
      </c>
      <c r="H19" s="105">
        <f>cobranças!GD20/1000000</f>
        <v>8.2506373599999989</v>
      </c>
      <c r="J19" s="137"/>
      <c r="K19" s="137"/>
      <c r="L19" s="36"/>
      <c r="M19" s="36"/>
      <c r="N19" s="36"/>
    </row>
    <row r="20" spans="1:15" s="5" customFormat="1" ht="12.75" x14ac:dyDescent="0.2">
      <c r="A20" s="251"/>
      <c r="B20" s="15" t="str">
        <f>cobranças!B21</f>
        <v>Sertão de Crateús</v>
      </c>
      <c r="C20" s="66" t="s">
        <v>26</v>
      </c>
      <c r="D20" s="7">
        <f>cobranças!D21</f>
        <v>35370</v>
      </c>
      <c r="E20" s="127">
        <f>cobranças!FU21/1000000</f>
        <v>0.97023797000000001</v>
      </c>
      <c r="F20" s="127">
        <f>cobranças!GB21/1000000</f>
        <v>0.95073390000000002</v>
      </c>
      <c r="G20" s="92">
        <f>cobranças!GC21/1000000</f>
        <v>3.2886101399999998</v>
      </c>
      <c r="H20" s="105">
        <f>cobranças!GD21/1000000</f>
        <v>7.5409890099999988</v>
      </c>
      <c r="J20" s="137"/>
      <c r="K20" s="137"/>
      <c r="L20" s="36"/>
      <c r="M20" s="36"/>
      <c r="N20" s="36"/>
    </row>
    <row r="21" spans="1:15" s="5" customFormat="1" ht="12.75" x14ac:dyDescent="0.2">
      <c r="A21" s="251"/>
      <c r="B21" s="15" t="str">
        <f>cobranças!B22</f>
        <v>Banabuiú</v>
      </c>
      <c r="C21" s="66" t="s">
        <v>26</v>
      </c>
      <c r="D21" s="7">
        <f>cobranças!D22</f>
        <v>35370</v>
      </c>
      <c r="E21" s="127">
        <f>cobranças!FU22/1000000</f>
        <v>2.53329015</v>
      </c>
      <c r="F21" s="127">
        <f>cobranças!GB22/1000000</f>
        <v>2.4282805300000003</v>
      </c>
      <c r="G21" s="92">
        <f>cobranças!GC22/1000000</f>
        <v>18.343893259999998</v>
      </c>
      <c r="H21" s="105">
        <f>cobranças!GD22/1000000</f>
        <v>21.254271939999999</v>
      </c>
      <c r="J21" s="137"/>
      <c r="K21" s="137"/>
      <c r="L21" s="36"/>
      <c r="M21" s="36"/>
      <c r="N21" s="36"/>
    </row>
    <row r="22" spans="1:15" s="5" customFormat="1" ht="12.75" x14ac:dyDescent="0.2">
      <c r="A22" s="251"/>
      <c r="B22" s="15" t="str">
        <f>cobranças!B23</f>
        <v>Médio Jaguaribe</v>
      </c>
      <c r="C22" s="66" t="s">
        <v>26</v>
      </c>
      <c r="D22" s="7">
        <f>cobranças!D23</f>
        <v>35370</v>
      </c>
      <c r="E22" s="127">
        <f>cobranças!FU23/1000000</f>
        <v>9.1092469299999994</v>
      </c>
      <c r="F22" s="127">
        <f>cobranças!GB23/1000000</f>
        <v>8.6510221600000001</v>
      </c>
      <c r="G22" s="92">
        <f>cobranças!GC23/1000000</f>
        <v>42.776081750000003</v>
      </c>
      <c r="H22" s="105">
        <f>cobranças!GD23/1000000</f>
        <v>43.528345989999991</v>
      </c>
      <c r="J22" s="137"/>
      <c r="K22" s="137"/>
      <c r="L22" s="36"/>
      <c r="M22" s="36"/>
      <c r="N22" s="36"/>
    </row>
    <row r="23" spans="1:15" s="5" customFormat="1" ht="12.75" x14ac:dyDescent="0.2">
      <c r="A23" s="251"/>
      <c r="B23" s="15" t="str">
        <f>cobranças!B24</f>
        <v>Baixo Jaguaribe</v>
      </c>
      <c r="C23" s="66" t="s">
        <v>26</v>
      </c>
      <c r="D23" s="7">
        <f>cobranças!D24</f>
        <v>35370</v>
      </c>
      <c r="E23" s="310">
        <f>cobranças!FU24/1000000</f>
        <v>2.4675291100000005</v>
      </c>
      <c r="F23" s="310">
        <f>cobranças!GB24/1000000</f>
        <v>2.4745039899999997</v>
      </c>
      <c r="G23" s="92">
        <f>cobranças!GC24/1000000</f>
        <v>24.226986939999996</v>
      </c>
      <c r="H23" s="105">
        <f>cobranças!GD24/1000000</f>
        <v>23.669312559999998</v>
      </c>
      <c r="J23" s="137"/>
      <c r="K23" s="137"/>
      <c r="L23" s="36"/>
      <c r="M23" s="36"/>
      <c r="N23" s="36"/>
    </row>
    <row r="24" spans="1:15" s="5" customFormat="1" ht="12.75" x14ac:dyDescent="0.2">
      <c r="A24" s="251"/>
      <c r="B24" s="15" t="str">
        <f>cobranças!B25</f>
        <v>Alto Jaguaribe</v>
      </c>
      <c r="C24" s="66" t="s">
        <v>26</v>
      </c>
      <c r="D24" s="7">
        <f>cobranças!D25</f>
        <v>35370</v>
      </c>
      <c r="E24" s="311"/>
      <c r="F24" s="311"/>
      <c r="G24" s="92">
        <f>cobranças!GC25/1000000</f>
        <v>17.526805950000004</v>
      </c>
      <c r="H24" s="105">
        <f>cobranças!GD25/1000000</f>
        <v>20.074598749999996</v>
      </c>
      <c r="J24" s="137"/>
      <c r="K24" s="137"/>
      <c r="L24" s="36"/>
      <c r="M24" s="36"/>
      <c r="N24" s="36"/>
    </row>
    <row r="25" spans="1:15" s="5" customFormat="1" ht="12.75" x14ac:dyDescent="0.2">
      <c r="A25" s="251"/>
      <c r="B25" s="15" t="str">
        <f>cobranças!B26</f>
        <v>Salgado</v>
      </c>
      <c r="C25" s="66" t="s">
        <v>26</v>
      </c>
      <c r="D25" s="7">
        <f>cobranças!D26</f>
        <v>35370</v>
      </c>
      <c r="E25" s="127">
        <f>cobranças!FU26/1000000</f>
        <v>10.509508799999999</v>
      </c>
      <c r="F25" s="127">
        <f>cobranças!GB26/1000000</f>
        <v>9.4448323199999997</v>
      </c>
      <c r="G25" s="92">
        <f>cobranças!GC26/1000000</f>
        <v>71.399276880000016</v>
      </c>
      <c r="H25" s="105">
        <f>cobranças!GD26/1000000</f>
        <v>62.414023900000004</v>
      </c>
      <c r="J25" s="137"/>
      <c r="K25" s="137"/>
      <c r="L25" s="36"/>
      <c r="M25" s="36"/>
      <c r="N25" s="36"/>
    </row>
    <row r="26" spans="1:15" s="5" customFormat="1" ht="12.75" x14ac:dyDescent="0.2">
      <c r="A26" s="252"/>
      <c r="B26" s="249" t="s">
        <v>37</v>
      </c>
      <c r="C26" s="250"/>
      <c r="D26" s="250"/>
      <c r="E26" s="94">
        <f>cobranças!FU27/1000000</f>
        <v>250.43460723000004</v>
      </c>
      <c r="F26" s="94">
        <f>cobranças!GB27/1000000</f>
        <v>248.05211215</v>
      </c>
      <c r="G26" s="94">
        <f>cobranças!GC27/1000000</f>
        <v>2458.78924925</v>
      </c>
      <c r="H26" s="106">
        <f>cobranças!GD27/1000000</f>
        <v>2270.4646575799993</v>
      </c>
      <c r="J26" s="137"/>
      <c r="K26" s="137"/>
      <c r="L26" s="6"/>
      <c r="M26" s="6"/>
      <c r="N26" s="6"/>
      <c r="O26" s="6"/>
    </row>
    <row r="27" spans="1:15" s="5" customFormat="1" ht="12.75" x14ac:dyDescent="0.2">
      <c r="A27" s="261" t="s">
        <v>103</v>
      </c>
      <c r="B27" s="15" t="str">
        <f>cobranças!B28</f>
        <v>Médio Paraíba do Sul</v>
      </c>
      <c r="C27" s="1" t="s">
        <v>10</v>
      </c>
      <c r="D27" s="2">
        <f>cobranças!D28</f>
        <v>37987</v>
      </c>
      <c r="E27" s="91">
        <f>cobranças!FU28/1000000</f>
        <v>2.7556441999999994</v>
      </c>
      <c r="F27" s="91">
        <f>cobranças!GB28/1000000</f>
        <v>1.6731287799999999</v>
      </c>
      <c r="G27" s="91">
        <f>cobranças!GC28/1000000</f>
        <v>26.874545024118976</v>
      </c>
      <c r="H27" s="98">
        <f>cobranças!GD28/1000000</f>
        <v>21.619062</v>
      </c>
      <c r="J27" s="137"/>
      <c r="K27" s="137"/>
      <c r="L27" s="36"/>
      <c r="M27" s="36"/>
      <c r="N27" s="36"/>
    </row>
    <row r="28" spans="1:15" s="5" customFormat="1" ht="12.75" x14ac:dyDescent="0.2">
      <c r="A28" s="261"/>
      <c r="B28" s="15" t="str">
        <f>cobranças!B29</f>
        <v>Piabanha</v>
      </c>
      <c r="C28" s="1" t="s">
        <v>10</v>
      </c>
      <c r="D28" s="2">
        <f>cobranças!D29</f>
        <v>37987</v>
      </c>
      <c r="E28" s="91">
        <f>cobranças!FU29/1000000</f>
        <v>2.44954721</v>
      </c>
      <c r="F28" s="91">
        <f>cobranças!GB29/1000000</f>
        <v>2.3434036799999989</v>
      </c>
      <c r="G28" s="91">
        <f>cobranças!GC29/1000000</f>
        <v>21.705071212165937</v>
      </c>
      <c r="H28" s="98">
        <f>cobranças!GD29/1000000</f>
        <v>21.754960969999999</v>
      </c>
      <c r="J28" s="137"/>
      <c r="K28" s="137"/>
      <c r="L28" s="36"/>
      <c r="M28" s="36"/>
      <c r="N28" s="36"/>
    </row>
    <row r="29" spans="1:15" s="5" customFormat="1" ht="12.75" x14ac:dyDescent="0.2">
      <c r="A29" s="261"/>
      <c r="B29" s="15" t="str">
        <f>cobranças!B30</f>
        <v>Rio Dois Rios</v>
      </c>
      <c r="C29" s="1" t="s">
        <v>10</v>
      </c>
      <c r="D29" s="2">
        <f>cobranças!D30</f>
        <v>37987</v>
      </c>
      <c r="E29" s="91">
        <f>cobranças!FU30/1000000</f>
        <v>2.3919099799999994</v>
      </c>
      <c r="F29" s="91">
        <f>cobranças!GB30/1000000</f>
        <v>2.3835085499999975</v>
      </c>
      <c r="G29" s="91">
        <f>cobranças!GC30/1000000</f>
        <v>20.56490047373844</v>
      </c>
      <c r="H29" s="98">
        <f>cobranças!GD30/1000000</f>
        <v>21.055366859999999</v>
      </c>
      <c r="J29" s="137"/>
      <c r="K29" s="137"/>
      <c r="L29" s="36"/>
      <c r="M29" s="36"/>
      <c r="N29" s="36"/>
    </row>
    <row r="30" spans="1:15" s="5" customFormat="1" ht="12.75" x14ac:dyDescent="0.2">
      <c r="A30" s="261"/>
      <c r="B30" s="15" t="str">
        <f>cobranças!B31</f>
        <v>Baixo Paraíba do Sul</v>
      </c>
      <c r="C30" s="1" t="s">
        <v>10</v>
      </c>
      <c r="D30" s="2">
        <f>cobranças!D31</f>
        <v>37987</v>
      </c>
      <c r="E30" s="91">
        <f>cobranças!FU31/1000000</f>
        <v>1.8128253799999994</v>
      </c>
      <c r="F30" s="91">
        <f>cobranças!GB31/1000000</f>
        <v>1.6860571499999999</v>
      </c>
      <c r="G30" s="91">
        <f>cobranças!GC31/1000000</f>
        <v>13.702240626804148</v>
      </c>
      <c r="H30" s="98">
        <f>cobranças!GD31/1000000</f>
        <v>13.212657109999999</v>
      </c>
      <c r="J30" s="137"/>
      <c r="K30" s="137"/>
      <c r="L30" s="36"/>
      <c r="M30" s="36"/>
      <c r="N30" s="36"/>
    </row>
    <row r="31" spans="1:15" s="5" customFormat="1" ht="12.75" x14ac:dyDescent="0.2">
      <c r="A31" s="261"/>
      <c r="B31" s="15" t="str">
        <f>cobranças!B32</f>
        <v>Itabapoana</v>
      </c>
      <c r="C31" s="1" t="s">
        <v>10</v>
      </c>
      <c r="D31" s="2">
        <f>cobranças!D32</f>
        <v>38047</v>
      </c>
      <c r="E31" s="91">
        <f>cobranças!FU32/1000000</f>
        <v>0</v>
      </c>
      <c r="F31" s="91">
        <f>cobranças!GB32/1000000</f>
        <v>0</v>
      </c>
      <c r="G31" s="91">
        <f>cobranças!GC32/1000000</f>
        <v>1.4814575941324821</v>
      </c>
      <c r="H31" s="98">
        <f>cobranças!GD32/1000000</f>
        <v>1.4107687199999999</v>
      </c>
      <c r="J31" s="137"/>
      <c r="K31" s="137"/>
      <c r="L31" s="36"/>
      <c r="M31" s="36"/>
      <c r="N31" s="36"/>
    </row>
    <row r="32" spans="1:15" s="5" customFormat="1" ht="12.75" x14ac:dyDescent="0.2">
      <c r="A32" s="261"/>
      <c r="B32" s="15" t="str">
        <f>cobranças!B33</f>
        <v>Baía de Guanabara</v>
      </c>
      <c r="C32" s="1" t="s">
        <v>10</v>
      </c>
      <c r="D32" s="2">
        <f>cobranças!D33</f>
        <v>38047</v>
      </c>
      <c r="E32" s="91">
        <f>cobranças!FU33/1000000</f>
        <v>17.161794030000003</v>
      </c>
      <c r="F32" s="91">
        <f>cobranças!GB33/1000000</f>
        <v>16.725062259999984</v>
      </c>
      <c r="G32" s="91">
        <f>cobranças!GC33/1000000</f>
        <v>138.59275518561921</v>
      </c>
      <c r="H32" s="98">
        <f>cobranças!GD33/1000000</f>
        <v>134.78230267000001</v>
      </c>
      <c r="J32" s="137"/>
      <c r="K32" s="137"/>
      <c r="L32" s="36"/>
      <c r="M32" s="36"/>
      <c r="N32" s="36"/>
    </row>
    <row r="33" spans="1:15" s="5" customFormat="1" ht="12.75" x14ac:dyDescent="0.2">
      <c r="A33" s="261"/>
      <c r="B33" s="15" t="str">
        <f>cobranças!B34</f>
        <v>Baía da Ilha Grande</v>
      </c>
      <c r="C33" s="1" t="s">
        <v>10</v>
      </c>
      <c r="D33" s="2">
        <f>cobranças!D34</f>
        <v>38047</v>
      </c>
      <c r="E33" s="91">
        <f>cobranças!FU34/1000000</f>
        <v>1.2138723599999994</v>
      </c>
      <c r="F33" s="91">
        <f>cobranças!GB34/1000000</f>
        <v>1.26448034</v>
      </c>
      <c r="G33" s="91">
        <f>cobranças!GC34/1000000</f>
        <v>10.562568997177115</v>
      </c>
      <c r="H33" s="98">
        <f>cobranças!GD34/1000000</f>
        <v>10.994831</v>
      </c>
      <c r="J33" s="137"/>
      <c r="K33" s="137"/>
      <c r="L33" s="36"/>
      <c r="M33" s="36"/>
      <c r="N33" s="36"/>
    </row>
    <row r="34" spans="1:15" s="5" customFormat="1" ht="12.75" x14ac:dyDescent="0.2">
      <c r="A34" s="261"/>
      <c r="B34" s="15" t="str">
        <f>cobranças!B35</f>
        <v>Guandu</v>
      </c>
      <c r="C34" s="1" t="s">
        <v>10</v>
      </c>
      <c r="D34" s="2">
        <f>cobranças!D35</f>
        <v>38047</v>
      </c>
      <c r="E34" s="91">
        <f>cobranças!FU35/1000000</f>
        <v>65.764090300000035</v>
      </c>
      <c r="F34" s="91">
        <f>cobranças!GB35/1000000</f>
        <v>65.213818030000041</v>
      </c>
      <c r="G34" s="91">
        <f>cobranças!GC35/1000000</f>
        <v>630.41578657498417</v>
      </c>
      <c r="H34" s="98">
        <f>cobranças!GD35/1000000</f>
        <v>587.48933019000003</v>
      </c>
      <c r="J34" s="137"/>
      <c r="K34" s="137"/>
      <c r="L34" s="36"/>
      <c r="M34" s="36"/>
      <c r="N34" s="36"/>
    </row>
    <row r="35" spans="1:15" s="5" customFormat="1" ht="12.75" x14ac:dyDescent="0.2">
      <c r="A35" s="261"/>
      <c r="B35" s="15" t="str">
        <f>cobranças!B36</f>
        <v>Lagos São João</v>
      </c>
      <c r="C35" s="1" t="s">
        <v>10</v>
      </c>
      <c r="D35" s="2">
        <f>cobranças!D36</f>
        <v>38047</v>
      </c>
      <c r="E35" s="91">
        <f>cobranças!FU36/1000000</f>
        <v>2.8992067600000002</v>
      </c>
      <c r="F35" s="91">
        <f>cobranças!GB36/1000000</f>
        <v>3.095910249999998</v>
      </c>
      <c r="G35" s="91">
        <f>cobranças!GC36/1000000</f>
        <v>35.145910863140429</v>
      </c>
      <c r="H35" s="98">
        <f>cobranças!GD36/1000000</f>
        <v>36.076037679999999</v>
      </c>
      <c r="J35" s="137"/>
      <c r="K35" s="137"/>
      <c r="L35" s="36"/>
      <c r="M35" s="36"/>
      <c r="N35" s="36"/>
    </row>
    <row r="36" spans="1:15" s="5" customFormat="1" ht="12.75" x14ac:dyDescent="0.2">
      <c r="A36" s="261"/>
      <c r="B36" s="15" t="str">
        <f>cobranças!B37</f>
        <v>Macaé e Rio das Ostras</v>
      </c>
      <c r="C36" s="1" t="s">
        <v>10</v>
      </c>
      <c r="D36" s="2">
        <f>cobranças!D37</f>
        <v>38047</v>
      </c>
      <c r="E36" s="91">
        <f>cobranças!FU37/1000000</f>
        <v>3.8752922100000009</v>
      </c>
      <c r="F36" s="91">
        <f>cobranças!GB37/1000000</f>
        <v>3.8413037000000019</v>
      </c>
      <c r="G36" s="91">
        <f>cobranças!GC37/1000000</f>
        <v>34.098776412820278</v>
      </c>
      <c r="H36" s="98">
        <f>cobranças!GD37/1000000</f>
        <v>35.261331470000002</v>
      </c>
      <c r="J36" s="137"/>
      <c r="K36" s="137"/>
      <c r="L36" s="36"/>
      <c r="M36" s="36"/>
      <c r="N36" s="36"/>
    </row>
    <row r="37" spans="1:15" s="5" customFormat="1" ht="12.75" x14ac:dyDescent="0.2">
      <c r="A37" s="262"/>
      <c r="B37" s="259" t="s">
        <v>38</v>
      </c>
      <c r="C37" s="260"/>
      <c r="D37" s="260"/>
      <c r="E37" s="93">
        <f>cobranças!FU38/1000000</f>
        <v>100.32418243000004</v>
      </c>
      <c r="F37" s="93">
        <f>cobranças!GB38/1000000</f>
        <v>98.226672740000026</v>
      </c>
      <c r="G37" s="93">
        <f>cobranças!GC38/1000000</f>
        <v>933.14401296470112</v>
      </c>
      <c r="H37" s="99">
        <f>cobranças!GD38/1000000</f>
        <v>883.6566486700001</v>
      </c>
      <c r="J37" s="137"/>
      <c r="K37" s="137"/>
      <c r="L37" s="6"/>
      <c r="M37" s="6"/>
      <c r="N37" s="6"/>
      <c r="O37" s="6"/>
    </row>
    <row r="38" spans="1:15" s="5" customFormat="1" ht="12.75" x14ac:dyDescent="0.2">
      <c r="A38" s="251" t="s">
        <v>35</v>
      </c>
      <c r="B38" s="15" t="str">
        <f>cobranças!B39</f>
        <v>Paraíba do Sul</v>
      </c>
      <c r="C38" s="1" t="s">
        <v>13</v>
      </c>
      <c r="D38" s="2">
        <f>cobranças!D39</f>
        <v>39083</v>
      </c>
      <c r="E38" s="95">
        <f>cobranças!FU39/1000000</f>
        <v>12.08281352</v>
      </c>
      <c r="F38" s="95">
        <f>cobranças!GB39/1000000</f>
        <v>11.03452008</v>
      </c>
      <c r="G38" s="91">
        <f>cobranças!GC39/1000000</f>
        <v>138.40154114000001</v>
      </c>
      <c r="H38" s="98">
        <f>cobranças!GD39/1000000</f>
        <v>136.25346543000001</v>
      </c>
      <c r="J38" s="137"/>
      <c r="K38" s="137"/>
      <c r="L38" s="36"/>
      <c r="M38" s="36"/>
      <c r="N38" s="36"/>
    </row>
    <row r="39" spans="1:15" s="5" customFormat="1" ht="12.75" x14ac:dyDescent="0.2">
      <c r="A39" s="251"/>
      <c r="B39" s="15" t="str">
        <f>cobranças!B40</f>
        <v>PCJ (paulista)</v>
      </c>
      <c r="C39" s="1" t="s">
        <v>13</v>
      </c>
      <c r="D39" s="2">
        <f>cobranças!D40</f>
        <v>39083</v>
      </c>
      <c r="E39" s="95">
        <f>cobranças!FU40/1000000</f>
        <v>23.617134889999999</v>
      </c>
      <c r="F39" s="95">
        <f>cobranças!GB40/1000000</f>
        <v>22.403743519999999</v>
      </c>
      <c r="G39" s="91">
        <f>cobranças!GC40/1000000</f>
        <v>377.50068845000004</v>
      </c>
      <c r="H39" s="98">
        <f>cobranças!GD40/1000000</f>
        <v>342.37917967999994</v>
      </c>
      <c r="J39" s="137"/>
      <c r="K39" s="137"/>
      <c r="L39" s="36"/>
      <c r="M39" s="36"/>
      <c r="N39" s="36"/>
    </row>
    <row r="40" spans="1:15" s="5" customFormat="1" ht="12.75" x14ac:dyDescent="0.2">
      <c r="A40" s="251"/>
      <c r="B40" s="15" t="str">
        <f>cobranças!B41</f>
        <v>Sorocaba e Médio Tietê</v>
      </c>
      <c r="C40" s="1" t="s">
        <v>13</v>
      </c>
      <c r="D40" s="2">
        <f>cobranças!D41</f>
        <v>40391</v>
      </c>
      <c r="E40" s="95">
        <f>cobranças!FU41/1000000</f>
        <v>12.563345179999999</v>
      </c>
      <c r="F40" s="95">
        <f>cobranças!GB41/1000000</f>
        <v>10.940291390000001</v>
      </c>
      <c r="G40" s="91">
        <f>cobranças!GC41/1000000</f>
        <v>140.68117035</v>
      </c>
      <c r="H40" s="98">
        <f>cobranças!GD41/1000000</f>
        <v>126.54915973</v>
      </c>
      <c r="J40" s="137"/>
      <c r="K40" s="137"/>
      <c r="L40" s="36"/>
      <c r="M40" s="36"/>
      <c r="N40" s="36"/>
    </row>
    <row r="41" spans="1:15" s="5" customFormat="1" ht="12.75" x14ac:dyDescent="0.2">
      <c r="A41" s="251"/>
      <c r="B41" s="15" t="str">
        <f>cobranças!B42</f>
        <v>Baixada Santista</v>
      </c>
      <c r="C41" s="1" t="s">
        <v>13</v>
      </c>
      <c r="D41" s="2">
        <f>cobranças!D42</f>
        <v>40909</v>
      </c>
      <c r="E41" s="95">
        <f>cobranças!FU42/1000000</f>
        <v>8.2052651000000001</v>
      </c>
      <c r="F41" s="95">
        <f>cobranças!GB42/1000000</f>
        <v>8.1859916099999985</v>
      </c>
      <c r="G41" s="91">
        <f>cobranças!GC42/1000000</f>
        <v>122.43875490000001</v>
      </c>
      <c r="H41" s="98">
        <f>cobranças!GD42/1000000</f>
        <v>123.41072204</v>
      </c>
      <c r="J41" s="137"/>
      <c r="K41" s="137"/>
      <c r="L41" s="36"/>
      <c r="M41" s="36"/>
      <c r="N41" s="36"/>
    </row>
    <row r="42" spans="1:15" s="5" customFormat="1" ht="12.75" x14ac:dyDescent="0.2">
      <c r="A42" s="251"/>
      <c r="B42" s="15" t="str">
        <f>cobranças!B43</f>
        <v>Baixo Tietê</v>
      </c>
      <c r="C42" s="1" t="s">
        <v>13</v>
      </c>
      <c r="D42" s="2">
        <f>cobranças!D43</f>
        <v>41426</v>
      </c>
      <c r="E42" s="95">
        <f>cobranças!FU43/1000000</f>
        <v>4.0100938799999994</v>
      </c>
      <c r="F42" s="95">
        <f>cobranças!GB43/1000000</f>
        <v>3.0305104400000005</v>
      </c>
      <c r="G42" s="91">
        <f>cobranças!GC43/1000000</f>
        <v>76.622232429999997</v>
      </c>
      <c r="H42" s="98">
        <f>cobranças!GD43/1000000</f>
        <v>52.493041689999998</v>
      </c>
      <c r="J42" s="137"/>
      <c r="K42" s="137"/>
      <c r="L42" s="36"/>
      <c r="M42" s="36"/>
      <c r="N42" s="36"/>
    </row>
    <row r="43" spans="1:15" s="5" customFormat="1" ht="12.75" x14ac:dyDescent="0.2">
      <c r="A43" s="251"/>
      <c r="B43" s="15" t="str">
        <f>cobranças!B44</f>
        <v>Alto Tietê</v>
      </c>
      <c r="C43" s="1" t="s">
        <v>13</v>
      </c>
      <c r="D43" s="2">
        <f>cobranças!D44</f>
        <v>41640</v>
      </c>
      <c r="E43" s="95">
        <f>cobranças!FU44/1000000</f>
        <v>45.613287939999999</v>
      </c>
      <c r="F43" s="95">
        <f>cobranças!GB44/1000000</f>
        <v>45.988657570000001</v>
      </c>
      <c r="G43" s="91">
        <f>cobranças!GC44/1000000</f>
        <v>478.49499299000007</v>
      </c>
      <c r="H43" s="98">
        <f>cobranças!GD44/1000000</f>
        <v>483.06876142399994</v>
      </c>
      <c r="J43" s="137"/>
      <c r="K43" s="137"/>
      <c r="L43" s="36"/>
      <c r="M43" s="36"/>
      <c r="N43" s="36"/>
    </row>
    <row r="44" spans="1:15" s="5" customFormat="1" ht="12.75" x14ac:dyDescent="0.2">
      <c r="A44" s="251"/>
      <c r="B44" s="15" t="str">
        <f>cobranças!B45</f>
        <v>Tietê Jacaré</v>
      </c>
      <c r="C44" s="1" t="s">
        <v>13</v>
      </c>
      <c r="D44" s="2">
        <f>cobranças!D45</f>
        <v>42583</v>
      </c>
      <c r="E44" s="95">
        <f>cobranças!FU45/1000000</f>
        <v>10.327031120000001</v>
      </c>
      <c r="F44" s="95">
        <f>cobranças!GB45/1000000</f>
        <v>7.0548237200000008</v>
      </c>
      <c r="G44" s="91">
        <f>cobranças!GC45/1000000</f>
        <v>73.487588379999991</v>
      </c>
      <c r="H44" s="98">
        <f>cobranças!GD45/1000000</f>
        <v>68.81572894</v>
      </c>
      <c r="J44" s="137"/>
      <c r="K44" s="137"/>
      <c r="L44" s="36"/>
      <c r="M44" s="36"/>
      <c r="N44" s="36"/>
    </row>
    <row r="45" spans="1:15" s="5" customFormat="1" ht="12.75" x14ac:dyDescent="0.2">
      <c r="A45" s="251"/>
      <c r="B45" s="15" t="str">
        <f>cobranças!B46</f>
        <v>Tietê Batalha</v>
      </c>
      <c r="C45" s="1" t="s">
        <v>13</v>
      </c>
      <c r="D45" s="2">
        <f>cobranças!D46</f>
        <v>42491</v>
      </c>
      <c r="E45" s="95">
        <f>cobranças!FU46/1000000</f>
        <v>4.0701723799999998</v>
      </c>
      <c r="F45" s="95">
        <f>cobranças!GB46/1000000</f>
        <v>3.3527894500000004</v>
      </c>
      <c r="G45" s="91">
        <f>cobranças!GC46/1000000</f>
        <v>39.682961059999997</v>
      </c>
      <c r="H45" s="98">
        <f>cobranças!GD46/1000000</f>
        <v>32.768956129999999</v>
      </c>
      <c r="J45" s="137"/>
      <c r="K45" s="137"/>
      <c r="L45" s="36"/>
      <c r="M45" s="36"/>
      <c r="N45" s="36"/>
    </row>
    <row r="46" spans="1:15" s="5" customFormat="1" ht="12.75" x14ac:dyDescent="0.2">
      <c r="A46" s="251"/>
      <c r="B46" s="15" t="str">
        <f>cobranças!B47</f>
        <v xml:space="preserve">Ribeira de Iguape e Litoral Sul </v>
      </c>
      <c r="C46" s="1" t="s">
        <v>13</v>
      </c>
      <c r="D46" s="2">
        <f>cobranças!D47</f>
        <v>42583</v>
      </c>
      <c r="E46" s="95">
        <f>cobranças!FU47/1000000</f>
        <v>7.2361424900000006</v>
      </c>
      <c r="F46" s="95">
        <f>cobranças!GB47/1000000</f>
        <v>7.2286907500000002</v>
      </c>
      <c r="G46" s="91">
        <f>cobranças!GC47/1000000</f>
        <v>51.320907750000003</v>
      </c>
      <c r="H46" s="98">
        <f>cobranças!GD47/1000000</f>
        <v>51.252403639999997</v>
      </c>
      <c r="J46" s="137"/>
      <c r="K46" s="137"/>
      <c r="L46" s="36"/>
      <c r="M46" s="36"/>
      <c r="N46" s="36"/>
    </row>
    <row r="47" spans="1:15" s="5" customFormat="1" ht="12.75" x14ac:dyDescent="0.2">
      <c r="A47" s="251"/>
      <c r="B47" s="15" t="str">
        <f>cobranças!B48</f>
        <v>Pardo</v>
      </c>
      <c r="C47" s="1" t="s">
        <v>13</v>
      </c>
      <c r="D47" s="2">
        <f>cobranças!D48</f>
        <v>42948</v>
      </c>
      <c r="E47" s="95">
        <f>cobranças!FU48/1000000</f>
        <v>7.4726252899999999</v>
      </c>
      <c r="F47" s="95">
        <f>cobranças!GB48/1000000</f>
        <v>6.0661845899999998</v>
      </c>
      <c r="G47" s="91">
        <f>cobranças!GC48/1000000</f>
        <v>53.043496390000001</v>
      </c>
      <c r="H47" s="98">
        <f>cobranças!GD48/1000000</f>
        <v>46.30427942</v>
      </c>
      <c r="J47" s="137"/>
      <c r="K47" s="137"/>
      <c r="L47" s="36"/>
      <c r="M47" s="36"/>
      <c r="N47" s="36"/>
    </row>
    <row r="48" spans="1:15" s="5" customFormat="1" ht="12.75" x14ac:dyDescent="0.2">
      <c r="A48" s="251"/>
      <c r="B48" s="15" t="str">
        <f>cobranças!B49</f>
        <v>Baixo Pardo/Grande</v>
      </c>
      <c r="C48" s="1" t="s">
        <v>13</v>
      </c>
      <c r="D48" s="2">
        <f>cobranças!D49</f>
        <v>43009</v>
      </c>
      <c r="E48" s="95">
        <f>cobranças!FU49/1000000</f>
        <v>3.08760747</v>
      </c>
      <c r="F48" s="95">
        <f>cobranças!GB49/1000000</f>
        <v>2.96925851</v>
      </c>
      <c r="G48" s="91">
        <f>cobranças!GC49/1000000</f>
        <v>24.83920797</v>
      </c>
      <c r="H48" s="98">
        <f>cobranças!GD49/1000000</f>
        <v>18.776831749999999</v>
      </c>
      <c r="J48" s="137"/>
      <c r="K48" s="137"/>
      <c r="L48" s="36"/>
      <c r="M48" s="36"/>
      <c r="N48" s="36"/>
    </row>
    <row r="49" spans="1:16" s="5" customFormat="1" ht="12.75" x14ac:dyDescent="0.2">
      <c r="A49" s="251"/>
      <c r="B49" s="15" t="str">
        <f>cobranças!B50</f>
        <v>Sapucaí-Mirim/Grande</v>
      </c>
      <c r="C49" s="1" t="s">
        <v>13</v>
      </c>
      <c r="D49" s="2">
        <f>cobranças!D50</f>
        <v>43009</v>
      </c>
      <c r="E49" s="95">
        <f>cobranças!FU50/1000000</f>
        <v>2.3964815900000001</v>
      </c>
      <c r="F49" s="95">
        <f>cobranças!GB50/1000000</f>
        <v>1.6015071599999999</v>
      </c>
      <c r="G49" s="91">
        <f>cobranças!GC50/1000000</f>
        <v>19.012909503999996</v>
      </c>
      <c r="H49" s="98">
        <f>cobranças!GD50/1000000</f>
        <v>15.025871131999999</v>
      </c>
      <c r="J49" s="137"/>
      <c r="K49" s="137"/>
      <c r="L49" s="36"/>
      <c r="M49" s="36"/>
      <c r="N49" s="36"/>
    </row>
    <row r="50" spans="1:16" s="5" customFormat="1" ht="12.75" x14ac:dyDescent="0.2">
      <c r="A50" s="251"/>
      <c r="B50" s="15" t="str">
        <f>cobranças!B51</f>
        <v>Mogi</v>
      </c>
      <c r="C50" s="1" t="s">
        <v>13</v>
      </c>
      <c r="D50" s="2">
        <f>cobranças!D51</f>
        <v>43040</v>
      </c>
      <c r="E50" s="95">
        <f>cobranças!FU51/1000000</f>
        <v>7.2396073800000007</v>
      </c>
      <c r="F50" s="95">
        <f>cobranças!GB51/1000000</f>
        <v>5.7569128300000001</v>
      </c>
      <c r="G50" s="91">
        <f>cobranças!GC51/1000000</f>
        <v>54.590728599999998</v>
      </c>
      <c r="H50" s="98">
        <f>cobranças!GD51/1000000</f>
        <v>42.944805179999989</v>
      </c>
      <c r="J50" s="137"/>
      <c r="K50" s="137"/>
      <c r="L50" s="36"/>
      <c r="M50" s="36"/>
      <c r="N50" s="36"/>
    </row>
    <row r="51" spans="1:16" s="5" customFormat="1" ht="12.75" x14ac:dyDescent="0.2">
      <c r="A51" s="251"/>
      <c r="B51" s="15" t="str">
        <f>cobranças!B52</f>
        <v>Serra da Mantiqueira</v>
      </c>
      <c r="C51" s="1" t="s">
        <v>13</v>
      </c>
      <c r="D51" s="2">
        <f>cobranças!D52</f>
        <v>43101</v>
      </c>
      <c r="E51" s="95">
        <f>cobranças!FU52/1000000</f>
        <v>0.24898579999999998</v>
      </c>
      <c r="F51" s="95">
        <f>cobranças!GB52/1000000</f>
        <v>0.22158552000000001</v>
      </c>
      <c r="G51" s="91">
        <f>cobranças!GC52/1000000</f>
        <v>1.6170077599999999</v>
      </c>
      <c r="H51" s="98">
        <f>cobranças!GD52/1000000</f>
        <v>1.5754839500000002</v>
      </c>
      <c r="J51" s="137"/>
      <c r="K51" s="137"/>
      <c r="L51" s="36"/>
      <c r="M51" s="36"/>
      <c r="N51" s="36"/>
    </row>
    <row r="52" spans="1:16" s="5" customFormat="1" ht="12.75" x14ac:dyDescent="0.2">
      <c r="A52" s="251"/>
      <c r="B52" s="15" t="str">
        <f>cobranças!B53</f>
        <v>Turvo Grande</v>
      </c>
      <c r="C52" s="1" t="s">
        <v>13</v>
      </c>
      <c r="D52" s="2">
        <f>cobranças!D53</f>
        <v>43191</v>
      </c>
      <c r="E52" s="95">
        <f>cobranças!FU53/1000000</f>
        <v>6.5209804299999998</v>
      </c>
      <c r="F52" s="95">
        <f>cobranças!GB53/1000000</f>
        <v>5.85022033</v>
      </c>
      <c r="G52" s="91">
        <f>cobranças!GC53/1000000</f>
        <v>42.075901139999999</v>
      </c>
      <c r="H52" s="98">
        <f>cobranças!GD53/1000000</f>
        <v>37.918212020000006</v>
      </c>
      <c r="J52" s="137"/>
      <c r="K52" s="137"/>
      <c r="L52" s="36"/>
      <c r="M52" s="36"/>
      <c r="N52" s="36"/>
    </row>
    <row r="53" spans="1:16" s="5" customFormat="1" ht="12.75" x14ac:dyDescent="0.2">
      <c r="A53" s="251"/>
      <c r="B53" s="15" t="str">
        <f>cobranças!B54</f>
        <v>Pontal do Paranapanema</v>
      </c>
      <c r="C53" s="1" t="s">
        <v>13</v>
      </c>
      <c r="D53" s="2">
        <f>cobranças!D54</f>
        <v>43252</v>
      </c>
      <c r="E53" s="95">
        <f>cobranças!FU54/1000000</f>
        <v>1.8353565999999999</v>
      </c>
      <c r="F53" s="95">
        <f>cobranças!GB54/1000000</f>
        <v>1.2851342900000002</v>
      </c>
      <c r="G53" s="91">
        <f>cobranças!GC54/1000000</f>
        <v>12.72363294</v>
      </c>
      <c r="H53" s="98">
        <f>cobranças!GD54/1000000</f>
        <v>9.71128897</v>
      </c>
      <c r="J53" s="137"/>
      <c r="K53" s="137"/>
      <c r="L53" s="36"/>
      <c r="M53" s="36"/>
      <c r="N53" s="36"/>
    </row>
    <row r="54" spans="1:16" s="5" customFormat="1" ht="12.75" x14ac:dyDescent="0.2">
      <c r="A54" s="251"/>
      <c r="B54" s="15" t="str">
        <f>cobranças!B55</f>
        <v>Médio Paranapanema</v>
      </c>
      <c r="C54" s="1" t="s">
        <v>13</v>
      </c>
      <c r="D54" s="2">
        <f>cobranças!D55</f>
        <v>43282</v>
      </c>
      <c r="E54" s="95">
        <f>cobranças!FU55/1000000</f>
        <v>4.6865523000000007</v>
      </c>
      <c r="F54" s="95">
        <f>cobranças!GB55/1000000</f>
        <v>3.2731994100000001</v>
      </c>
      <c r="G54" s="91">
        <f>cobranças!GC55/1000000</f>
        <v>24.440507240000002</v>
      </c>
      <c r="H54" s="98">
        <f>cobranças!GD55/1000000</f>
        <v>22.14384132</v>
      </c>
      <c r="J54" s="137"/>
      <c r="K54" s="137"/>
      <c r="L54" s="36"/>
      <c r="M54" s="36"/>
      <c r="N54" s="36"/>
    </row>
    <row r="55" spans="1:16" s="5" customFormat="1" ht="12.75" x14ac:dyDescent="0.2">
      <c r="A55" s="251"/>
      <c r="B55" s="15" t="str">
        <f>cobranças!B56</f>
        <v>Aguapeí/Peixe</v>
      </c>
      <c r="C55" s="1" t="s">
        <v>13</v>
      </c>
      <c r="D55" s="2">
        <f>cobranças!D56</f>
        <v>43405</v>
      </c>
      <c r="E55" s="95">
        <f>cobranças!FU56/1000000</f>
        <v>6.1360218600000005</v>
      </c>
      <c r="F55" s="95">
        <f>cobranças!GB56/1000000</f>
        <v>4.4414942300000009</v>
      </c>
      <c r="G55" s="91">
        <f>cobranças!GC56/1000000</f>
        <v>36.211909390000002</v>
      </c>
      <c r="H55" s="98">
        <f>cobranças!GD56/1000000</f>
        <v>29.955061359999998</v>
      </c>
      <c r="J55" s="137"/>
      <c r="K55" s="137"/>
      <c r="L55" s="36"/>
      <c r="M55" s="154"/>
      <c r="N55" s="154"/>
      <c r="O55" s="154"/>
      <c r="P55" s="154"/>
    </row>
    <row r="56" spans="1:16" s="5" customFormat="1" ht="12.75" x14ac:dyDescent="0.2">
      <c r="A56" s="251"/>
      <c r="B56" s="15" t="str">
        <f>cobranças!B57</f>
        <v>Alto Paranapanema</v>
      </c>
      <c r="C56" s="1" t="s">
        <v>13</v>
      </c>
      <c r="D56" s="2">
        <f>cobranças!D57</f>
        <v>43770</v>
      </c>
      <c r="E56" s="95">
        <f>cobranças!FU57/1000000</f>
        <v>1.8391144699999999</v>
      </c>
      <c r="F56" s="95">
        <f>cobranças!GB57/1000000</f>
        <v>1.7194446700000001</v>
      </c>
      <c r="G56" s="91">
        <f>cobranças!GC57/1000000</f>
        <v>10.676563479999999</v>
      </c>
      <c r="H56" s="98">
        <f>cobranças!GD57/1000000</f>
        <v>9.5435719100000007</v>
      </c>
      <c r="J56" s="137"/>
      <c r="K56" s="137"/>
      <c r="L56" s="36"/>
      <c r="M56" s="36"/>
      <c r="N56" s="36"/>
    </row>
    <row r="57" spans="1:16" s="5" customFormat="1" ht="12.75" x14ac:dyDescent="0.2">
      <c r="A57" s="251"/>
      <c r="B57" s="15" t="str">
        <f>cobranças!B58</f>
        <v>São José dos Dourados</v>
      </c>
      <c r="C57" s="1" t="s">
        <v>13</v>
      </c>
      <c r="D57" s="2">
        <f>cobranças!D58</f>
        <v>44317</v>
      </c>
      <c r="E57" s="95">
        <f>cobranças!FU58/1000000</f>
        <v>1.41063202</v>
      </c>
      <c r="F57" s="95">
        <f>cobranças!GB58/1000000</f>
        <v>1.2864464799999999</v>
      </c>
      <c r="G57" s="91">
        <f>cobranças!GC58/1000000</f>
        <v>5.9881243499999997</v>
      </c>
      <c r="H57" s="98">
        <f>cobranças!GD58/1000000</f>
        <v>5.4397104199999999</v>
      </c>
      <c r="J57" s="137"/>
      <c r="K57" s="137"/>
      <c r="L57" s="36"/>
      <c r="M57" s="36"/>
      <c r="N57" s="36"/>
    </row>
    <row r="58" spans="1:16" s="5" customFormat="1" ht="12.75" x14ac:dyDescent="0.2">
      <c r="A58" s="252"/>
      <c r="B58" s="15" t="str">
        <f>cobranças!B59</f>
        <v>Litoral Norte</v>
      </c>
      <c r="C58" s="1" t="s">
        <v>13</v>
      </c>
      <c r="D58" s="2">
        <f>cobranças!D59</f>
        <v>45108</v>
      </c>
      <c r="E58" s="95">
        <f>cobranças!FU59/1000000</f>
        <v>2.0971697499999999</v>
      </c>
      <c r="F58" s="95">
        <f>cobranças!GB59/1000000</f>
        <v>1.9264778999999999</v>
      </c>
      <c r="G58" s="91">
        <f>cobranças!GC59/1000000</f>
        <v>5.0675239599999999</v>
      </c>
      <c r="H58" s="98">
        <f>cobranças!GD59/1000000</f>
        <v>4.7513660999999994</v>
      </c>
      <c r="J58" s="137"/>
      <c r="K58" s="137"/>
      <c r="L58" s="36"/>
      <c r="M58" s="36"/>
      <c r="N58" s="36"/>
    </row>
    <row r="59" spans="1:16" s="5" customFormat="1" ht="12.75" x14ac:dyDescent="0.2">
      <c r="A59" s="252"/>
      <c r="B59" s="249" t="s">
        <v>39</v>
      </c>
      <c r="C59" s="250"/>
      <c r="D59" s="250"/>
      <c r="E59" s="94">
        <f>cobranças!FU60/1000000</f>
        <v>172.69642146000004</v>
      </c>
      <c r="F59" s="94">
        <f>cobranças!GB60/1000000</f>
        <v>155.61788444999999</v>
      </c>
      <c r="G59" s="94">
        <f>cobranças!GC60/1000000</f>
        <v>1788.9183501740001</v>
      </c>
      <c r="H59" s="106">
        <f>cobranças!GD60/1000000</f>
        <v>1661.0817422360003</v>
      </c>
      <c r="J59" s="137"/>
      <c r="K59" s="137"/>
      <c r="L59" s="6"/>
      <c r="M59" s="6"/>
      <c r="N59" s="6"/>
      <c r="O59" s="6"/>
    </row>
    <row r="60" spans="1:16" s="5" customFormat="1" ht="12.75" x14ac:dyDescent="0.2">
      <c r="A60" s="247" t="s">
        <v>41</v>
      </c>
      <c r="B60" s="15" t="str">
        <f>cobranças!B61</f>
        <v>Piracicaba/Jaguari</v>
      </c>
      <c r="C60" s="1" t="s">
        <v>14</v>
      </c>
      <c r="D60" s="2">
        <f>cobranças!D61</f>
        <v>40179</v>
      </c>
      <c r="E60" s="91">
        <f>cobranças!FU61/1000000</f>
        <v>0.13833272999999999</v>
      </c>
      <c r="F60" s="91">
        <f>cobranças!GB61/1000000</f>
        <v>6.5102359999999998E-2</v>
      </c>
      <c r="G60" s="95">
        <f>cobranças!GC61/1000000</f>
        <v>1.7975915198999997</v>
      </c>
      <c r="H60" s="107">
        <f>cobranças!GD61/1000000</f>
        <v>1.5249380800000001</v>
      </c>
      <c r="J60" s="137"/>
      <c r="K60" s="137"/>
      <c r="L60" s="36"/>
      <c r="M60" s="36"/>
      <c r="N60" s="36"/>
    </row>
    <row r="61" spans="1:16" s="5" customFormat="1" ht="12.75" x14ac:dyDescent="0.2">
      <c r="A61" s="247"/>
      <c r="B61" s="15" t="str">
        <f>cobranças!B62</f>
        <v>Velhas</v>
      </c>
      <c r="C61" s="1" t="s">
        <v>14</v>
      </c>
      <c r="D61" s="2">
        <f>cobranças!D62</f>
        <v>40179</v>
      </c>
      <c r="E61" s="91">
        <f>cobranças!FU62/1000000</f>
        <v>32.123380940000004</v>
      </c>
      <c r="F61" s="91">
        <f>cobranças!GB62/1000000</f>
        <v>24.381920709999999</v>
      </c>
      <c r="G61" s="95">
        <f>cobranças!GC62/1000000</f>
        <v>198.72075172720011</v>
      </c>
      <c r="H61" s="107">
        <f>cobranças!GD62/1000000</f>
        <v>156.28108665872091</v>
      </c>
      <c r="J61" s="137"/>
      <c r="K61" s="137"/>
      <c r="L61" s="36"/>
      <c r="M61" s="36"/>
      <c r="N61" s="36"/>
    </row>
    <row r="62" spans="1:16" s="5" customFormat="1" ht="12.75" x14ac:dyDescent="0.2">
      <c r="A62" s="247"/>
      <c r="B62" s="15" t="str">
        <f>cobranças!B63</f>
        <v>Araguari</v>
      </c>
      <c r="C62" s="1" t="s">
        <v>14</v>
      </c>
      <c r="D62" s="2">
        <f>cobranças!D63</f>
        <v>40179</v>
      </c>
      <c r="E62" s="91">
        <f>cobranças!FU63/1000000</f>
        <v>18.167912480000002</v>
      </c>
      <c r="F62" s="91">
        <f>cobranças!GB63/1000000</f>
        <v>10.763537699999999</v>
      </c>
      <c r="G62" s="95">
        <f>cobranças!GC63/1000000</f>
        <v>132.60051756649997</v>
      </c>
      <c r="H62" s="107">
        <f>cobranças!GD63/1000000</f>
        <v>106.36013047075154</v>
      </c>
      <c r="J62" s="137"/>
      <c r="K62" s="137"/>
      <c r="L62" s="36"/>
      <c r="M62" s="36"/>
      <c r="N62" s="36"/>
    </row>
    <row r="63" spans="1:16" s="5" customFormat="1" ht="12.75" x14ac:dyDescent="0.2">
      <c r="A63" s="247"/>
      <c r="B63" s="15" t="str">
        <f>cobranças!B64</f>
        <v>Piranga</v>
      </c>
      <c r="C63" s="1" t="s">
        <v>14</v>
      </c>
      <c r="D63" s="2">
        <f>cobranças!D64</f>
        <v>40909</v>
      </c>
      <c r="E63" s="91">
        <f>cobranças!FU64/1000000</f>
        <v>3.40163035</v>
      </c>
      <c r="F63" s="91">
        <f>cobranças!GB64/1000000</f>
        <v>2.6256393099999999</v>
      </c>
      <c r="G63" s="95">
        <f>cobranças!GC64/1000000</f>
        <v>53.082160210000005</v>
      </c>
      <c r="H63" s="107">
        <f>cobranças!GD64/1000000</f>
        <v>42.873525557691224</v>
      </c>
      <c r="J63" s="137"/>
      <c r="K63" s="137"/>
      <c r="L63" s="36"/>
      <c r="M63" s="36"/>
      <c r="N63" s="36"/>
    </row>
    <row r="64" spans="1:16" s="5" customFormat="1" ht="12.75" x14ac:dyDescent="0.2">
      <c r="A64" s="247"/>
      <c r="B64" s="15" t="str">
        <f>cobranças!B65</f>
        <v>Piracicaba</v>
      </c>
      <c r="C64" s="1" t="s">
        <v>14</v>
      </c>
      <c r="D64" s="2">
        <f>cobranças!D65</f>
        <v>40909</v>
      </c>
      <c r="E64" s="91">
        <f>cobranças!FU65/1000000</f>
        <v>15.25096203</v>
      </c>
      <c r="F64" s="91">
        <f>cobranças!GB65/1000000</f>
        <v>12.416566500000002</v>
      </c>
      <c r="G64" s="95">
        <f>cobranças!GC65/1000000</f>
        <v>146.13712317</v>
      </c>
      <c r="H64" s="107">
        <f>cobranças!GD65/1000000</f>
        <v>139.0489591949497</v>
      </c>
      <c r="J64" s="137"/>
      <c r="K64" s="137"/>
      <c r="L64" s="36"/>
      <c r="M64" s="36"/>
      <c r="N64" s="36"/>
    </row>
    <row r="65" spans="1:14" s="5" customFormat="1" ht="12.75" x14ac:dyDescent="0.2">
      <c r="A65" s="247"/>
      <c r="B65" s="15" t="str">
        <f>cobranças!B66</f>
        <v>Santo Antônio</v>
      </c>
      <c r="C65" s="1" t="s">
        <v>14</v>
      </c>
      <c r="D65" s="2">
        <f>cobranças!D66</f>
        <v>40909</v>
      </c>
      <c r="E65" s="91">
        <f>cobranças!FU66/1000000</f>
        <v>2.35783115</v>
      </c>
      <c r="F65" s="91">
        <f>cobranças!GB66/1000000</f>
        <v>2.2618072799999998</v>
      </c>
      <c r="G65" s="95">
        <f>cobranças!GC66/1000000</f>
        <v>36.544974870000004</v>
      </c>
      <c r="H65" s="107">
        <f>cobranças!GD66/1000000</f>
        <v>32.876785015495045</v>
      </c>
      <c r="J65" s="137"/>
      <c r="K65" s="137"/>
      <c r="L65" s="36"/>
      <c r="M65" s="36"/>
      <c r="N65" s="36"/>
    </row>
    <row r="66" spans="1:14" s="5" customFormat="1" ht="12.75" x14ac:dyDescent="0.2">
      <c r="A66" s="247"/>
      <c r="B66" s="15" t="str">
        <f>cobranças!B67</f>
        <v>Suaçuí</v>
      </c>
      <c r="C66" s="1" t="s">
        <v>14</v>
      </c>
      <c r="D66" s="2">
        <f>cobranças!D67</f>
        <v>40909</v>
      </c>
      <c r="E66" s="91">
        <f>cobranças!FU67/1000000</f>
        <v>1.4901698999999999</v>
      </c>
      <c r="F66" s="91">
        <f>cobranças!GB67/1000000</f>
        <v>0.71536830000000007</v>
      </c>
      <c r="G66" s="95">
        <f>cobranças!GC67/1000000</f>
        <v>19.608503979999998</v>
      </c>
      <c r="H66" s="107">
        <f>cobranças!GD67/1000000</f>
        <v>9.8938661686457099</v>
      </c>
      <c r="J66" s="137"/>
      <c r="K66" s="137"/>
      <c r="L66" s="36"/>
      <c r="M66" s="36"/>
      <c r="N66" s="36"/>
    </row>
    <row r="67" spans="1:14" s="5" customFormat="1" ht="12.75" x14ac:dyDescent="0.2">
      <c r="A67" s="247"/>
      <c r="B67" s="15" t="str">
        <f>cobranças!B68</f>
        <v>Caratinga</v>
      </c>
      <c r="C67" s="1" t="s">
        <v>14</v>
      </c>
      <c r="D67" s="2">
        <f>cobranças!D68</f>
        <v>40909</v>
      </c>
      <c r="E67" s="91">
        <f>cobranças!FU68/1000000</f>
        <v>0.89364873999999994</v>
      </c>
      <c r="F67" s="91">
        <f>cobranças!GB68/1000000</f>
        <v>0.50379680000000004</v>
      </c>
      <c r="G67" s="95">
        <f>cobranças!GC68/1000000</f>
        <v>13.69032384</v>
      </c>
      <c r="H67" s="107">
        <f>cobranças!GD68/1000000</f>
        <v>10.10127694564166</v>
      </c>
      <c r="J67" s="137"/>
      <c r="K67" s="137"/>
      <c r="L67" s="36"/>
      <c r="M67" s="36"/>
      <c r="N67" s="36"/>
    </row>
    <row r="68" spans="1:14" s="5" customFormat="1" ht="12.75" x14ac:dyDescent="0.2">
      <c r="A68" s="247"/>
      <c r="B68" s="15" t="str">
        <f>cobranças!B69</f>
        <v>Manhuaçu</v>
      </c>
      <c r="C68" s="1" t="s">
        <v>14</v>
      </c>
      <c r="D68" s="2">
        <f>cobranças!D69</f>
        <v>40909</v>
      </c>
      <c r="E68" s="91">
        <f>cobranças!FU69/1000000</f>
        <v>1.25666397</v>
      </c>
      <c r="F68" s="91">
        <f>cobranças!GB69/1000000</f>
        <v>0.72236095000000011</v>
      </c>
      <c r="G68" s="95">
        <f>cobranças!GC69/1000000</f>
        <v>13.520483939999998</v>
      </c>
      <c r="H68" s="107">
        <f>cobranças!GD69/1000000</f>
        <v>10.616352685892545</v>
      </c>
      <c r="J68" s="137"/>
      <c r="K68" s="137"/>
      <c r="L68" s="36"/>
      <c r="M68" s="36"/>
      <c r="N68" s="36"/>
    </row>
    <row r="69" spans="1:14" s="5" customFormat="1" ht="12.75" x14ac:dyDescent="0.2">
      <c r="A69" s="247"/>
      <c r="B69" s="15" t="str">
        <f>cobranças!B70</f>
        <v>Preto/Paraibuna</v>
      </c>
      <c r="C69" s="1" t="s">
        <v>14</v>
      </c>
      <c r="D69" s="2">
        <f>cobranças!D70</f>
        <v>41944</v>
      </c>
      <c r="E69" s="91">
        <f>cobranças!FU70/1000000</f>
        <v>2.2440420200000002</v>
      </c>
      <c r="F69" s="91">
        <f>cobranças!GB70/1000000</f>
        <v>1.71657299</v>
      </c>
      <c r="G69" s="95">
        <f>cobranças!GC70/1000000</f>
        <v>15.604347200000001</v>
      </c>
      <c r="H69" s="107">
        <f>cobranças!GD70/1000000</f>
        <v>12.774720928954665</v>
      </c>
      <c r="J69" s="137"/>
      <c r="K69" s="137"/>
      <c r="L69" s="36"/>
      <c r="M69" s="36"/>
      <c r="N69" s="36"/>
    </row>
    <row r="70" spans="1:14" s="5" customFormat="1" ht="12.75" x14ac:dyDescent="0.2">
      <c r="A70" s="247"/>
      <c r="B70" s="15" t="str">
        <f>cobranças!B71</f>
        <v>Pomba/Muriaé</v>
      </c>
      <c r="C70" s="1" t="s">
        <v>14</v>
      </c>
      <c r="D70" s="2">
        <f>cobranças!D71</f>
        <v>41944</v>
      </c>
      <c r="E70" s="91">
        <f>cobranças!FU71/1000000</f>
        <v>4.8554311100000005</v>
      </c>
      <c r="F70" s="91">
        <f>cobranças!GB71/1000000</f>
        <v>1.5658797799999999</v>
      </c>
      <c r="G70" s="95">
        <f>cobranças!GC71/1000000</f>
        <v>18.914356379999997</v>
      </c>
      <c r="H70" s="107">
        <f>cobranças!GD71/1000000</f>
        <v>13.269578544390967</v>
      </c>
      <c r="J70" s="137"/>
      <c r="K70" s="137"/>
      <c r="L70" s="36"/>
      <c r="M70" s="36"/>
      <c r="N70" s="36"/>
    </row>
    <row r="71" spans="1:14" s="5" customFormat="1" ht="12.75" x14ac:dyDescent="0.2">
      <c r="A71" s="247"/>
      <c r="B71" s="15" t="str">
        <f>cobranças!B72</f>
        <v>Pará</v>
      </c>
      <c r="C71" s="1" t="s">
        <v>14</v>
      </c>
      <c r="D71" s="2">
        <f>cobranças!D72</f>
        <v>42736</v>
      </c>
      <c r="E71" s="91">
        <f>cobranças!FU72/1000000</f>
        <v>6.8660288499999993</v>
      </c>
      <c r="F71" s="91">
        <f>cobranças!GB72/1000000</f>
        <v>5.14152421</v>
      </c>
      <c r="G71" s="95">
        <f>cobranças!GC72/1000000</f>
        <v>34.411337919999994</v>
      </c>
      <c r="H71" s="107">
        <f>cobranças!GD72/1000000</f>
        <v>27.150127496752166</v>
      </c>
      <c r="J71" s="137"/>
      <c r="K71" s="137"/>
      <c r="L71" s="36"/>
      <c r="M71" s="36"/>
      <c r="N71" s="36"/>
    </row>
    <row r="72" spans="1:14" s="5" customFormat="1" ht="12.75" x14ac:dyDescent="0.2">
      <c r="A72" s="248"/>
      <c r="B72" s="15" t="str">
        <f>cobranças!B73</f>
        <v>Paraopeba</v>
      </c>
      <c r="C72" s="1" t="s">
        <v>14</v>
      </c>
      <c r="D72" s="2">
        <f>cobranças!D73</f>
        <v>44562</v>
      </c>
      <c r="E72" s="91">
        <f>cobranças!FU73/1000000</f>
        <v>26.644220669999999</v>
      </c>
      <c r="F72" s="91">
        <f>cobranças!GB73/1000000</f>
        <v>20.499655920000002</v>
      </c>
      <c r="G72" s="95">
        <f>cobranças!GC73/1000000</f>
        <v>65.035430579999996</v>
      </c>
      <c r="H72" s="107">
        <f>cobranças!GD73/1000000</f>
        <v>56.268067539999997</v>
      </c>
      <c r="J72" s="137"/>
      <c r="K72" s="137"/>
      <c r="L72" s="36"/>
      <c r="M72" s="36"/>
      <c r="N72" s="36"/>
    </row>
    <row r="73" spans="1:14" s="5" customFormat="1" ht="12.75" x14ac:dyDescent="0.2">
      <c r="A73" s="248"/>
      <c r="B73" s="15" t="str">
        <f>cobranças!B74</f>
        <v>Afluentes Mineiros do Alto Paranaíba</v>
      </c>
      <c r="C73" s="1" t="s">
        <v>14</v>
      </c>
      <c r="D73" s="2">
        <f>cobranças!D74</f>
        <v>44562</v>
      </c>
      <c r="E73" s="91">
        <f>cobranças!FU74/1000000</f>
        <v>8.2814709499999992</v>
      </c>
      <c r="F73" s="91">
        <f>cobranças!GB74/1000000</f>
        <v>4.8706918999999997</v>
      </c>
      <c r="G73" s="95">
        <f>cobranças!GC74/1000000</f>
        <v>24.822675120000003</v>
      </c>
      <c r="H73" s="107">
        <f>cobranças!GD74/1000000</f>
        <v>14.551383309999995</v>
      </c>
      <c r="J73" s="137"/>
      <c r="K73" s="137"/>
      <c r="L73" s="36"/>
      <c r="M73" s="36"/>
      <c r="N73" s="36"/>
    </row>
    <row r="74" spans="1:14" s="5" customFormat="1" ht="12.75" x14ac:dyDescent="0.2">
      <c r="A74" s="248"/>
      <c r="B74" s="15" t="str">
        <f>cobranças!B75</f>
        <v>Afluentes Mineiros do Baixo Paranaíba</v>
      </c>
      <c r="C74" s="1" t="s">
        <v>14</v>
      </c>
      <c r="D74" s="2">
        <f>cobranças!D75</f>
        <v>44562</v>
      </c>
      <c r="E74" s="91">
        <f>cobranças!FU75/1000000</f>
        <v>8.3444941000000004</v>
      </c>
      <c r="F74" s="91">
        <f>cobranças!GB75/1000000</f>
        <v>7.0498423899999993</v>
      </c>
      <c r="G74" s="95">
        <f>cobranças!GC75/1000000</f>
        <v>23.748220779999997</v>
      </c>
      <c r="H74" s="107">
        <f>cobranças!GD75/1000000</f>
        <v>14.7957634</v>
      </c>
      <c r="J74" s="137"/>
      <c r="K74" s="137"/>
      <c r="L74" s="36"/>
      <c r="M74" s="36"/>
      <c r="N74" s="36"/>
    </row>
    <row r="75" spans="1:14" s="5" customFormat="1" ht="12.75" x14ac:dyDescent="0.2">
      <c r="A75" s="248"/>
      <c r="B75" s="15" t="str">
        <f>cobranças!B76</f>
        <v>Vertentes do Rio Grande</v>
      </c>
      <c r="C75" s="1" t="s">
        <v>14</v>
      </c>
      <c r="D75" s="2">
        <f>cobranças!D76</f>
        <v>44562</v>
      </c>
      <c r="E75" s="91">
        <f>cobranças!FU76/1000000</f>
        <v>2.7499547199999999</v>
      </c>
      <c r="F75" s="91">
        <f>cobranças!GB76/1000000</f>
        <v>2.3318150199999996</v>
      </c>
      <c r="G75" s="95">
        <f>cobranças!GC76/1000000</f>
        <v>7.3323590599999999</v>
      </c>
      <c r="H75" s="107">
        <f>cobranças!GD76/1000000</f>
        <v>4.7662277400000006</v>
      </c>
      <c r="J75" s="137"/>
      <c r="K75" s="137"/>
      <c r="L75" s="36"/>
      <c r="M75" s="36"/>
      <c r="N75" s="36"/>
    </row>
    <row r="76" spans="1:14" s="5" customFormat="1" ht="12.75" x14ac:dyDescent="0.2">
      <c r="A76" s="248"/>
      <c r="B76" s="15" t="str">
        <f>cobranças!B77</f>
        <v>Entorno do Reservatório de Furnas</v>
      </c>
      <c r="C76" s="1" t="s">
        <v>14</v>
      </c>
      <c r="D76" s="2">
        <f>cobranças!D77</f>
        <v>44562</v>
      </c>
      <c r="E76" s="91">
        <f>cobranças!FU77/1000000</f>
        <v>2.3998978800000001</v>
      </c>
      <c r="F76" s="91">
        <f>cobranças!GB77/1000000</f>
        <v>1.66842256</v>
      </c>
      <c r="G76" s="95">
        <f>cobranças!GC77/1000000</f>
        <v>6.3393872799999995</v>
      </c>
      <c r="H76" s="107">
        <f>cobranças!GD77/1000000</f>
        <v>4.1645059700000004</v>
      </c>
      <c r="J76" s="137"/>
      <c r="K76" s="137"/>
      <c r="L76" s="36"/>
      <c r="M76" s="36"/>
      <c r="N76" s="36"/>
    </row>
    <row r="77" spans="1:14" s="5" customFormat="1" ht="12.75" x14ac:dyDescent="0.2">
      <c r="A77" s="248"/>
      <c r="B77" s="15" t="str">
        <f>cobranças!B78</f>
        <v>Verde Grande</v>
      </c>
      <c r="C77" s="1" t="s">
        <v>14</v>
      </c>
      <c r="D77" s="2">
        <f>cobranças!D78</f>
        <v>44927</v>
      </c>
      <c r="E77" s="91">
        <f>cobranças!FU78/1000000</f>
        <v>2.5633665400000001</v>
      </c>
      <c r="F77" s="91">
        <f>cobranças!GB78/1000000</f>
        <v>1.80068915</v>
      </c>
      <c r="G77" s="95">
        <f>cobranças!GC78/1000000</f>
        <v>5.7081394200000002</v>
      </c>
      <c r="H77" s="107">
        <f>cobranças!GD78/1000000</f>
        <v>3.1668348499999994</v>
      </c>
      <c r="J77" s="137"/>
      <c r="K77" s="137"/>
      <c r="L77" s="36"/>
      <c r="M77" s="36"/>
      <c r="N77" s="36"/>
    </row>
    <row r="78" spans="1:14" s="5" customFormat="1" ht="12.75" x14ac:dyDescent="0.2">
      <c r="A78" s="248"/>
      <c r="B78" s="15" t="str">
        <f>cobranças!B79</f>
        <v>Paracatu</v>
      </c>
      <c r="C78" s="1" t="s">
        <v>14</v>
      </c>
      <c r="D78" s="2">
        <f>cobranças!D79</f>
        <v>44927</v>
      </c>
      <c r="E78" s="91">
        <f>cobranças!FU79/1000000</f>
        <v>23.379718889999999</v>
      </c>
      <c r="F78" s="91">
        <f>cobranças!GB79/1000000</f>
        <v>5.96774483</v>
      </c>
      <c r="G78" s="95">
        <f>cobranças!GC79/1000000</f>
        <v>34.887552799999995</v>
      </c>
      <c r="H78" s="107">
        <f>cobranças!GD79/1000000</f>
        <v>13.752865009999999</v>
      </c>
      <c r="J78" s="137"/>
      <c r="K78" s="137"/>
      <c r="L78" s="36"/>
      <c r="M78" s="36"/>
      <c r="N78" s="36"/>
    </row>
    <row r="79" spans="1:14" s="5" customFormat="1" ht="12.75" x14ac:dyDescent="0.2">
      <c r="A79" s="248"/>
      <c r="B79" s="15" t="str">
        <f>cobranças!B80</f>
        <v>Afluentes do Alto São Francisco</v>
      </c>
      <c r="C79" s="1" t="s">
        <v>14</v>
      </c>
      <c r="D79" s="2">
        <f>cobranças!D80</f>
        <v>44927</v>
      </c>
      <c r="E79" s="91">
        <f>cobranças!FU80/1000000</f>
        <v>1.9463705</v>
      </c>
      <c r="F79" s="91">
        <f>cobranças!GB80/1000000</f>
        <v>1.2609495400000001</v>
      </c>
      <c r="G79" s="95">
        <f>cobranças!GC80/1000000</f>
        <v>3.8003884499999998</v>
      </c>
      <c r="H79" s="107">
        <f>cobranças!GD80/1000000</f>
        <v>2.2836071600000003</v>
      </c>
      <c r="J79" s="137"/>
      <c r="K79" s="137"/>
      <c r="L79" s="36"/>
      <c r="M79" s="36"/>
      <c r="N79" s="36"/>
    </row>
    <row r="80" spans="1:14" s="5" customFormat="1" ht="12.75" x14ac:dyDescent="0.2">
      <c r="A80" s="248"/>
      <c r="B80" s="15" t="str">
        <f>cobranças!B81</f>
        <v>Afluentes do Médio São Francisco</v>
      </c>
      <c r="C80" s="1" t="s">
        <v>14</v>
      </c>
      <c r="D80" s="2">
        <f>cobranças!D81</f>
        <v>44927</v>
      </c>
      <c r="E80" s="91">
        <f>cobranças!FU81/1000000</f>
        <v>0.59742915000000008</v>
      </c>
      <c r="F80" s="91">
        <f>cobranças!GB81/1000000</f>
        <v>0.17691226000000002</v>
      </c>
      <c r="G80" s="95">
        <f>cobranças!GC81/1000000</f>
        <v>1.5361408999999999</v>
      </c>
      <c r="H80" s="107">
        <f>cobranças!GD81/1000000</f>
        <v>0.29665696999999996</v>
      </c>
      <c r="J80" s="137"/>
      <c r="K80" s="137"/>
      <c r="L80" s="36"/>
      <c r="M80" s="36"/>
      <c r="N80" s="36"/>
    </row>
    <row r="81" spans="1:14" s="5" customFormat="1" ht="12.75" x14ac:dyDescent="0.2">
      <c r="A81" s="248"/>
      <c r="B81" s="15" t="str">
        <f>cobranças!B82</f>
        <v>Jequitaí/Pacuí</v>
      </c>
      <c r="C81" s="1" t="s">
        <v>14</v>
      </c>
      <c r="D81" s="2">
        <f>cobranças!D82</f>
        <v>44927</v>
      </c>
      <c r="E81" s="91">
        <f>cobranças!FU82/1000000</f>
        <v>1.57901376</v>
      </c>
      <c r="F81" s="91">
        <f>cobranças!GB82/1000000</f>
        <v>0.72363743000000003</v>
      </c>
      <c r="G81" s="95">
        <f>cobranças!GC82/1000000</f>
        <v>2.9867823200000001</v>
      </c>
      <c r="H81" s="107">
        <f>cobranças!GD82/1000000</f>
        <v>1.46812879</v>
      </c>
      <c r="J81" s="137"/>
      <c r="K81" s="137"/>
      <c r="L81" s="36"/>
      <c r="M81" s="36"/>
      <c r="N81" s="36"/>
    </row>
    <row r="82" spans="1:14" s="5" customFormat="1" ht="12.75" x14ac:dyDescent="0.2">
      <c r="A82" s="248"/>
      <c r="B82" s="15" t="str">
        <f>cobranças!B83</f>
        <v>Entorno da Represa de Três Marias</v>
      </c>
      <c r="C82" s="1" t="s">
        <v>14</v>
      </c>
      <c r="D82" s="2">
        <f>cobranças!D83</f>
        <v>44927</v>
      </c>
      <c r="E82" s="91">
        <f>cobranças!FU83/1000000</f>
        <v>1.4701900000000001</v>
      </c>
      <c r="F82" s="91">
        <f>cobranças!GB83/1000000</f>
        <v>0.60864775000000004</v>
      </c>
      <c r="G82" s="95">
        <f>cobranças!GC83/1000000</f>
        <v>2.6864311700000001</v>
      </c>
      <c r="H82" s="107">
        <f>cobranças!GD83/1000000</f>
        <v>1.1288609700000001</v>
      </c>
      <c r="J82" s="137"/>
      <c r="K82" s="137"/>
      <c r="L82" s="36"/>
      <c r="M82" s="36"/>
      <c r="N82" s="36"/>
    </row>
    <row r="83" spans="1:14" s="5" customFormat="1" ht="12.75" x14ac:dyDescent="0.2">
      <c r="A83" s="248"/>
      <c r="B83" s="15" t="str">
        <f>cobranças!B84</f>
        <v>Urucuia</v>
      </c>
      <c r="C83" s="1" t="s">
        <v>14</v>
      </c>
      <c r="D83" s="2">
        <f>cobranças!D84</f>
        <v>44927</v>
      </c>
      <c r="E83" s="91">
        <f>cobranças!FU84/1000000</f>
        <v>2.3755378300000003</v>
      </c>
      <c r="F83" s="91">
        <f>cobranças!GB84/1000000</f>
        <v>0.66285622</v>
      </c>
      <c r="G83" s="95">
        <f>cobranças!GC84/1000000</f>
        <v>4.5239349500000001</v>
      </c>
      <c r="H83" s="107">
        <f>cobranças!GD84/1000000</f>
        <v>1.6040735699999997</v>
      </c>
      <c r="J83" s="137"/>
      <c r="K83" s="137"/>
      <c r="L83" s="36"/>
      <c r="M83" s="36"/>
      <c r="N83" s="36"/>
    </row>
    <row r="84" spans="1:14" s="5" customFormat="1" ht="12.75" x14ac:dyDescent="0.2">
      <c r="A84" s="248"/>
      <c r="B84" s="15" t="str">
        <f>cobranças!B85</f>
        <v>Alto Rio Grande</v>
      </c>
      <c r="C84" s="1" t="s">
        <v>14</v>
      </c>
      <c r="D84" s="2">
        <f>cobranças!D85</f>
        <v>44927</v>
      </c>
      <c r="E84" s="91">
        <f>cobranças!FU85/1000000</f>
        <v>1.6294808799999998</v>
      </c>
      <c r="F84" s="91">
        <f>cobranças!GB85/1000000</f>
        <v>1.2704374799999998</v>
      </c>
      <c r="G84" s="95">
        <f>cobranças!GC85/1000000</f>
        <v>2.5964505899999999</v>
      </c>
      <c r="H84" s="107">
        <f>cobranças!GD85/1000000</f>
        <v>1.5311628499999996</v>
      </c>
      <c r="J84" s="137"/>
      <c r="K84" s="137"/>
      <c r="L84" s="36"/>
      <c r="M84" s="36"/>
      <c r="N84" s="36"/>
    </row>
    <row r="85" spans="1:14" s="5" customFormat="1" ht="12.75" x14ac:dyDescent="0.2">
      <c r="A85" s="248"/>
      <c r="B85" s="15" t="str">
        <f>cobranças!B86</f>
        <v xml:space="preserve">Sapucaí </v>
      </c>
      <c r="C85" s="1" t="s">
        <v>14</v>
      </c>
      <c r="D85" s="2">
        <f>cobranças!D86</f>
        <v>44927</v>
      </c>
      <c r="E85" s="91">
        <f>cobranças!FU86/1000000</f>
        <v>2.4220431699999998</v>
      </c>
      <c r="F85" s="91">
        <f>cobranças!GB86/1000000</f>
        <v>1.18119379</v>
      </c>
      <c r="G85" s="95">
        <f>cobranças!GC86/1000000</f>
        <v>4.5610392800000001</v>
      </c>
      <c r="H85" s="107">
        <f>cobranças!GD86/1000000</f>
        <v>1.86706908</v>
      </c>
      <c r="J85" s="137"/>
      <c r="K85" s="137"/>
      <c r="L85" s="36"/>
      <c r="M85" s="36"/>
      <c r="N85" s="36"/>
    </row>
    <row r="86" spans="1:14" s="5" customFormat="1" ht="12.75" x14ac:dyDescent="0.2">
      <c r="A86" s="248"/>
      <c r="B86" s="15" t="str">
        <f>cobranças!B87</f>
        <v>Afluentes Mineiros do Baixo Rio Grande</v>
      </c>
      <c r="C86" s="1" t="s">
        <v>14</v>
      </c>
      <c r="D86" s="2">
        <f>cobranças!D87</f>
        <v>44927</v>
      </c>
      <c r="E86" s="91">
        <f>cobranças!FU87/1000000</f>
        <v>8.8851611299999984</v>
      </c>
      <c r="F86" s="91">
        <f>cobranças!GB87/1000000</f>
        <v>5.2688930700000007</v>
      </c>
      <c r="G86" s="95">
        <f>cobranças!GC87/1000000</f>
        <v>17.682510579999999</v>
      </c>
      <c r="H86" s="107">
        <f>cobranças!GD87/1000000</f>
        <v>9.9175383000000004</v>
      </c>
      <c r="J86" s="137"/>
      <c r="K86" s="137"/>
      <c r="L86" s="36"/>
      <c r="M86" s="36"/>
      <c r="N86" s="36"/>
    </row>
    <row r="87" spans="1:14" s="5" customFormat="1" ht="12.75" x14ac:dyDescent="0.2">
      <c r="A87" s="248"/>
      <c r="B87" s="15" t="str">
        <f>cobranças!B88</f>
        <v>Verde</v>
      </c>
      <c r="C87" s="1" t="s">
        <v>14</v>
      </c>
      <c r="D87" s="2">
        <f>cobranças!D88</f>
        <v>44927</v>
      </c>
      <c r="E87" s="91">
        <f>cobranças!FU88/1000000</f>
        <v>2.4425859500000002</v>
      </c>
      <c r="F87" s="91">
        <f>cobranças!GB88/1000000</f>
        <v>1.9370840400000002</v>
      </c>
      <c r="G87" s="95">
        <f>cobranças!GC88/1000000</f>
        <v>4.7515542700000006</v>
      </c>
      <c r="H87" s="107">
        <f>cobranças!GD88/1000000</f>
        <v>3.5836572700000007</v>
      </c>
      <c r="J87" s="137"/>
      <c r="K87" s="137"/>
      <c r="L87" s="36"/>
      <c r="M87" s="36"/>
      <c r="N87" s="36"/>
    </row>
    <row r="88" spans="1:14" s="5" customFormat="1" ht="12.75" x14ac:dyDescent="0.2">
      <c r="A88" s="248"/>
      <c r="B88" s="15" t="str">
        <f>cobranças!B89</f>
        <v>Afluentes Mineiros do Médio Rio Grande</v>
      </c>
      <c r="C88" s="1" t="s">
        <v>14</v>
      </c>
      <c r="D88" s="2">
        <f>cobranças!D89</f>
        <v>44927</v>
      </c>
      <c r="E88" s="91">
        <f>cobranças!FU89/1000000</f>
        <v>1.8169509500000003</v>
      </c>
      <c r="F88" s="91">
        <f>cobranças!GB89/1000000</f>
        <v>0.99061897999999993</v>
      </c>
      <c r="G88" s="95">
        <f>cobranças!GC89/1000000</f>
        <v>3.1498440599999999</v>
      </c>
      <c r="H88" s="107">
        <f>cobranças!GD89/1000000</f>
        <v>1.6969117300000001</v>
      </c>
      <c r="J88" s="137"/>
      <c r="K88" s="137"/>
      <c r="L88" s="36"/>
      <c r="M88" s="36"/>
      <c r="N88" s="36"/>
    </row>
    <row r="89" spans="1:14" s="5" customFormat="1" ht="12.75" x14ac:dyDescent="0.2">
      <c r="A89" s="248"/>
      <c r="B89" s="15" t="str">
        <f>cobranças!B90</f>
        <v>Afluentes Mineiros dos Rios Mogi-Guaçu e Pardo</v>
      </c>
      <c r="C89" s="1" t="s">
        <v>14</v>
      </c>
      <c r="D89" s="2">
        <f>cobranças!D90</f>
        <v>44927</v>
      </c>
      <c r="E89" s="91">
        <f>cobranças!FU90/1000000</f>
        <v>1.3863443999999998</v>
      </c>
      <c r="F89" s="91">
        <f>cobranças!GB90/1000000</f>
        <v>0.42420046</v>
      </c>
      <c r="G89" s="95">
        <f>cobranças!GC90/1000000</f>
        <v>2.6412365099999997</v>
      </c>
      <c r="H89" s="107">
        <f>cobranças!GD90/1000000</f>
        <v>1.3436925800000001</v>
      </c>
      <c r="J89" s="137"/>
      <c r="K89" s="137"/>
      <c r="L89" s="36"/>
      <c r="M89" s="36"/>
      <c r="N89" s="36"/>
    </row>
    <row r="90" spans="1:14" s="5" customFormat="1" ht="12.75" x14ac:dyDescent="0.2">
      <c r="A90" s="248"/>
      <c r="B90" s="15" t="str">
        <f>cobranças!B91</f>
        <v>Araçuaí</v>
      </c>
      <c r="C90" s="1" t="s">
        <v>14</v>
      </c>
      <c r="D90" s="2">
        <f>cobranças!D91</f>
        <v>44927</v>
      </c>
      <c r="E90" s="91">
        <f>cobranças!FU91/1000000</f>
        <v>0.92041441999999996</v>
      </c>
      <c r="F90" s="91">
        <f>cobranças!GB91/1000000</f>
        <v>0.51155795999999998</v>
      </c>
      <c r="G90" s="95">
        <f>cobranças!GC91/1000000</f>
        <v>1.7297452099999999</v>
      </c>
      <c r="H90" s="107">
        <f>cobranças!GD91/1000000</f>
        <v>1.05550393</v>
      </c>
      <c r="J90" s="137"/>
      <c r="K90" s="137"/>
      <c r="L90" s="36"/>
      <c r="M90" s="36"/>
      <c r="N90" s="36"/>
    </row>
    <row r="91" spans="1:14" s="5" customFormat="1" ht="12.75" x14ac:dyDescent="0.2">
      <c r="A91" s="248"/>
      <c r="B91" s="15" t="str">
        <f>cobranças!B92</f>
        <v>Afluentes Mineiros do Alto Jequitinhonha</v>
      </c>
      <c r="C91" s="1" t="s">
        <v>14</v>
      </c>
      <c r="D91" s="2">
        <f>cobranças!D92</f>
        <v>44927</v>
      </c>
      <c r="E91" s="91">
        <f>cobranças!FU92/1000000</f>
        <v>0.32595175000000004</v>
      </c>
      <c r="F91" s="91">
        <f>cobranças!GB92/1000000</f>
        <v>0.20663942000000002</v>
      </c>
      <c r="G91" s="95">
        <f>cobranças!GC92/1000000</f>
        <v>0.56041375999999998</v>
      </c>
      <c r="H91" s="107">
        <f>cobranças!GD92/1000000</f>
        <v>0.34001882999999999</v>
      </c>
      <c r="J91" s="137"/>
      <c r="K91" s="137"/>
      <c r="L91" s="36"/>
      <c r="M91" s="36"/>
      <c r="N91" s="36"/>
    </row>
    <row r="92" spans="1:14" s="5" customFormat="1" ht="12.75" x14ac:dyDescent="0.2">
      <c r="A92" s="248"/>
      <c r="B92" s="15" t="str">
        <f>cobranças!B93</f>
        <v>São Mateus</v>
      </c>
      <c r="C92" s="1" t="s">
        <v>14</v>
      </c>
      <c r="D92" s="2">
        <f>cobranças!D93</f>
        <v>44927</v>
      </c>
      <c r="E92" s="91">
        <f>cobranças!FU93/1000000</f>
        <v>0.19203540999999999</v>
      </c>
      <c r="F92" s="91">
        <f>cobranças!GB93/1000000</f>
        <v>0.12971722999999999</v>
      </c>
      <c r="G92" s="95">
        <f>cobranças!GC93/1000000</f>
        <v>0.36458679000000005</v>
      </c>
      <c r="H92" s="107">
        <f>cobranças!GD93/1000000</f>
        <v>0.28493751</v>
      </c>
      <c r="J92" s="137"/>
      <c r="K92" s="137"/>
      <c r="L92" s="36"/>
      <c r="M92" s="36"/>
      <c r="N92" s="36"/>
    </row>
    <row r="93" spans="1:14" s="5" customFormat="1" ht="12.75" x14ac:dyDescent="0.2">
      <c r="A93" s="248"/>
      <c r="B93" s="15" t="str">
        <f>cobranças!B94</f>
        <v>Afluentes Mineiros do Rio Mucuri</v>
      </c>
      <c r="C93" s="1" t="s">
        <v>14</v>
      </c>
      <c r="D93" s="2">
        <f>cobranças!D94</f>
        <v>44927</v>
      </c>
      <c r="E93" s="91">
        <f>cobranças!FU94/1000000</f>
        <v>0.64310893999999996</v>
      </c>
      <c r="F93" s="91">
        <f>cobranças!GB94/1000000</f>
        <v>0.58177097999999994</v>
      </c>
      <c r="G93" s="95">
        <f>cobranças!GC94/1000000</f>
        <v>1.2394757599999999</v>
      </c>
      <c r="H93" s="107">
        <f>cobranças!GD94/1000000</f>
        <v>1.1326982799999998</v>
      </c>
      <c r="J93" s="137"/>
      <c r="K93" s="137"/>
      <c r="L93" s="36"/>
      <c r="M93" s="36"/>
      <c r="N93" s="36"/>
    </row>
    <row r="94" spans="1:14" s="5" customFormat="1" ht="25.5" x14ac:dyDescent="0.2">
      <c r="A94" s="248"/>
      <c r="B94" s="15" t="str">
        <f>cobranças!B95</f>
        <v>Afluentes Mineiros do Médio e Baixo rio Jequitinhonha</v>
      </c>
      <c r="C94" s="1"/>
      <c r="D94" s="2"/>
      <c r="E94" s="209">
        <f>cobranças!FU95/1000000</f>
        <v>1.2271479500000002</v>
      </c>
      <c r="F94" s="209">
        <f>cobranças!GB95/1000000</f>
        <v>0.87510772999999997</v>
      </c>
      <c r="G94" s="210">
        <f>cobranças!GC95/1000000</f>
        <v>1.2271479500000002</v>
      </c>
      <c r="H94" s="211">
        <f>cobranças!GD95/1000000</f>
        <v>0.87510772999999997</v>
      </c>
      <c r="J94" s="137"/>
      <c r="K94" s="137"/>
      <c r="L94" s="36"/>
      <c r="M94" s="36"/>
      <c r="N94" s="36"/>
    </row>
    <row r="95" spans="1:14" s="5" customFormat="1" ht="25.5" customHeight="1" x14ac:dyDescent="0.2">
      <c r="A95" s="248"/>
      <c r="B95" s="15" t="str">
        <f>cobranças!B96</f>
        <v>Mosquito e demais afluentes Mineiros do Rio Pardo</v>
      </c>
      <c r="C95" s="1"/>
      <c r="D95" s="2"/>
      <c r="E95" s="209">
        <f>cobranças!FU96/1000000</f>
        <v>0.20091789000000002</v>
      </c>
      <c r="F95" s="209">
        <f>cobranças!GB96/1000000</f>
        <v>5.5278349999999997E-2</v>
      </c>
      <c r="G95" s="210">
        <f>cobranças!GC96/1000000</f>
        <v>0.20091789000000002</v>
      </c>
      <c r="H95" s="211">
        <f>cobranças!GD96/1000000</f>
        <v>5.5278349999999997E-2</v>
      </c>
      <c r="J95" s="137"/>
      <c r="K95" s="137"/>
      <c r="L95" s="36"/>
      <c r="M95" s="36"/>
      <c r="N95" s="36"/>
    </row>
    <row r="96" spans="1:14" s="5" customFormat="1" ht="12.75" x14ac:dyDescent="0.2">
      <c r="A96" s="248"/>
      <c r="B96" s="15" t="str">
        <f>cobranças!B97</f>
        <v>outros (Dev. Cont. Gestao ou não identificado)</v>
      </c>
      <c r="C96" s="1" t="s">
        <v>14</v>
      </c>
      <c r="D96" s="2"/>
      <c r="E96" s="91">
        <f>cobranças!FU97/1000000</f>
        <v>0</v>
      </c>
      <c r="F96" s="91">
        <f>cobranças!GB97/1000000</f>
        <v>0</v>
      </c>
      <c r="G96" s="95">
        <f>cobranças!GC97/1000000</f>
        <v>0</v>
      </c>
      <c r="H96" s="107">
        <f>cobranças!GD97/1000000</f>
        <v>0.25509378999999999</v>
      </c>
      <c r="J96" s="137"/>
      <c r="K96" s="137"/>
      <c r="L96" s="36"/>
      <c r="M96" s="36"/>
      <c r="N96" s="36"/>
    </row>
    <row r="97" spans="1:15" s="5" customFormat="1" ht="12.75" x14ac:dyDescent="0.2">
      <c r="A97" s="248"/>
      <c r="B97" s="259" t="s">
        <v>40</v>
      </c>
      <c r="C97" s="260"/>
      <c r="D97" s="260"/>
      <c r="E97" s="93">
        <f>cobranças!FU98/1000000</f>
        <v>193.46984209999991</v>
      </c>
      <c r="F97" s="93">
        <f>cobranças!GB98/1000000</f>
        <v>123.93444135000006</v>
      </c>
      <c r="G97" s="96">
        <f>cobranças!GC98/1000000</f>
        <v>908.74483780359992</v>
      </c>
      <c r="H97" s="108">
        <f>cobranças!GD98/1000000</f>
        <v>704.95699325788621</v>
      </c>
      <c r="J97" s="137"/>
      <c r="K97" s="137"/>
      <c r="L97" s="6"/>
      <c r="M97" s="6"/>
      <c r="N97" s="6"/>
      <c r="O97" s="6"/>
    </row>
    <row r="98" spans="1:15" s="5" customFormat="1" ht="12.75" x14ac:dyDescent="0.2">
      <c r="A98" s="251" t="s">
        <v>34</v>
      </c>
      <c r="B98" s="15" t="str">
        <f>cobranças!B99</f>
        <v>Alto Iguaçu e Afluentes do Alto Ribeira</v>
      </c>
      <c r="C98" s="1" t="s">
        <v>32</v>
      </c>
      <c r="D98" s="2">
        <f>cobranças!D99</f>
        <v>41518</v>
      </c>
      <c r="E98" s="100">
        <f>cobranças!FU99/1000000</f>
        <v>3.93646261</v>
      </c>
      <c r="F98" s="100">
        <f>cobranças!GB99/1000000</f>
        <v>1.1899700800000002</v>
      </c>
      <c r="G98" s="91">
        <f>cobranças!GC99/1000000</f>
        <v>45.866272550000005</v>
      </c>
      <c r="H98" s="98">
        <f>cobranças!GD99/1000000</f>
        <v>33.352170780000002</v>
      </c>
      <c r="J98" s="137"/>
      <c r="K98" s="137"/>
      <c r="L98" s="36"/>
      <c r="M98" s="36"/>
      <c r="N98" s="36"/>
    </row>
    <row r="99" spans="1:15" s="5" customFormat="1" ht="12.75" x14ac:dyDescent="0.2">
      <c r="A99" s="252"/>
      <c r="B99" s="249" t="s">
        <v>42</v>
      </c>
      <c r="C99" s="250"/>
      <c r="D99" s="250"/>
      <c r="E99" s="94">
        <f>cobranças!FU100/1000000</f>
        <v>3.93646261</v>
      </c>
      <c r="F99" s="94">
        <f>cobranças!GB100/1000000</f>
        <v>1.1899700800000002</v>
      </c>
      <c r="G99" s="94">
        <f>cobranças!GC100/1000000</f>
        <v>45.866272550000005</v>
      </c>
      <c r="H99" s="106">
        <f>cobranças!GD100/1000000</f>
        <v>33.352170780000002</v>
      </c>
      <c r="J99" s="137"/>
      <c r="K99" s="137"/>
      <c r="L99" s="154"/>
      <c r="M99" s="154"/>
      <c r="N99" s="154"/>
      <c r="O99" s="154"/>
    </row>
    <row r="100" spans="1:15" s="5" customFormat="1" ht="12.75" x14ac:dyDescent="0.2">
      <c r="A100" s="261" t="s">
        <v>90</v>
      </c>
      <c r="B100" s="15" t="str">
        <f>cobranças!B101</f>
        <v>Litoral Sul (Abiaí, Gramame)</v>
      </c>
      <c r="C100" s="1" t="s">
        <v>95</v>
      </c>
      <c r="D100" s="2">
        <f>cobranças!D101</f>
        <v>42005</v>
      </c>
      <c r="E100" s="91">
        <f>cobranças!FU101/1000000</f>
        <v>1.7412336500000001</v>
      </c>
      <c r="F100" s="91">
        <f>cobranças!GB101/1000000</f>
        <v>1.7529818700000002</v>
      </c>
      <c r="G100" s="91">
        <f>cobranças!GC101/1000000</f>
        <v>15.443899759999999</v>
      </c>
      <c r="H100" s="98">
        <f>cobranças!GD101/1000000</f>
        <v>15.417549660000001</v>
      </c>
      <c r="J100" s="137"/>
      <c r="K100" s="137"/>
      <c r="L100" s="36"/>
      <c r="M100" s="36"/>
      <c r="N100" s="36"/>
    </row>
    <row r="101" spans="1:15" s="5" customFormat="1" ht="12.75" x14ac:dyDescent="0.2">
      <c r="A101" s="261"/>
      <c r="B101" s="15" t="str">
        <f>cobranças!B102</f>
        <v>Paraíba</v>
      </c>
      <c r="C101" s="1" t="s">
        <v>95</v>
      </c>
      <c r="D101" s="2">
        <f>cobranças!D102</f>
        <v>42005</v>
      </c>
      <c r="E101" s="91">
        <f>cobranças!FU102/1000000</f>
        <v>2.4765869399999998</v>
      </c>
      <c r="F101" s="91">
        <f>cobranças!GB102/1000000</f>
        <v>1.3576042800000001</v>
      </c>
      <c r="G101" s="91">
        <f>cobranças!GC102/1000000</f>
        <v>20.772151310000002</v>
      </c>
      <c r="H101" s="98">
        <f>cobranças!GD102/1000000</f>
        <v>18.58445077</v>
      </c>
      <c r="J101" s="137"/>
      <c r="K101" s="137"/>
      <c r="L101" s="36"/>
      <c r="M101" s="36"/>
      <c r="N101" s="36"/>
    </row>
    <row r="102" spans="1:15" s="5" customFormat="1" ht="12.75" x14ac:dyDescent="0.2">
      <c r="A102" s="261"/>
      <c r="B102" s="15" t="str">
        <f>cobranças!B103</f>
        <v>Paraíba (delegação ANA)</v>
      </c>
      <c r="C102" s="1" t="s">
        <v>7</v>
      </c>
      <c r="D102" s="2">
        <v>2022</v>
      </c>
      <c r="E102" s="91">
        <f>cobranças!FU103/1000000</f>
        <v>0.90943399000000003</v>
      </c>
      <c r="F102" s="91">
        <f>cobranças!GB103/1000000</f>
        <v>0.91193451999999997</v>
      </c>
      <c r="G102" s="91">
        <f>cobranças!GC103/1000000</f>
        <v>2.5641361399999996</v>
      </c>
      <c r="H102" s="98">
        <f>cobranças!GD103/1000000</f>
        <v>2.5638474308799997</v>
      </c>
      <c r="J102" s="137"/>
      <c r="K102" s="137"/>
      <c r="L102" s="36"/>
      <c r="M102" s="36"/>
      <c r="N102" s="36"/>
    </row>
    <row r="103" spans="1:15" s="5" customFormat="1" ht="12.75" x14ac:dyDescent="0.2">
      <c r="A103" s="261"/>
      <c r="B103" s="15" t="str">
        <f>cobranças!B104</f>
        <v>Litoral Norte (Mamanguape, Camaratuba, Miriri)</v>
      </c>
      <c r="C103" s="1" t="s">
        <v>95</v>
      </c>
      <c r="D103" s="2">
        <f>cobranças!D104</f>
        <v>42005</v>
      </c>
      <c r="E103" s="91">
        <f>cobranças!FU104/1000000</f>
        <v>0.95601540000000018</v>
      </c>
      <c r="F103" s="91">
        <f>cobranças!GB104/1000000</f>
        <v>1.0005810400000001</v>
      </c>
      <c r="G103" s="91">
        <f>cobranças!GC104/1000000</f>
        <v>7.4122889199999999</v>
      </c>
      <c r="H103" s="98">
        <f>cobranças!GD104/1000000</f>
        <v>6.9914183100000002</v>
      </c>
      <c r="J103" s="137"/>
      <c r="K103" s="137"/>
      <c r="L103" s="36"/>
      <c r="M103" s="36"/>
      <c r="N103" s="36"/>
    </row>
    <row r="104" spans="1:15" s="5" customFormat="1" ht="12.75" x14ac:dyDescent="0.2">
      <c r="A104" s="261"/>
      <c r="B104" s="15" t="str">
        <f>cobranças!B105</f>
        <v>Piranhas</v>
      </c>
      <c r="C104" s="1" t="s">
        <v>95</v>
      </c>
      <c r="D104" s="2">
        <f>cobranças!D105</f>
        <v>42005</v>
      </c>
      <c r="E104" s="91">
        <f>cobranças!FU105/1000000</f>
        <v>0.5099863</v>
      </c>
      <c r="F104" s="91">
        <f>cobranças!GB105/1000000</f>
        <v>0.49389679999999997</v>
      </c>
      <c r="G104" s="91">
        <f>cobranças!GC105/1000000</f>
        <v>2.7576444099999997</v>
      </c>
      <c r="H104" s="98">
        <f>cobranças!GD105/1000000</f>
        <v>2.0361707500000001</v>
      </c>
      <c r="J104" s="137"/>
      <c r="K104" s="137"/>
      <c r="L104" s="36"/>
      <c r="M104" s="36"/>
      <c r="N104" s="36"/>
    </row>
    <row r="105" spans="1:15" s="5" customFormat="1" ht="12.75" x14ac:dyDescent="0.2">
      <c r="A105" s="261"/>
      <c r="B105" s="15" t="str">
        <f>cobranças!B106</f>
        <v>Outras bacias (Guaju, Curimataú, Jacu, Trairí)</v>
      </c>
      <c r="C105" s="1" t="s">
        <v>95</v>
      </c>
      <c r="D105" s="2">
        <f>cobranças!D106</f>
        <v>42036</v>
      </c>
      <c r="E105" s="91">
        <f>cobranças!FU106/1000000</f>
        <v>8.9131119999999994E-2</v>
      </c>
      <c r="F105" s="91">
        <f>cobranças!GB106/1000000</f>
        <v>3.9402120000000006E-2</v>
      </c>
      <c r="G105" s="91">
        <f>cobranças!GC106/1000000</f>
        <v>0.30336119</v>
      </c>
      <c r="H105" s="98">
        <f>cobranças!GD106/1000000</f>
        <v>0.22666409999999998</v>
      </c>
      <c r="J105" s="137"/>
      <c r="K105" s="137"/>
      <c r="L105" s="36"/>
      <c r="M105" s="36"/>
      <c r="N105" s="36"/>
    </row>
    <row r="106" spans="1:15" s="5" customFormat="1" ht="12.75" x14ac:dyDescent="0.2">
      <c r="A106" s="262"/>
      <c r="B106" s="259" t="s">
        <v>94</v>
      </c>
      <c r="C106" s="260"/>
      <c r="D106" s="260"/>
      <c r="E106" s="93">
        <f>cobranças!FU107/1000000</f>
        <v>6.6823874000000005</v>
      </c>
      <c r="F106" s="93">
        <f>cobranças!GB107/1000000</f>
        <v>5.5564006300000006</v>
      </c>
      <c r="G106" s="93">
        <f>cobranças!GC107/1000000</f>
        <v>49.253481729999997</v>
      </c>
      <c r="H106" s="99">
        <f>cobranças!GD107/1000000</f>
        <v>45.820101020880003</v>
      </c>
      <c r="J106" s="137"/>
      <c r="K106" s="137"/>
      <c r="L106" s="6"/>
      <c r="M106" s="6"/>
      <c r="N106" s="6"/>
      <c r="O106" s="6"/>
    </row>
    <row r="107" spans="1:15" s="5" customFormat="1" ht="12.75" x14ac:dyDescent="0.2">
      <c r="A107" s="251" t="s">
        <v>163</v>
      </c>
      <c r="B107" s="15" t="str">
        <f>cobranças!B108</f>
        <v>Jucu</v>
      </c>
      <c r="C107" s="298" t="s">
        <v>164</v>
      </c>
      <c r="D107" s="2">
        <f>cobranças!D108</f>
        <v>45261</v>
      </c>
      <c r="E107" s="100">
        <f>cobranças!FU108/1000000</f>
        <v>8.7384270999999991</v>
      </c>
      <c r="F107" s="100">
        <f>cobranças!GB108/1000000</f>
        <v>2.0056293799999998</v>
      </c>
      <c r="G107" s="91">
        <f>cobranças!GC108/1000000</f>
        <v>14.64307253</v>
      </c>
      <c r="H107" s="98">
        <f>cobranças!GD108/1000000</f>
        <v>2.2905724299999997</v>
      </c>
      <c r="J107" s="137"/>
      <c r="K107" s="137"/>
      <c r="L107" s="6"/>
      <c r="M107" s="36"/>
      <c r="N107" s="36"/>
    </row>
    <row r="108" spans="1:15" s="5" customFormat="1" ht="12.75" x14ac:dyDescent="0.2">
      <c r="A108" s="252"/>
      <c r="B108" s="15" t="str">
        <f>cobranças!B109</f>
        <v>Guandu</v>
      </c>
      <c r="C108" s="299"/>
      <c r="D108" s="2">
        <f>cobranças!D109</f>
        <v>45627</v>
      </c>
      <c r="E108" s="100">
        <f>cobranças!FU109/1000000</f>
        <v>2.5628929999999998E-2</v>
      </c>
      <c r="F108" s="100">
        <f>cobranças!GB109/1000000</f>
        <v>2.4099389999999998E-2</v>
      </c>
      <c r="G108" s="91">
        <f>cobranças!GC109/1000000</f>
        <v>5.2526229999999993E-2</v>
      </c>
      <c r="H108" s="98">
        <f>cobranças!GD109/1000000</f>
        <v>2.4099389999999998E-2</v>
      </c>
      <c r="J108" s="137"/>
      <c r="K108" s="137"/>
      <c r="L108" s="6"/>
      <c r="M108" s="36"/>
      <c r="N108" s="36"/>
    </row>
    <row r="109" spans="1:15" s="5" customFormat="1" ht="12.75" x14ac:dyDescent="0.2">
      <c r="A109" s="252"/>
      <c r="B109" s="249" t="s">
        <v>42</v>
      </c>
      <c r="C109" s="250"/>
      <c r="D109" s="250"/>
      <c r="E109" s="94">
        <f>cobranças!FU110/1000000</f>
        <v>8.764056029999999</v>
      </c>
      <c r="F109" s="94">
        <f>cobranças!GB110/1000000</f>
        <v>2.0297287699999997</v>
      </c>
      <c r="G109" s="94">
        <f>cobranças!GC110/1000000</f>
        <v>14.695598759999999</v>
      </c>
      <c r="H109" s="106">
        <f>cobranças!GD110/1000000</f>
        <v>2.31467182</v>
      </c>
      <c r="J109" s="137"/>
      <c r="K109" s="137"/>
      <c r="L109" s="6"/>
      <c r="M109" s="6"/>
      <c r="N109" s="6"/>
      <c r="O109" s="6"/>
    </row>
    <row r="110" spans="1:15" s="5" customFormat="1" ht="12.75" customHeight="1" x14ac:dyDescent="0.2">
      <c r="A110" s="261" t="s">
        <v>194</v>
      </c>
      <c r="B110" s="15" t="str">
        <f>cobranças!B111</f>
        <v>Apodi-Mossoró</v>
      </c>
      <c r="C110" s="165" t="s">
        <v>200</v>
      </c>
      <c r="D110" s="2">
        <f>cobranças!D111</f>
        <v>45292</v>
      </c>
      <c r="E110" s="100">
        <f>cobranças!FU111/1000000</f>
        <v>0.53071009999999996</v>
      </c>
      <c r="F110" s="100">
        <f>cobranças!GB111/1000000</f>
        <v>0</v>
      </c>
      <c r="G110" s="91">
        <f>cobranças!GC111/1000000</f>
        <v>0.61840448000000003</v>
      </c>
      <c r="H110" s="98">
        <f>cobranças!GD111/1000000</f>
        <v>8.7694380000000002E-2</v>
      </c>
      <c r="J110" s="137"/>
      <c r="K110" s="137"/>
      <c r="L110" s="6"/>
      <c r="M110" s="6"/>
      <c r="N110" s="6"/>
      <c r="O110" s="6"/>
    </row>
    <row r="111" spans="1:15" s="5" customFormat="1" ht="12.75" x14ac:dyDescent="0.2">
      <c r="A111" s="261"/>
      <c r="B111" s="15" t="str">
        <f>cobranças!B112</f>
        <v>Piancó-Piranhas-Açu</v>
      </c>
      <c r="C111" s="165" t="s">
        <v>200</v>
      </c>
      <c r="D111" s="2">
        <f>cobranças!D112</f>
        <v>45292</v>
      </c>
      <c r="E111" s="100">
        <f>cobranças!FU112/1000000</f>
        <v>0.26311443000000001</v>
      </c>
      <c r="F111" s="100">
        <f>cobranças!GB112/1000000</f>
        <v>0</v>
      </c>
      <c r="G111" s="91">
        <f>cobranças!GC112/1000000</f>
        <v>0.27751623999999997</v>
      </c>
      <c r="H111" s="98">
        <f>cobranças!GD112/1000000</f>
        <v>1.4401809999999999E-2</v>
      </c>
      <c r="J111" s="137"/>
      <c r="K111" s="137"/>
      <c r="L111" s="6"/>
      <c r="M111" s="6"/>
      <c r="N111" s="6"/>
      <c r="O111" s="6"/>
    </row>
    <row r="112" spans="1:15" s="5" customFormat="1" ht="12.75" x14ac:dyDescent="0.2">
      <c r="A112" s="261"/>
      <c r="B112" s="15" t="str">
        <f>cobranças!B113</f>
        <v>Ceará Mirim</v>
      </c>
      <c r="C112" s="165" t="s">
        <v>200</v>
      </c>
      <c r="D112" s="2">
        <f>cobranças!D113</f>
        <v>45292</v>
      </c>
      <c r="E112" s="100">
        <f>cobranças!FU113/1000000</f>
        <v>1.3598300000000001E-2</v>
      </c>
      <c r="F112" s="100">
        <f>cobranças!GB113/1000000</f>
        <v>0</v>
      </c>
      <c r="G112" s="91">
        <f>cobranças!GC113/1000000</f>
        <v>1.3598300000000001E-2</v>
      </c>
      <c r="H112" s="98">
        <f>cobranças!GD113/1000000</f>
        <v>0</v>
      </c>
      <c r="J112" s="137"/>
      <c r="K112" s="137"/>
      <c r="L112" s="6"/>
      <c r="M112" s="6"/>
      <c r="N112" s="6"/>
      <c r="O112" s="6"/>
    </row>
    <row r="113" spans="1:15" s="5" customFormat="1" ht="12.75" x14ac:dyDescent="0.2">
      <c r="A113" s="261"/>
      <c r="B113" s="15" t="str">
        <f>cobranças!B114</f>
        <v>Potengi</v>
      </c>
      <c r="C113" s="165" t="s">
        <v>200</v>
      </c>
      <c r="D113" s="2">
        <f>cobranças!D114</f>
        <v>45292</v>
      </c>
      <c r="E113" s="100">
        <f>cobranças!FU114/1000000</f>
        <v>0.68137837000000001</v>
      </c>
      <c r="F113" s="100">
        <f>cobranças!GB114/1000000</f>
        <v>0</v>
      </c>
      <c r="G113" s="91">
        <f>cobranças!GC114/1000000</f>
        <v>0.85055991999999991</v>
      </c>
      <c r="H113" s="98">
        <f>cobranças!GD114/1000000</f>
        <v>0.16918154999999999</v>
      </c>
      <c r="J113" s="137"/>
      <c r="K113" s="137"/>
      <c r="L113" s="6"/>
      <c r="M113" s="6"/>
      <c r="N113" s="6"/>
      <c r="O113" s="6"/>
    </row>
    <row r="114" spans="1:15" s="5" customFormat="1" ht="12.75" x14ac:dyDescent="0.2">
      <c r="A114" s="261"/>
      <c r="B114" s="15" t="str">
        <f>cobranças!B115</f>
        <v>Litoral Nordeste</v>
      </c>
      <c r="C114" s="165" t="s">
        <v>200</v>
      </c>
      <c r="D114" s="2">
        <f>cobranças!D115</f>
        <v>45292</v>
      </c>
      <c r="E114" s="100">
        <f>cobranças!FU115/1000000</f>
        <v>9.9566059999999998E-2</v>
      </c>
      <c r="F114" s="100">
        <f>cobranças!GB115/1000000</f>
        <v>0</v>
      </c>
      <c r="G114" s="91">
        <f>cobranças!GC115/1000000</f>
        <v>0.12236875999999999</v>
      </c>
      <c r="H114" s="98">
        <f>cobranças!GD115/1000000</f>
        <v>2.2802700000000002E-2</v>
      </c>
      <c r="J114" s="137"/>
      <c r="K114" s="137"/>
      <c r="L114" s="6"/>
      <c r="M114" s="6"/>
      <c r="N114" s="6"/>
      <c r="O114" s="6"/>
    </row>
    <row r="115" spans="1:15" s="5" customFormat="1" ht="12.75" x14ac:dyDescent="0.2">
      <c r="A115" s="261"/>
      <c r="B115" s="15" t="str">
        <f>cobranças!B116</f>
        <v>Outros</v>
      </c>
      <c r="C115" s="165" t="s">
        <v>200</v>
      </c>
      <c r="D115" s="2">
        <f>cobranças!D116</f>
        <v>45292</v>
      </c>
      <c r="E115" s="100">
        <f>cobranças!FU116/1000000</f>
        <v>0.73362101000000002</v>
      </c>
      <c r="F115" s="100">
        <f>cobranças!GB116/1000000</f>
        <v>0</v>
      </c>
      <c r="G115" s="91">
        <f>cobranças!GC116/1000000</f>
        <v>0.99700436999999997</v>
      </c>
      <c r="H115" s="98">
        <f>cobranças!GD116/1000000</f>
        <v>0.26338336000000001</v>
      </c>
      <c r="J115" s="137"/>
      <c r="K115" s="137"/>
      <c r="L115" s="6"/>
      <c r="M115" s="6"/>
      <c r="N115" s="6"/>
      <c r="O115" s="6"/>
    </row>
    <row r="116" spans="1:15" s="5" customFormat="1" ht="12.75" x14ac:dyDescent="0.2">
      <c r="A116" s="262"/>
      <c r="B116" s="259" t="s">
        <v>195</v>
      </c>
      <c r="C116" s="260"/>
      <c r="D116" s="260"/>
      <c r="E116" s="93">
        <f>cobranças!FU117/1000000</f>
        <v>2.3219882700000003</v>
      </c>
      <c r="F116" s="93">
        <f>cobranças!GB117/1000000</f>
        <v>0</v>
      </c>
      <c r="G116" s="93">
        <f>cobranças!GC117/1000000</f>
        <v>2.8794520699999997</v>
      </c>
      <c r="H116" s="99">
        <f>cobranças!GD117/1000000</f>
        <v>0.55746380000000006</v>
      </c>
      <c r="J116" s="137"/>
      <c r="K116" s="137"/>
      <c r="L116" s="6"/>
      <c r="M116" s="6"/>
      <c r="N116" s="6"/>
      <c r="O116" s="6"/>
    </row>
    <row r="117" spans="1:15" s="5" customFormat="1" ht="12.75" x14ac:dyDescent="0.2">
      <c r="A117" s="265" t="s">
        <v>207</v>
      </c>
      <c r="B117" s="133" t="str">
        <f>cobranças!B118</f>
        <v>Afluentes do Rio Paranaíba</v>
      </c>
      <c r="C117" s="130" t="s">
        <v>208</v>
      </c>
      <c r="D117" s="2">
        <v>45292</v>
      </c>
      <c r="E117" s="202">
        <f>cobranças!FU118/1000000</f>
        <v>0</v>
      </c>
      <c r="F117" s="202">
        <f>cobranças!GB118/1000000</f>
        <v>0</v>
      </c>
      <c r="G117" s="202">
        <f>cobranças!GC118/1000000</f>
        <v>0</v>
      </c>
      <c r="H117" s="208">
        <f>cobranças!GD118/1000000</f>
        <v>0</v>
      </c>
      <c r="J117" s="137"/>
      <c r="K117" s="137"/>
      <c r="L117" s="6"/>
      <c r="M117" s="6"/>
      <c r="N117" s="6"/>
      <c r="O117" s="6"/>
    </row>
    <row r="118" spans="1:15" s="5" customFormat="1" ht="12.75" x14ac:dyDescent="0.2">
      <c r="A118" s="266"/>
      <c r="B118" s="133" t="str">
        <f>cobranças!B119</f>
        <v>Afluentes do Rio Maranhão</v>
      </c>
      <c r="C118" s="130" t="s">
        <v>208</v>
      </c>
      <c r="D118" s="2">
        <v>45292</v>
      </c>
      <c r="E118" s="202">
        <f>cobranças!FU119/1000000</f>
        <v>0</v>
      </c>
      <c r="F118" s="202">
        <f>cobranças!GB119/1000000</f>
        <v>0</v>
      </c>
      <c r="G118" s="202">
        <f>cobranças!GC119/1000000</f>
        <v>0</v>
      </c>
      <c r="H118" s="208">
        <f>cobranças!GD119/1000000</f>
        <v>0</v>
      </c>
      <c r="J118" s="137"/>
      <c r="K118" s="137"/>
      <c r="L118" s="6"/>
      <c r="M118" s="6"/>
      <c r="N118" s="6"/>
      <c r="O118" s="6"/>
    </row>
    <row r="119" spans="1:15" s="5" customFormat="1" ht="12.75" customHeight="1" x14ac:dyDescent="0.2">
      <c r="A119" s="266"/>
      <c r="B119" s="15" t="str">
        <f>cobranças!B120</f>
        <v>Afluentes do Rio Preto</v>
      </c>
      <c r="C119" s="130" t="s">
        <v>208</v>
      </c>
      <c r="D119" s="2">
        <v>45292</v>
      </c>
      <c r="E119" s="202">
        <f>cobranças!FU120/1000000</f>
        <v>2.6496378700000003</v>
      </c>
      <c r="F119" s="202">
        <f>cobranças!GB120/1000000</f>
        <v>0.75049723000000013</v>
      </c>
      <c r="G119" s="202">
        <f>cobranças!GC120/1000000</f>
        <v>2.6496378700000003</v>
      </c>
      <c r="H119" s="208">
        <f>cobranças!GD120/1000000</f>
        <v>0.75049723000000013</v>
      </c>
      <c r="J119" s="137"/>
      <c r="K119" s="137"/>
      <c r="L119" s="6"/>
      <c r="M119" s="6"/>
      <c r="N119" s="6"/>
      <c r="O119" s="6"/>
    </row>
    <row r="120" spans="1:15" s="5" customFormat="1" ht="12.75" x14ac:dyDescent="0.2">
      <c r="A120" s="267"/>
      <c r="B120" s="249" t="str">
        <f>cobranças!B121</f>
        <v>Total DF</v>
      </c>
      <c r="C120" s="250"/>
      <c r="D120" s="250"/>
      <c r="E120" s="94">
        <f>cobranças!FU121/1000000</f>
        <v>2.6496378700000003</v>
      </c>
      <c r="F120" s="94">
        <f>cobranças!GB121/1000000</f>
        <v>0.75049723000000013</v>
      </c>
      <c r="G120" s="94">
        <f>cobranças!GC121/1000000</f>
        <v>2.6496378700000003</v>
      </c>
      <c r="H120" s="106">
        <f>cobranças!GD121/1000000</f>
        <v>0.75049723000000013</v>
      </c>
      <c r="J120" s="137"/>
      <c r="K120" s="137"/>
      <c r="L120" s="6"/>
      <c r="M120" s="6"/>
      <c r="N120" s="6"/>
      <c r="O120" s="6"/>
    </row>
    <row r="121" spans="1:15" s="5" customFormat="1" ht="25.5" x14ac:dyDescent="0.2">
      <c r="A121" s="255" t="s">
        <v>211</v>
      </c>
      <c r="B121" s="133" t="str">
        <f>cobranças!B122</f>
        <v>Corumbá, Veríssimo e porção goiana do Rio São Marcos</v>
      </c>
      <c r="C121" s="130" t="s">
        <v>213</v>
      </c>
      <c r="D121" s="2">
        <v>45292</v>
      </c>
      <c r="E121" s="204">
        <f>cobranças!FU122/1000000</f>
        <v>4.1616805500000007</v>
      </c>
      <c r="F121" s="204">
        <f>cobranças!GB122/1000000</f>
        <v>1.4401809999999999E-2</v>
      </c>
      <c r="G121" s="204">
        <f>cobranças!GC122/1000000</f>
        <v>4.1616805500000007</v>
      </c>
      <c r="H121" s="205">
        <f>cobranças!GD122/1000000</f>
        <v>1.4401809999999999E-2</v>
      </c>
      <c r="J121" s="137"/>
      <c r="K121" s="137"/>
      <c r="L121" s="6"/>
      <c r="M121" s="6"/>
      <c r="N121" s="6"/>
      <c r="O121" s="6"/>
    </row>
    <row r="122" spans="1:15" s="5" customFormat="1" ht="12.75" x14ac:dyDescent="0.2">
      <c r="A122" s="256"/>
      <c r="B122" s="133" t="str">
        <f>cobranças!B123</f>
        <v>Meia Ponte</v>
      </c>
      <c r="C122" s="130" t="s">
        <v>213</v>
      </c>
      <c r="D122" s="2">
        <v>45292</v>
      </c>
      <c r="E122" s="201">
        <f>cobranças!FU123/1000000</f>
        <v>8.7868972599999999</v>
      </c>
      <c r="F122" s="201">
        <f>cobranças!GB123/1000000</f>
        <v>0.20957577999999999</v>
      </c>
      <c r="G122" s="201">
        <f>cobranças!GC123/1000000</f>
        <v>8.7868972599999999</v>
      </c>
      <c r="H122" s="203">
        <f>cobranças!GD123/1000000</f>
        <v>0.20957577999999999</v>
      </c>
      <c r="J122" s="137"/>
      <c r="K122" s="137"/>
      <c r="L122" s="6"/>
      <c r="M122" s="6"/>
      <c r="N122" s="6"/>
      <c r="O122" s="6"/>
    </row>
    <row r="123" spans="1:15" s="5" customFormat="1" ht="12.75" x14ac:dyDescent="0.2">
      <c r="A123" s="256"/>
      <c r="B123" s="133" t="str">
        <f>cobranças!B124</f>
        <v>Turvo e dos Bois</v>
      </c>
      <c r="C123" s="130" t="s">
        <v>213</v>
      </c>
      <c r="D123" s="2">
        <v>45292</v>
      </c>
      <c r="E123" s="201">
        <f>cobranças!FU124/1000000</f>
        <v>3.1521791700000001</v>
      </c>
      <c r="F123" s="201">
        <f>cobranças!GB124/1000000</f>
        <v>6.2296190000000001E-2</v>
      </c>
      <c r="G123" s="201">
        <f>cobranças!GC124/1000000</f>
        <v>3.1521791700000001</v>
      </c>
      <c r="H123" s="203">
        <f>cobranças!GD124/1000000</f>
        <v>6.2296190000000001E-2</v>
      </c>
      <c r="J123" s="137"/>
      <c r="K123" s="137"/>
      <c r="L123" s="6"/>
      <c r="M123" s="6"/>
      <c r="N123" s="6"/>
      <c r="O123" s="6"/>
    </row>
    <row r="124" spans="1:15" s="5" customFormat="1" ht="12.75" x14ac:dyDescent="0.2">
      <c r="A124" s="256"/>
      <c r="B124" s="133" t="str">
        <f>cobranças!B125</f>
        <v>Afluentes Goianos do Baixo Paranaíba</v>
      </c>
      <c r="C124" s="130" t="s">
        <v>213</v>
      </c>
      <c r="D124" s="2">
        <v>45292</v>
      </c>
      <c r="E124" s="201">
        <f>cobranças!FU125/1000000</f>
        <v>0.70638266999999999</v>
      </c>
      <c r="F124" s="201">
        <f>cobranças!GB125/1000000</f>
        <v>2.1450220000000002E-2</v>
      </c>
      <c r="G124" s="201">
        <f>cobranças!GC125/1000000</f>
        <v>0.70638266999999999</v>
      </c>
      <c r="H124" s="203">
        <f>cobranças!GD125/1000000</f>
        <v>2.1450220000000002E-2</v>
      </c>
      <c r="J124" s="137"/>
      <c r="K124" s="137"/>
      <c r="L124" s="6"/>
      <c r="M124" s="6"/>
      <c r="N124" s="6"/>
      <c r="O124" s="6"/>
    </row>
    <row r="125" spans="1:15" s="5" customFormat="1" ht="12.75" x14ac:dyDescent="0.2">
      <c r="A125" s="256"/>
      <c r="B125" s="133" t="str">
        <f>cobranças!B126</f>
        <v>Afluentes Goianos do Rio Araguaia</v>
      </c>
      <c r="C125" s="130" t="s">
        <v>213</v>
      </c>
      <c r="D125" s="2">
        <v>45292</v>
      </c>
      <c r="E125" s="201">
        <f>cobranças!FU126/1000000</f>
        <v>2.5317079200000001</v>
      </c>
      <c r="F125" s="201">
        <f>cobranças!GB126/1000000</f>
        <v>1.2254500000000001E-3</v>
      </c>
      <c r="G125" s="201">
        <f>cobranças!GC126/1000000</f>
        <v>2.5317079200000001</v>
      </c>
      <c r="H125" s="203">
        <f>cobranças!GD126/1000000</f>
        <v>1.2254500000000001E-3</v>
      </c>
      <c r="J125" s="137"/>
      <c r="K125" s="137"/>
      <c r="L125" s="6"/>
      <c r="M125" s="6"/>
      <c r="N125" s="6"/>
      <c r="O125" s="6"/>
    </row>
    <row r="126" spans="1:15" s="5" customFormat="1" ht="25.5" x14ac:dyDescent="0.2">
      <c r="A126" s="256"/>
      <c r="B126" s="15" t="str">
        <f>cobranças!B127</f>
        <v>Afluentes Goianos dos Rios Tocantins e São Francisco</v>
      </c>
      <c r="C126" s="130" t="s">
        <v>213</v>
      </c>
      <c r="D126" s="2">
        <v>45292</v>
      </c>
      <c r="E126" s="204">
        <f>cobranças!FU127/1000000</f>
        <v>2.7372806600000001</v>
      </c>
      <c r="F126" s="204">
        <f>cobranças!GB127/1000000</f>
        <v>8.9655599999999992E-3</v>
      </c>
      <c r="G126" s="204">
        <f>cobranças!GC127/1000000</f>
        <v>2.7372806600000001</v>
      </c>
      <c r="H126" s="205">
        <f>cobranças!GD127/1000000</f>
        <v>8.9655599999999992E-3</v>
      </c>
      <c r="J126" s="137"/>
      <c r="K126" s="137"/>
      <c r="L126" s="6"/>
      <c r="M126" s="6"/>
      <c r="N126" s="6"/>
      <c r="O126" s="6"/>
    </row>
    <row r="127" spans="1:15" s="5" customFormat="1" ht="12.75" x14ac:dyDescent="0.2">
      <c r="A127" s="257"/>
      <c r="B127" s="259" t="str">
        <f>cobranças!B128</f>
        <v>Total GO</v>
      </c>
      <c r="C127" s="260"/>
      <c r="D127" s="260"/>
      <c r="E127" s="193">
        <f>cobranças!FU128/1000000</f>
        <v>22.076128230000002</v>
      </c>
      <c r="F127" s="193">
        <f>cobranças!GB128/1000000</f>
        <v>0.31791501</v>
      </c>
      <c r="G127" s="93">
        <f>cobranças!GC128/1000000</f>
        <v>22.076128230000002</v>
      </c>
      <c r="H127" s="99">
        <f>cobranças!GD128/1000000</f>
        <v>0.31791501</v>
      </c>
      <c r="J127" s="137"/>
      <c r="K127" s="137"/>
      <c r="L127" s="6"/>
      <c r="M127" s="6"/>
      <c r="N127" s="6"/>
      <c r="O127" s="6"/>
    </row>
    <row r="128" spans="1:15" s="5" customFormat="1" ht="12.75" x14ac:dyDescent="0.2">
      <c r="A128" s="251" t="s">
        <v>220</v>
      </c>
      <c r="B128" s="194" t="str">
        <f>cobranças!B129</f>
        <v>Gurguéia</v>
      </c>
      <c r="C128" s="130" t="s">
        <v>221</v>
      </c>
      <c r="D128" s="2">
        <v>45748</v>
      </c>
      <c r="E128" s="206">
        <f>cobranças!FU129/1000000</f>
        <v>7.7475000000000005E-4</v>
      </c>
      <c r="F128" s="206">
        <f>cobranças!GB129/1000000</f>
        <v>7.7475000000000005E-4</v>
      </c>
      <c r="G128" s="201">
        <f>cobranças!GC129/1000000</f>
        <v>7.7475000000000005E-4</v>
      </c>
      <c r="H128" s="203">
        <f>cobranças!GD129/1000000</f>
        <v>7.7475000000000005E-4</v>
      </c>
      <c r="J128" s="137"/>
      <c r="K128" s="137"/>
      <c r="L128" s="6"/>
      <c r="M128" s="6"/>
      <c r="N128" s="6"/>
      <c r="O128" s="6"/>
    </row>
    <row r="129" spans="1:15" s="5" customFormat="1" ht="12.75" x14ac:dyDescent="0.2">
      <c r="A129" s="252"/>
      <c r="B129" s="133" t="str">
        <f>cobranças!B130</f>
        <v>Itaueira</v>
      </c>
      <c r="C129" s="130" t="s">
        <v>221</v>
      </c>
      <c r="D129" s="2">
        <v>45748</v>
      </c>
      <c r="E129" s="206">
        <f>cobranças!FU130/1000000</f>
        <v>0</v>
      </c>
      <c r="F129" s="206">
        <f>cobranças!GB130/1000000</f>
        <v>0</v>
      </c>
      <c r="G129" s="201">
        <f>cobranças!GC130/1000000</f>
        <v>0</v>
      </c>
      <c r="H129" s="203">
        <f>cobranças!GD130/1000000</f>
        <v>0</v>
      </c>
      <c r="J129" s="137"/>
      <c r="K129" s="137"/>
      <c r="L129" s="6"/>
      <c r="M129" s="6"/>
      <c r="N129" s="6"/>
      <c r="O129" s="6"/>
    </row>
    <row r="130" spans="1:15" s="5" customFormat="1" ht="12.75" x14ac:dyDescent="0.2">
      <c r="A130" s="252"/>
      <c r="B130" s="133" t="str">
        <f>cobranças!B131</f>
        <v>Longá</v>
      </c>
      <c r="C130" s="130" t="s">
        <v>221</v>
      </c>
      <c r="D130" s="2">
        <v>45748</v>
      </c>
      <c r="E130" s="206">
        <f>cobranças!FU131/1000000</f>
        <v>5.725499999999999E-4</v>
      </c>
      <c r="F130" s="206">
        <f>cobranças!GB131/1000000</f>
        <v>5.725499999999999E-4</v>
      </c>
      <c r="G130" s="201">
        <f>cobranças!GC131/1000000</f>
        <v>5.725499999999999E-4</v>
      </c>
      <c r="H130" s="203">
        <f>cobranças!GD131/1000000</f>
        <v>5.725499999999999E-4</v>
      </c>
      <c r="J130" s="137"/>
      <c r="K130" s="137"/>
      <c r="L130" s="6"/>
      <c r="M130" s="6"/>
      <c r="N130" s="6"/>
      <c r="O130" s="6"/>
    </row>
    <row r="131" spans="1:15" s="5" customFormat="1" ht="12.75" x14ac:dyDescent="0.2">
      <c r="A131" s="252"/>
      <c r="B131" s="133" t="str">
        <f>cobranças!B132</f>
        <v>Pirangi</v>
      </c>
      <c r="C131" s="130" t="s">
        <v>221</v>
      </c>
      <c r="D131" s="2">
        <v>45748</v>
      </c>
      <c r="E131" s="206">
        <f>cobranças!FU132/1000000</f>
        <v>0</v>
      </c>
      <c r="F131" s="206">
        <f>cobranças!GB132/1000000</f>
        <v>0</v>
      </c>
      <c r="G131" s="201">
        <f>cobranças!GC132/1000000</f>
        <v>0</v>
      </c>
      <c r="H131" s="203">
        <f>cobranças!GD132/1000000</f>
        <v>0</v>
      </c>
      <c r="J131" s="137"/>
      <c r="K131" s="137"/>
      <c r="L131" s="6"/>
      <c r="M131" s="6"/>
      <c r="N131" s="6"/>
      <c r="O131" s="6"/>
    </row>
    <row r="132" spans="1:15" s="5" customFormat="1" ht="12.75" x14ac:dyDescent="0.2">
      <c r="A132" s="252"/>
      <c r="B132" s="133" t="str">
        <f>cobranças!B133</f>
        <v>Poti</v>
      </c>
      <c r="C132" s="130" t="s">
        <v>221</v>
      </c>
      <c r="D132" s="2">
        <v>45748</v>
      </c>
      <c r="E132" s="206">
        <f>cobranças!FU133/1000000</f>
        <v>1.285885E-2</v>
      </c>
      <c r="F132" s="206">
        <f>cobranças!GB133/1000000</f>
        <v>1.285885E-2</v>
      </c>
      <c r="G132" s="201">
        <f>cobranças!GC133/1000000</f>
        <v>1.285885E-2</v>
      </c>
      <c r="H132" s="203">
        <f>cobranças!GD133/1000000</f>
        <v>1.285885E-2</v>
      </c>
      <c r="J132" s="137"/>
      <c r="K132" s="137"/>
      <c r="L132" s="6"/>
      <c r="M132" s="6"/>
      <c r="N132" s="6"/>
      <c r="O132" s="6"/>
    </row>
    <row r="133" spans="1:15" s="5" customFormat="1" ht="12.75" x14ac:dyDescent="0.2">
      <c r="A133" s="252"/>
      <c r="B133" s="133" t="str">
        <f>cobranças!B134</f>
        <v>Alto Parnaíba e Uruçuí Preto</v>
      </c>
      <c r="C133" s="130" t="s">
        <v>221</v>
      </c>
      <c r="D133" s="2">
        <v>45748</v>
      </c>
      <c r="E133" s="206">
        <f>cobranças!FU134/1000000</f>
        <v>5.1800999999999991E-3</v>
      </c>
      <c r="F133" s="206">
        <f>cobranças!GB134/1000000</f>
        <v>5.1800999999999991E-3</v>
      </c>
      <c r="G133" s="201">
        <f>cobranças!GC134/1000000</f>
        <v>5.1800999999999991E-3</v>
      </c>
      <c r="H133" s="203">
        <f>cobranças!GD134/1000000</f>
        <v>5.1800999999999991E-3</v>
      </c>
      <c r="J133" s="137"/>
      <c r="K133" s="137"/>
      <c r="L133" s="6"/>
      <c r="M133" s="6"/>
      <c r="N133" s="6"/>
      <c r="O133" s="6"/>
    </row>
    <row r="134" spans="1:15" s="5" customFormat="1" ht="12.75" x14ac:dyDescent="0.2">
      <c r="A134" s="252"/>
      <c r="B134" s="133" t="str">
        <f>cobranças!B135</f>
        <v>Piauí/Canindé</v>
      </c>
      <c r="C134" s="130" t="s">
        <v>221</v>
      </c>
      <c r="D134" s="2">
        <v>45748</v>
      </c>
      <c r="E134" s="206">
        <f>cobranças!FU135/1000000</f>
        <v>1.4169000000000001E-4</v>
      </c>
      <c r="F134" s="206">
        <f>cobranças!GB135/1000000</f>
        <v>1.4169000000000001E-4</v>
      </c>
      <c r="G134" s="201">
        <f>cobranças!GC135/1000000</f>
        <v>1.4169000000000001E-4</v>
      </c>
      <c r="H134" s="203">
        <f>cobranças!GD135/1000000</f>
        <v>1.4169000000000001E-4</v>
      </c>
      <c r="J134" s="137"/>
      <c r="K134" s="137"/>
      <c r="L134" s="6"/>
      <c r="M134" s="6"/>
      <c r="N134" s="6"/>
      <c r="O134" s="6"/>
    </row>
    <row r="135" spans="1:15" s="5" customFormat="1" ht="12.75" x14ac:dyDescent="0.2">
      <c r="A135" s="252"/>
      <c r="B135" s="133" t="str">
        <f>cobranças!B136</f>
        <v>Difusas da Barragem de Boa Esperança</v>
      </c>
      <c r="C135" s="130" t="s">
        <v>221</v>
      </c>
      <c r="D135" s="2">
        <v>45748</v>
      </c>
      <c r="E135" s="206">
        <f>cobranças!FU136/1000000</f>
        <v>3.4250500000000002E-3</v>
      </c>
      <c r="F135" s="206">
        <f>cobranças!GB136/1000000</f>
        <v>3.4250500000000002E-3</v>
      </c>
      <c r="G135" s="201">
        <f>cobranças!GC136/1000000</f>
        <v>3.4250500000000002E-3</v>
      </c>
      <c r="H135" s="203">
        <f>cobranças!GD136/1000000</f>
        <v>3.4250500000000002E-3</v>
      </c>
      <c r="J135" s="137"/>
      <c r="K135" s="137"/>
      <c r="L135" s="6"/>
      <c r="M135" s="6"/>
      <c r="N135" s="6"/>
      <c r="O135" s="6"/>
    </row>
    <row r="136" spans="1:15" s="5" customFormat="1" ht="12.75" x14ac:dyDescent="0.2">
      <c r="A136" s="252"/>
      <c r="B136" s="133" t="str">
        <f>cobranças!B137</f>
        <v>Alto Parnaíba e Uruçuí Preto</v>
      </c>
      <c r="C136" s="130" t="s">
        <v>221</v>
      </c>
      <c r="D136" s="2">
        <v>45748</v>
      </c>
      <c r="E136" s="206">
        <f>cobranças!FU137/1000000</f>
        <v>0</v>
      </c>
      <c r="F136" s="206">
        <f>cobranças!GB137/1000000</f>
        <v>0</v>
      </c>
      <c r="G136" s="201">
        <f>cobranças!GC137/1000000</f>
        <v>0</v>
      </c>
      <c r="H136" s="203">
        <f>cobranças!GD137/1000000</f>
        <v>0</v>
      </c>
      <c r="J136" s="137"/>
      <c r="K136" s="137"/>
      <c r="L136" s="6"/>
      <c r="M136" s="6"/>
      <c r="N136" s="6"/>
      <c r="O136" s="6"/>
    </row>
    <row r="137" spans="1:15" s="5" customFormat="1" ht="12.75" x14ac:dyDescent="0.2">
      <c r="A137" s="252"/>
      <c r="B137" s="133" t="str">
        <f>cobranças!B138</f>
        <v>Difusas do Baixo Parnaíba</v>
      </c>
      <c r="C137" s="130" t="s">
        <v>221</v>
      </c>
      <c r="D137" s="2">
        <v>45748</v>
      </c>
      <c r="E137" s="206">
        <f>cobranças!FU138/1000000</f>
        <v>4.0328840000000005E-2</v>
      </c>
      <c r="F137" s="206">
        <f>cobranças!GB138/1000000</f>
        <v>4.0328840000000005E-2</v>
      </c>
      <c r="G137" s="201">
        <f>cobranças!GC138/1000000</f>
        <v>4.0328840000000005E-2</v>
      </c>
      <c r="H137" s="203">
        <f>cobranças!GD138/1000000</f>
        <v>4.0328840000000005E-2</v>
      </c>
      <c r="J137" s="137"/>
      <c r="K137" s="137"/>
      <c r="L137" s="6"/>
      <c r="M137" s="6"/>
      <c r="N137" s="6"/>
      <c r="O137" s="6"/>
    </row>
    <row r="138" spans="1:15" s="5" customFormat="1" ht="12.75" x14ac:dyDescent="0.2">
      <c r="A138" s="252"/>
      <c r="B138" s="133" t="str">
        <f>cobranças!B139</f>
        <v>Difusas do Litoral</v>
      </c>
      <c r="C138" s="130" t="s">
        <v>221</v>
      </c>
      <c r="D138" s="2">
        <v>45748</v>
      </c>
      <c r="E138" s="206">
        <f>cobranças!FU139/1000000</f>
        <v>1.8E-5</v>
      </c>
      <c r="F138" s="206">
        <f>cobranças!GB139/1000000</f>
        <v>1.8E-5</v>
      </c>
      <c r="G138" s="201">
        <f>cobranças!GC139/1000000</f>
        <v>1.8E-5</v>
      </c>
      <c r="H138" s="203">
        <f>cobranças!GD139/1000000</f>
        <v>1.8E-5</v>
      </c>
      <c r="J138" s="137"/>
      <c r="K138" s="137"/>
      <c r="L138" s="6"/>
      <c r="M138" s="6"/>
      <c r="N138" s="6"/>
      <c r="O138" s="6"/>
    </row>
    <row r="139" spans="1:15" s="5" customFormat="1" ht="12.75" x14ac:dyDescent="0.2">
      <c r="A139" s="252"/>
      <c r="B139" s="15" t="str">
        <f>cobranças!B140</f>
        <v>Difusas do Médio Parnaíba</v>
      </c>
      <c r="C139" s="130" t="s">
        <v>221</v>
      </c>
      <c r="D139" s="2">
        <v>45748</v>
      </c>
      <c r="E139" s="206">
        <f>cobranças!FU140/1000000</f>
        <v>4.9160000000000002E-3</v>
      </c>
      <c r="F139" s="206">
        <f>cobranças!GB140/1000000</f>
        <v>4.9160000000000002E-3</v>
      </c>
      <c r="G139" s="201">
        <f>cobranças!GC140/1000000</f>
        <v>4.9160000000000002E-3</v>
      </c>
      <c r="H139" s="203">
        <f>cobranças!GD140/1000000</f>
        <v>4.9160000000000002E-3</v>
      </c>
      <c r="J139" s="137"/>
      <c r="K139" s="137"/>
      <c r="L139" s="6"/>
      <c r="M139" s="6"/>
      <c r="N139" s="6"/>
      <c r="O139" s="6"/>
    </row>
    <row r="140" spans="1:15" s="5" customFormat="1" ht="12.75" x14ac:dyDescent="0.2">
      <c r="A140" s="252"/>
      <c r="B140" s="249" t="str">
        <f>cobranças!B141</f>
        <v>Total PI</v>
      </c>
      <c r="C140" s="250"/>
      <c r="D140" s="250"/>
      <c r="E140" s="94">
        <f>cobranças!FU141/1000000</f>
        <v>6.8215830000000005E-2</v>
      </c>
      <c r="F140" s="94">
        <f>cobranças!GB141/1000000</f>
        <v>6.8215830000000005E-2</v>
      </c>
      <c r="G140" s="94">
        <f>cobranças!GC141/1000000</f>
        <v>6.8215830000000005E-2</v>
      </c>
      <c r="H140" s="106">
        <f>cobranças!GD141/1000000</f>
        <v>6.8215830000000005E-2</v>
      </c>
      <c r="J140" s="137"/>
      <c r="K140" s="137"/>
      <c r="L140" s="6"/>
      <c r="M140" s="6"/>
      <c r="N140" s="6"/>
      <c r="O140" s="6"/>
    </row>
    <row r="141" spans="1:15" s="5" customFormat="1" ht="51" x14ac:dyDescent="0.2">
      <c r="A141" s="261" t="s">
        <v>234</v>
      </c>
      <c r="B141" s="194" t="str">
        <f>cobranças!B142</f>
        <v>São Francisco (afluentes); Japaratuba; Sergipe (afluentes); Vaza Barris (afluentes); Piauí (afluentes); Real (afluentes); Costeira Sapucaia; Costeira Caueira-Abaís</v>
      </c>
      <c r="C141" s="130" t="s">
        <v>236</v>
      </c>
      <c r="D141" s="2">
        <v>45383</v>
      </c>
      <c r="E141" s="207">
        <f>cobranças!FU142/1000000</f>
        <v>5.7056275599999999</v>
      </c>
      <c r="F141" s="207">
        <f>cobranças!GB142/1000000</f>
        <v>0.62478615000000004</v>
      </c>
      <c r="G141" s="204">
        <f>cobranças!GC142/1000000</f>
        <v>5.7056275599999999</v>
      </c>
      <c r="H141" s="205">
        <f>cobranças!GD142/1000000</f>
        <v>0.62478615000000004</v>
      </c>
      <c r="J141" s="137"/>
      <c r="K141" s="137"/>
      <c r="L141" s="6"/>
      <c r="M141" s="6"/>
      <c r="N141" s="6"/>
      <c r="O141" s="6"/>
    </row>
    <row r="142" spans="1:15" s="5" customFormat="1" ht="12.75" x14ac:dyDescent="0.2">
      <c r="A142" s="262"/>
      <c r="B142" s="259" t="str">
        <f>cobranças!B143</f>
        <v>Total SE</v>
      </c>
      <c r="C142" s="260"/>
      <c r="D142" s="260"/>
      <c r="E142" s="193">
        <f>cobranças!FU143/1000000</f>
        <v>5.7056275599999999</v>
      </c>
      <c r="F142" s="193">
        <f>cobranças!GB143/1000000</f>
        <v>0.62478615000000004</v>
      </c>
      <c r="G142" s="93">
        <f>cobranças!GC143/1000000</f>
        <v>5.7056275599999999</v>
      </c>
      <c r="H142" s="99">
        <f>cobranças!GD143/1000000</f>
        <v>0.62478615000000004</v>
      </c>
      <c r="J142" s="137"/>
      <c r="K142" s="137"/>
      <c r="L142" s="6"/>
      <c r="M142" s="6"/>
      <c r="N142" s="6"/>
      <c r="O142" s="6"/>
    </row>
    <row r="143" spans="1:15" ht="15" customHeight="1" thickBot="1" x14ac:dyDescent="0.3">
      <c r="A143" s="308" t="s">
        <v>119</v>
      </c>
      <c r="B143" s="309"/>
      <c r="C143" s="309"/>
      <c r="D143" s="309"/>
      <c r="E143" s="97">
        <f>cobranças!FU144/1000000</f>
        <v>901.41089097999998</v>
      </c>
      <c r="F143" s="97">
        <f>cobranças!GB144/1000000</f>
        <v>762.08479884000008</v>
      </c>
      <c r="G143" s="97">
        <f>cobranças!GC144/1000000</f>
        <v>7781.7843821823017</v>
      </c>
      <c r="H143" s="101">
        <f>cobranças!GD144/1000000</f>
        <v>7031.9055721847635</v>
      </c>
      <c r="I143" s="5"/>
      <c r="J143" s="137"/>
      <c r="K143" s="137"/>
      <c r="L143" s="170"/>
      <c r="M143" s="170"/>
      <c r="N143" s="170"/>
      <c r="O143" s="170"/>
    </row>
    <row r="144" spans="1:15" s="43" customFormat="1" ht="12.75" x14ac:dyDescent="0.2">
      <c r="A144" s="5"/>
      <c r="B144" s="45"/>
      <c r="C144" s="45"/>
      <c r="D144" s="45"/>
      <c r="E144" s="46"/>
      <c r="F144" s="46"/>
      <c r="G144" s="46"/>
      <c r="H144" s="46"/>
      <c r="J144" s="129"/>
    </row>
    <row r="145" spans="1:18" s="43" customFormat="1" x14ac:dyDescent="0.25">
      <c r="A145" s="60"/>
      <c r="B145" s="61"/>
      <c r="C145" s="61"/>
      <c r="D145" s="61"/>
      <c r="E145" s="136"/>
      <c r="F145" s="136"/>
      <c r="G145" s="136"/>
      <c r="H145" s="136"/>
    </row>
    <row r="146" spans="1:18" s="43" customFormat="1" ht="13.5" thickBot="1" x14ac:dyDescent="0.25">
      <c r="B146" s="45"/>
      <c r="C146" s="45"/>
      <c r="D146" s="45"/>
      <c r="E146" s="46"/>
      <c r="F146" s="46"/>
      <c r="G146" s="46"/>
      <c r="H146" s="46"/>
    </row>
    <row r="147" spans="1:18" x14ac:dyDescent="0.25">
      <c r="E147" s="6"/>
      <c r="F147" s="6"/>
      <c r="G147" s="6"/>
      <c r="H147" s="6"/>
      <c r="J147" s="305" t="s">
        <v>147</v>
      </c>
      <c r="K147" s="306"/>
      <c r="L147" s="306"/>
      <c r="M147" s="306"/>
      <c r="N147" s="306"/>
      <c r="O147" s="306"/>
      <c r="P147" s="306"/>
      <c r="Q147" s="306"/>
      <c r="R147" s="307"/>
    </row>
    <row r="148" spans="1:18" x14ac:dyDescent="0.25">
      <c r="E148" s="6"/>
      <c r="F148" s="6"/>
      <c r="G148" s="6"/>
      <c r="H148" s="6"/>
      <c r="J148" s="271" t="s">
        <v>74</v>
      </c>
      <c r="K148" s="242" t="s">
        <v>73</v>
      </c>
      <c r="L148" s="242"/>
      <c r="M148" s="242" t="s">
        <v>2</v>
      </c>
      <c r="N148" s="230">
        <v>2025</v>
      </c>
      <c r="O148" s="232"/>
      <c r="P148" s="230" t="s">
        <v>3</v>
      </c>
      <c r="Q148" s="232"/>
      <c r="R148" s="220" t="s">
        <v>4</v>
      </c>
    </row>
    <row r="149" spans="1:18" x14ac:dyDescent="0.25">
      <c r="J149" s="272"/>
      <c r="K149" s="242"/>
      <c r="L149" s="242"/>
      <c r="M149" s="242"/>
      <c r="N149" s="37" t="s">
        <v>5</v>
      </c>
      <c r="O149" s="37" t="s">
        <v>6</v>
      </c>
      <c r="P149" s="37" t="s">
        <v>5</v>
      </c>
      <c r="Q149" s="37" t="s">
        <v>6</v>
      </c>
      <c r="R149" s="221"/>
    </row>
    <row r="150" spans="1:18" ht="15.75" thickBot="1" x14ac:dyDescent="0.3">
      <c r="J150" s="304"/>
      <c r="K150" s="302" t="s">
        <v>43</v>
      </c>
      <c r="L150" s="303"/>
      <c r="M150" s="140">
        <v>2001</v>
      </c>
      <c r="N150" s="138" t="str">
        <f>cobranças!DK157</f>
        <v>...</v>
      </c>
      <c r="O150" s="141">
        <f>cobranças!GB157/1000000</f>
        <v>272.76283360246146</v>
      </c>
      <c r="P150" s="141" t="str">
        <f>cobranças!GC157</f>
        <v>...</v>
      </c>
      <c r="Q150" s="142">
        <f>cobranças!GD157/1000000</f>
        <v>3921.7856636712145</v>
      </c>
      <c r="R150" s="143" t="s">
        <v>33</v>
      </c>
    </row>
    <row r="151" spans="1:18" s="145" customFormat="1" ht="35.25" customHeight="1" x14ac:dyDescent="0.2">
      <c r="A151" s="144"/>
      <c r="B151" s="144"/>
      <c r="C151" s="144"/>
      <c r="D151" s="144"/>
      <c r="E151" s="144"/>
      <c r="F151" s="144"/>
      <c r="G151" s="144"/>
      <c r="H151" s="144"/>
      <c r="J151" s="300" t="s">
        <v>44</v>
      </c>
      <c r="K151" s="300"/>
      <c r="L151" s="300"/>
      <c r="M151" s="300"/>
      <c r="N151" s="300"/>
      <c r="O151" s="300"/>
      <c r="P151" s="300"/>
      <c r="Q151" s="300"/>
      <c r="R151" s="301"/>
    </row>
    <row r="152" spans="1:18" x14ac:dyDescent="0.25">
      <c r="J152" s="5"/>
      <c r="K152" s="5"/>
      <c r="L152" s="5"/>
      <c r="M152" s="5"/>
      <c r="N152" s="5"/>
      <c r="O152" s="5"/>
      <c r="P152" s="5"/>
      <c r="Q152" s="5"/>
    </row>
  </sheetData>
  <mergeCells count="45">
    <mergeCell ref="A117:A120"/>
    <mergeCell ref="E23:E24"/>
    <mergeCell ref="F23:F24"/>
    <mergeCell ref="B120:D120"/>
    <mergeCell ref="B140:D140"/>
    <mergeCell ref="B127:D127"/>
    <mergeCell ref="A60:A97"/>
    <mergeCell ref="B97:D97"/>
    <mergeCell ref="A98:A99"/>
    <mergeCell ref="B99:D99"/>
    <mergeCell ref="A100:A106"/>
    <mergeCell ref="B106:D106"/>
    <mergeCell ref="A107:A109"/>
    <mergeCell ref="B109:D109"/>
    <mergeCell ref="A110:A116"/>
    <mergeCell ref="B116:D116"/>
    <mergeCell ref="B142:D142"/>
    <mergeCell ref="J147:R147"/>
    <mergeCell ref="A143:D143"/>
    <mergeCell ref="A121:A127"/>
    <mergeCell ref="A128:A140"/>
    <mergeCell ref="A141:A142"/>
    <mergeCell ref="J151:R151"/>
    <mergeCell ref="R148:R149"/>
    <mergeCell ref="K150:L150"/>
    <mergeCell ref="J148:J150"/>
    <mergeCell ref="K148:L149"/>
    <mergeCell ref="M148:M149"/>
    <mergeCell ref="N148:O148"/>
    <mergeCell ref="P148:Q148"/>
    <mergeCell ref="C107:C108"/>
    <mergeCell ref="A12:A26"/>
    <mergeCell ref="B26:D26"/>
    <mergeCell ref="A27:A37"/>
    <mergeCell ref="B37:D37"/>
    <mergeCell ref="A38:A59"/>
    <mergeCell ref="B59:D59"/>
    <mergeCell ref="E2:F2"/>
    <mergeCell ref="G2:H2"/>
    <mergeCell ref="A4:A11"/>
    <mergeCell ref="B11:D11"/>
    <mergeCell ref="A1:H1"/>
    <mergeCell ref="A2:B3"/>
    <mergeCell ref="C2:C3"/>
    <mergeCell ref="D2:D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cobranças</vt:lpstr>
      <vt:lpstr>para conjuntura</vt:lpstr>
      <vt:lpstr>para conjuntura1</vt:lpstr>
      <vt:lpstr>cobranças!Area_de_impressao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Marco Antônio Mota Amorim</cp:lastModifiedBy>
  <cp:lastPrinted>2014-03-06T19:55:34Z</cp:lastPrinted>
  <dcterms:created xsi:type="dcterms:W3CDTF">2013-11-01T14:05:07Z</dcterms:created>
  <dcterms:modified xsi:type="dcterms:W3CDTF">2026-07-08T19:56:50Z</dcterms:modified>
</cp:coreProperties>
</file>