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ml.chartshap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ml.chartshapes+xml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Default Extension="emf" ContentType="image/x-emf"/>
  <Override PartName="/xl/charts/chart3.xml" ContentType="application/vnd.openxmlformats-officedocument.drawingml.chart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/>
  <bookViews>
    <workbookView xWindow="360" yWindow="90" windowWidth="11340" windowHeight="6795" tabRatio="932"/>
  </bookViews>
  <sheets>
    <sheet name="Capa" sheetId="56" r:id="rId1"/>
    <sheet name="CCapa" sheetId="55" r:id="rId2"/>
    <sheet name="Indice" sheetId="57" r:id="rId3"/>
    <sheet name="Mundial" sheetId="7" r:id="rId4"/>
    <sheet name="Brasil" sheetId="11" r:id="rId5"/>
    <sheet name="Indicadores" sheetId="34" r:id="rId6"/>
    <sheet name="Estoque" sheetId="32" r:id="rId7"/>
    <sheet name="Série Safras" sheetId="58" r:id="rId8"/>
    <sheet name="Preço" sheetId="12" r:id="rId9"/>
    <sheet name="Cotações" sheetId="33" r:id="rId10"/>
    <sheet name="Agro Ano" sheetId="39" r:id="rId11"/>
    <sheet name="Agro Mês" sheetId="35" r:id="rId12"/>
    <sheet name="Importações" sheetId="44" r:id="rId13"/>
    <sheet name="Exportações" sheetId="40" r:id="rId14"/>
    <sheet name="Exp. Verde" sheetId="69" r:id="rId15"/>
    <sheet name="Exp. Solúvel" sheetId="67" r:id="rId16"/>
    <sheet name="Exp. Torrado" sheetId="65" r:id="rId17"/>
    <sheet name="Exp. Extrato" sheetId="68" r:id="rId18"/>
    <sheet name="Total" sheetId="77" r:id="rId19"/>
    <sheet name="Destinos" sheetId="63" r:id="rId20"/>
    <sheet name="Custos" sheetId="78" r:id="rId21"/>
    <sheet name="PM" sheetId="38" r:id="rId22"/>
    <sheet name="Safra 16" sheetId="73" r:id="rId23"/>
    <sheet name="Safra 15" sheetId="79" r:id="rId24"/>
    <sheet name="Safra 14" sheetId="76" r:id="rId25"/>
    <sheet name="Ranking" sheetId="28" r:id="rId26"/>
    <sheet name="Plan1" sheetId="74" r:id="rId27"/>
    <sheet name="Plan2" sheetId="80" r:id="rId28"/>
  </sheets>
  <definedNames>
    <definedName name="_xlnm.Print_Area" localSheetId="3">Mundial!$A$1:$U$27</definedName>
  </definedNames>
  <calcPr calcId="125725"/>
</workbook>
</file>

<file path=xl/calcChain.xml><?xml version="1.0" encoding="utf-8"?>
<calcChain xmlns="http://schemas.openxmlformats.org/spreadsheetml/2006/main">
  <c r="L7" i="65"/>
  <c r="L9" i="67"/>
  <c r="L8"/>
  <c r="L7"/>
  <c r="J7" i="69"/>
  <c r="I7"/>
  <c r="L9" i="68"/>
  <c r="K9"/>
  <c r="J9"/>
  <c r="I9"/>
  <c r="L8"/>
  <c r="K8"/>
  <c r="J8"/>
  <c r="I8"/>
  <c r="L7"/>
  <c r="K7"/>
  <c r="J7"/>
  <c r="I7"/>
  <c r="L9" i="65"/>
  <c r="K9"/>
  <c r="J9"/>
  <c r="I9"/>
  <c r="L8"/>
  <c r="K8"/>
  <c r="J8"/>
  <c r="I8"/>
  <c r="K7"/>
  <c r="J7"/>
  <c r="I7"/>
  <c r="K9" i="67"/>
  <c r="J9"/>
  <c r="I9"/>
  <c r="K8"/>
  <c r="J8"/>
  <c r="I8"/>
  <c r="K7"/>
  <c r="J7"/>
  <c r="I7"/>
  <c r="L9" i="69"/>
  <c r="L8"/>
  <c r="L7"/>
  <c r="K9"/>
  <c r="K8"/>
  <c r="K7"/>
  <c r="J9"/>
  <c r="J8"/>
  <c r="I9"/>
  <c r="J7" i="78"/>
  <c r="J32"/>
  <c r="G12"/>
  <c r="F9" i="77" l="1"/>
  <c r="F8"/>
  <c r="C8"/>
  <c r="C9"/>
  <c r="D117" i="63"/>
  <c r="G124"/>
  <c r="I124"/>
  <c r="H124"/>
  <c r="G122"/>
  <c r="I122"/>
  <c r="H122"/>
  <c r="D122"/>
  <c r="D94"/>
  <c r="D87"/>
  <c r="F43"/>
  <c r="E43"/>
  <c r="C43"/>
  <c r="B43"/>
  <c r="D30"/>
  <c r="D116"/>
  <c r="D118"/>
  <c r="D120"/>
  <c r="D112"/>
  <c r="G42"/>
  <c r="I96"/>
  <c r="H96"/>
  <c r="G96"/>
  <c r="G15" i="40"/>
  <c r="E17"/>
  <c r="E15"/>
  <c r="D17"/>
  <c r="D15"/>
  <c r="E9" i="68"/>
  <c r="G10"/>
  <c r="F10"/>
  <c r="G10" i="67"/>
  <c r="F10"/>
  <c r="G10" i="65"/>
  <c r="F10"/>
  <c r="G16" i="40" s="1"/>
  <c r="N9" i="77"/>
  <c r="L9"/>
  <c r="P9" s="1"/>
  <c r="D10" i="68"/>
  <c r="C10"/>
  <c r="D10" i="65"/>
  <c r="D10" i="67"/>
  <c r="C10"/>
  <c r="C10" i="65"/>
  <c r="E9"/>
  <c r="E9" i="67"/>
  <c r="I8" i="69"/>
  <c r="G10"/>
  <c r="F10"/>
  <c r="G14" i="40" s="1"/>
  <c r="E9" i="69"/>
  <c r="D10"/>
  <c r="C10"/>
  <c r="M18" i="34"/>
  <c r="N18"/>
  <c r="I19" i="32"/>
  <c r="F19"/>
  <c r="J19" s="1"/>
  <c r="C7" i="77"/>
  <c r="G16" i="35"/>
  <c r="E16"/>
  <c r="N25" i="7"/>
  <c r="L25"/>
  <c r="M10" s="1"/>
  <c r="I116" i="63"/>
  <c r="H116"/>
  <c r="G116"/>
  <c r="J116" s="1"/>
  <c r="G95"/>
  <c r="I95"/>
  <c r="H95"/>
  <c r="D95"/>
  <c r="D93"/>
  <c r="D92"/>
  <c r="D96"/>
  <c r="D91"/>
  <c r="D85"/>
  <c r="G89"/>
  <c r="I89"/>
  <c r="H89"/>
  <c r="D89"/>
  <c r="I57"/>
  <c r="H57"/>
  <c r="G57"/>
  <c r="D57"/>
  <c r="G28"/>
  <c r="G29"/>
  <c r="G30"/>
  <c r="G31"/>
  <c r="G32"/>
  <c r="G33"/>
  <c r="G36"/>
  <c r="G34"/>
  <c r="G37"/>
  <c r="G35"/>
  <c r="G40"/>
  <c r="G39"/>
  <c r="G38"/>
  <c r="M24" i="7" l="1"/>
  <c r="J96" i="63"/>
  <c r="J122"/>
  <c r="J124"/>
  <c r="I16" i="35"/>
  <c r="M9" i="7"/>
  <c r="M23"/>
  <c r="M21"/>
  <c r="M19"/>
  <c r="M17"/>
  <c r="M15"/>
  <c r="M13"/>
  <c r="M11"/>
  <c r="M25"/>
  <c r="M22"/>
  <c r="M20"/>
  <c r="M18"/>
  <c r="M16"/>
  <c r="M14"/>
  <c r="M12"/>
  <c r="J95" i="63"/>
  <c r="J89"/>
  <c r="I10" l="1"/>
  <c r="I11"/>
  <c r="B11" l="1"/>
  <c r="D11" s="1"/>
  <c r="K18" i="40"/>
  <c r="J18"/>
  <c r="I18"/>
  <c r="F18"/>
  <c r="L18" l="1"/>
  <c r="N8" i="77"/>
  <c r="O9" s="1"/>
  <c r="L8"/>
  <c r="M9" s="1"/>
  <c r="E8" i="68"/>
  <c r="E8" i="67"/>
  <c r="E8" i="65"/>
  <c r="H17" i="40"/>
  <c r="D20" i="68"/>
  <c r="E10"/>
  <c r="C20" i="65"/>
  <c r="D16" i="40" s="1"/>
  <c r="D20" i="67"/>
  <c r="H14" i="40"/>
  <c r="G12" i="35"/>
  <c r="K17" i="40" l="1"/>
  <c r="H16"/>
  <c r="H15"/>
  <c r="G20" i="68"/>
  <c r="H10"/>
  <c r="G17" i="40"/>
  <c r="F20" i="68"/>
  <c r="H10" i="65"/>
  <c r="G14" i="35"/>
  <c r="G20" i="65"/>
  <c r="F20"/>
  <c r="H10" i="67"/>
  <c r="G13" i="35"/>
  <c r="F20" i="67"/>
  <c r="G20"/>
  <c r="F20" i="69"/>
  <c r="G20"/>
  <c r="C20" i="68"/>
  <c r="D20" i="65"/>
  <c r="E16" i="40" s="1"/>
  <c r="E10" i="65"/>
  <c r="I8" i="77"/>
  <c r="P8"/>
  <c r="Q9" s="1"/>
  <c r="H8"/>
  <c r="E8"/>
  <c r="E10" i="67"/>
  <c r="C20"/>
  <c r="D20" i="69"/>
  <c r="E14" i="40" s="1"/>
  <c r="C20" i="69"/>
  <c r="D14" i="40" s="1"/>
  <c r="G15" i="35" l="1"/>
  <c r="E10" i="63"/>
  <c r="K8" i="77"/>
  <c r="E10" i="69"/>
  <c r="E8"/>
  <c r="N27" i="11"/>
  <c r="O27" s="1"/>
  <c r="M27"/>
  <c r="O24" l="1"/>
  <c r="O26"/>
  <c r="O23"/>
  <c r="O25"/>
  <c r="L20"/>
  <c r="M20"/>
  <c r="N20"/>
  <c r="Q8" i="74"/>
  <c r="P8"/>
  <c r="O8"/>
  <c r="N8"/>
  <c r="M8"/>
  <c r="L8"/>
  <c r="K8"/>
  <c r="J8"/>
  <c r="I8"/>
  <c r="H8"/>
  <c r="G8"/>
  <c r="F8"/>
  <c r="E8"/>
  <c r="D8"/>
  <c r="C8"/>
  <c r="B8"/>
  <c r="M72" i="28"/>
  <c r="K72"/>
  <c r="I72"/>
  <c r="G72" l="1"/>
  <c r="E72"/>
  <c r="C72"/>
  <c r="M71" s="1"/>
  <c r="L71" s="1"/>
  <c r="K71" s="1"/>
  <c r="J71" s="1"/>
  <c r="I71" s="1"/>
  <c r="H71" s="1"/>
  <c r="G71" s="1"/>
  <c r="F71" s="1"/>
  <c r="E71" s="1"/>
  <c r="D71" s="1"/>
  <c r="C71" s="1"/>
  <c r="B71" s="1"/>
  <c r="L70" l="1"/>
  <c r="J70"/>
  <c r="H70"/>
  <c r="F70"/>
  <c r="D70"/>
  <c r="B70"/>
  <c r="M69"/>
  <c r="K69"/>
  <c r="I69"/>
  <c r="G69"/>
  <c r="E69"/>
  <c r="C69"/>
  <c r="M68"/>
  <c r="K68"/>
  <c r="I68"/>
  <c r="G68"/>
  <c r="E68"/>
  <c r="C68"/>
  <c r="M67"/>
  <c r="K67"/>
  <c r="I67"/>
  <c r="G67"/>
  <c r="E67"/>
  <c r="C67"/>
  <c r="M66"/>
  <c r="K66"/>
  <c r="I66"/>
  <c r="G66"/>
  <c r="E66"/>
  <c r="C66"/>
  <c r="M65"/>
  <c r="K65"/>
  <c r="I65"/>
  <c r="G65"/>
  <c r="E65"/>
  <c r="C65"/>
  <c r="M64"/>
  <c r="K64"/>
  <c r="I64"/>
  <c r="G64"/>
  <c r="E64"/>
  <c r="C64"/>
  <c r="M63"/>
  <c r="K63"/>
  <c r="I63"/>
  <c r="G63"/>
  <c r="E63"/>
  <c r="C63"/>
  <c r="M62"/>
  <c r="K62"/>
  <c r="I62"/>
  <c r="G62"/>
  <c r="E62"/>
  <c r="C62"/>
  <c r="M61"/>
  <c r="K61"/>
  <c r="I61"/>
  <c r="G61"/>
  <c r="E61"/>
  <c r="C61"/>
  <c r="M60"/>
  <c r="K60"/>
  <c r="I60"/>
  <c r="G60"/>
  <c r="E60"/>
  <c r="C60"/>
  <c r="M59"/>
  <c r="K59"/>
  <c r="I59"/>
  <c r="G59"/>
  <c r="E59"/>
  <c r="C59"/>
  <c r="M58"/>
  <c r="K58"/>
  <c r="I58"/>
  <c r="G58"/>
  <c r="E58"/>
  <c r="C58"/>
  <c r="M57"/>
  <c r="K57"/>
  <c r="I57"/>
  <c r="G57"/>
  <c r="E57"/>
  <c r="C57"/>
  <c r="M56"/>
  <c r="K56"/>
  <c r="I56"/>
  <c r="G56"/>
  <c r="E56"/>
  <c r="C56"/>
  <c r="M55"/>
  <c r="K55"/>
  <c r="I55"/>
  <c r="G55"/>
  <c r="E55"/>
  <c r="C55"/>
  <c r="M49"/>
  <c r="K49"/>
  <c r="I49"/>
  <c r="G49"/>
  <c r="E49"/>
  <c r="C49"/>
  <c r="M48" s="1"/>
  <c r="L48" s="1"/>
  <c r="K48" s="1"/>
  <c r="J48" s="1"/>
  <c r="I48" s="1"/>
  <c r="H48" s="1"/>
  <c r="G48" s="1"/>
  <c r="F48" s="1"/>
  <c r="E48" s="1"/>
  <c r="D48" s="1"/>
  <c r="C48" s="1"/>
  <c r="B48" s="1"/>
  <c r="L47"/>
  <c r="J47"/>
  <c r="H47"/>
  <c r="F47"/>
  <c r="D47"/>
  <c r="B47"/>
  <c r="M46"/>
  <c r="K46"/>
  <c r="I46"/>
  <c r="G46"/>
  <c r="E46"/>
  <c r="C46"/>
  <c r="M45"/>
  <c r="K45"/>
  <c r="I45"/>
  <c r="G45"/>
  <c r="E45"/>
  <c r="C45"/>
  <c r="M44"/>
  <c r="K44"/>
  <c r="I44"/>
  <c r="G44"/>
  <c r="E44"/>
  <c r="C44"/>
  <c r="M43"/>
  <c r="K43"/>
  <c r="I43"/>
  <c r="G43"/>
  <c r="E43"/>
  <c r="C43"/>
  <c r="M42"/>
  <c r="K42"/>
  <c r="I42"/>
  <c r="G42"/>
  <c r="E42"/>
  <c r="C42"/>
  <c r="M41"/>
  <c r="K41"/>
  <c r="I41"/>
  <c r="G41"/>
  <c r="E41"/>
  <c r="C41"/>
  <c r="M40"/>
  <c r="K40"/>
  <c r="I40"/>
  <c r="G40"/>
  <c r="E40"/>
  <c r="C40"/>
  <c r="M39"/>
  <c r="K39"/>
  <c r="I39"/>
  <c r="G39"/>
  <c r="E39"/>
  <c r="C39"/>
  <c r="M38"/>
  <c r="K38"/>
  <c r="I38"/>
  <c r="G38"/>
  <c r="E38"/>
  <c r="C38"/>
  <c r="M37"/>
  <c r="K37"/>
  <c r="I37"/>
  <c r="G37"/>
  <c r="E37"/>
  <c r="C37"/>
  <c r="M36"/>
  <c r="K36"/>
  <c r="I36"/>
  <c r="G36"/>
  <c r="E36"/>
  <c r="C36"/>
  <c r="M35"/>
  <c r="K35"/>
  <c r="I35"/>
  <c r="G35"/>
  <c r="E35"/>
  <c r="C35"/>
  <c r="M34"/>
  <c r="K34"/>
  <c r="I34"/>
  <c r="G34"/>
  <c r="E34"/>
  <c r="C34"/>
  <c r="M33"/>
  <c r="K33"/>
  <c r="I33"/>
  <c r="G33"/>
  <c r="E33"/>
  <c r="C33"/>
  <c r="M32"/>
  <c r="K32"/>
  <c r="I32"/>
  <c r="G32"/>
  <c r="E32"/>
  <c r="C32"/>
  <c r="M26"/>
  <c r="K26"/>
  <c r="I26"/>
  <c r="G26"/>
  <c r="E26"/>
  <c r="C26"/>
  <c r="M25" s="1"/>
  <c r="L25" s="1"/>
  <c r="K25" s="1"/>
  <c r="J25" s="1"/>
  <c r="I25" s="1"/>
  <c r="H25" s="1"/>
  <c r="G25" s="1"/>
  <c r="F25" s="1"/>
  <c r="E25" s="1"/>
  <c r="D25" s="1"/>
  <c r="C25" s="1"/>
  <c r="B25" s="1"/>
  <c r="L24"/>
  <c r="J24"/>
  <c r="H24"/>
  <c r="F24"/>
  <c r="D24"/>
  <c r="B24"/>
  <c r="M23"/>
  <c r="K23"/>
  <c r="I23"/>
  <c r="G23"/>
  <c r="E23"/>
  <c r="C23"/>
  <c r="M22"/>
  <c r="K22"/>
  <c r="I22"/>
  <c r="G22"/>
  <c r="E22"/>
  <c r="C22"/>
  <c r="M21"/>
  <c r="K21"/>
  <c r="I21"/>
  <c r="G21"/>
  <c r="E21"/>
  <c r="C21"/>
  <c r="M20"/>
  <c r="K20"/>
  <c r="I20"/>
  <c r="G20"/>
  <c r="E20"/>
  <c r="C20"/>
  <c r="M19"/>
  <c r="K19"/>
  <c r="I19"/>
  <c r="G19"/>
  <c r="E19"/>
  <c r="C19"/>
  <c r="M18"/>
  <c r="K18"/>
  <c r="I18"/>
  <c r="G18"/>
  <c r="E18"/>
  <c r="C18"/>
  <c r="M17"/>
  <c r="K17"/>
  <c r="I17"/>
  <c r="G17"/>
  <c r="E17"/>
  <c r="C17"/>
  <c r="M16"/>
  <c r="K16"/>
  <c r="I16"/>
  <c r="G16"/>
  <c r="E16"/>
  <c r="C16"/>
  <c r="M15"/>
  <c r="K15"/>
  <c r="I15"/>
  <c r="G15"/>
  <c r="E15"/>
  <c r="C15"/>
  <c r="M14"/>
  <c r="K14"/>
  <c r="I14"/>
  <c r="G14"/>
  <c r="E14"/>
  <c r="C14"/>
  <c r="M13"/>
  <c r="K13"/>
  <c r="I13"/>
  <c r="G13"/>
  <c r="E13"/>
  <c r="C13"/>
  <c r="M12"/>
  <c r="K12"/>
  <c r="I12"/>
  <c r="G12"/>
  <c r="E12"/>
  <c r="C12"/>
  <c r="M11"/>
  <c r="K11"/>
  <c r="I11"/>
  <c r="G11"/>
  <c r="E11"/>
  <c r="C11"/>
  <c r="M10"/>
  <c r="K10"/>
  <c r="I10"/>
  <c r="G10"/>
  <c r="E10"/>
  <c r="C10"/>
  <c r="M9"/>
  <c r="K9"/>
  <c r="I9"/>
  <c r="G9"/>
  <c r="E9"/>
  <c r="C9"/>
  <c r="O34" i="76" l="1"/>
  <c r="N34"/>
  <c r="P34" l="1"/>
  <c r="F34"/>
  <c r="E34"/>
  <c r="O33"/>
  <c r="O35" s="1"/>
  <c r="N33"/>
  <c r="N35" s="1"/>
  <c r="F33"/>
  <c r="F35" s="1"/>
  <c r="E33"/>
  <c r="P31"/>
  <c r="L31"/>
  <c r="K31"/>
  <c r="G31"/>
  <c r="P30"/>
  <c r="I30"/>
  <c r="H30"/>
  <c r="G30"/>
  <c r="O32"/>
  <c r="N32"/>
  <c r="L32"/>
  <c r="K32"/>
  <c r="H32"/>
  <c r="F32"/>
  <c r="I32" s="1"/>
  <c r="E32"/>
  <c r="P29"/>
  <c r="I29"/>
  <c r="H29"/>
  <c r="G29"/>
  <c r="P28"/>
  <c r="I28"/>
  <c r="H28"/>
  <c r="G28"/>
  <c r="P27"/>
  <c r="I27"/>
  <c r="H27"/>
  <c r="G27"/>
  <c r="P25"/>
  <c r="L25"/>
  <c r="K25"/>
  <c r="G25"/>
  <c r="P24"/>
  <c r="I24"/>
  <c r="H24"/>
  <c r="G24"/>
  <c r="O26"/>
  <c r="P26" s="1"/>
  <c r="N26"/>
  <c r="L26"/>
  <c r="K26"/>
  <c r="I26"/>
  <c r="H26"/>
  <c r="F26"/>
  <c r="G26" s="1"/>
  <c r="E26"/>
  <c r="P22"/>
  <c r="L22"/>
  <c r="K22"/>
  <c r="G22"/>
  <c r="P21"/>
  <c r="I21"/>
  <c r="H21"/>
  <c r="G21"/>
  <c r="P20"/>
  <c r="L20"/>
  <c r="K20"/>
  <c r="G20"/>
  <c r="P19"/>
  <c r="I19"/>
  <c r="H19"/>
  <c r="G19"/>
  <c r="P18"/>
  <c r="I18"/>
  <c r="H18"/>
  <c r="G18"/>
  <c r="P17"/>
  <c r="I17"/>
  <c r="H17"/>
  <c r="G17"/>
  <c r="O23"/>
  <c r="P23" s="1"/>
  <c r="N23"/>
  <c r="L23"/>
  <c r="K23"/>
  <c r="I23"/>
  <c r="H23"/>
  <c r="F23"/>
  <c r="E23"/>
  <c r="P16"/>
  <c r="I16"/>
  <c r="H16"/>
  <c r="G16"/>
  <c r="P14"/>
  <c r="L14"/>
  <c r="K14"/>
  <c r="M14" s="1"/>
  <c r="G14"/>
  <c r="P13"/>
  <c r="I13"/>
  <c r="H13"/>
  <c r="G13"/>
  <c r="M32" l="1"/>
  <c r="M20"/>
  <c r="G32"/>
  <c r="P32"/>
  <c r="H33"/>
  <c r="J13"/>
  <c r="G23"/>
  <c r="J23"/>
  <c r="M22"/>
  <c r="J26"/>
  <c r="M26"/>
  <c r="M31"/>
  <c r="P33"/>
  <c r="G34"/>
  <c r="M23"/>
  <c r="M25"/>
  <c r="J32"/>
  <c r="E35"/>
  <c r="H35" s="1"/>
  <c r="G35" s="1"/>
  <c r="G33"/>
  <c r="P35"/>
  <c r="K33"/>
  <c r="J16"/>
  <c r="J17"/>
  <c r="J18"/>
  <c r="J19"/>
  <c r="J24"/>
  <c r="J27"/>
  <c r="J28"/>
  <c r="J29"/>
  <c r="J21"/>
  <c r="J30"/>
  <c r="O15"/>
  <c r="N15"/>
  <c r="L15"/>
  <c r="K15"/>
  <c r="I15"/>
  <c r="H15"/>
  <c r="F15"/>
  <c r="E15"/>
  <c r="P11"/>
  <c r="L11"/>
  <c r="K11"/>
  <c r="G11"/>
  <c r="P10"/>
  <c r="I10"/>
  <c r="H10"/>
  <c r="G10"/>
  <c r="P9"/>
  <c r="I9"/>
  <c r="H9"/>
  <c r="G9"/>
  <c r="G15" l="1"/>
  <c r="J10"/>
  <c r="M11"/>
  <c r="J15"/>
  <c r="M15"/>
  <c r="P15"/>
  <c r="J9"/>
  <c r="O12"/>
  <c r="N12"/>
  <c r="L12"/>
  <c r="K12"/>
  <c r="I12"/>
  <c r="H12"/>
  <c r="F12"/>
  <c r="E12"/>
  <c r="P8"/>
  <c r="L8"/>
  <c r="K8"/>
  <c r="G8"/>
  <c r="P7"/>
  <c r="L7"/>
  <c r="K7"/>
  <c r="G7"/>
  <c r="O34" i="79"/>
  <c r="N34"/>
  <c r="F34"/>
  <c r="G34" s="1"/>
  <c r="E34"/>
  <c r="O33"/>
  <c r="O35" s="1"/>
  <c r="N33"/>
  <c r="N35" s="1"/>
  <c r="F33"/>
  <c r="F35" s="1"/>
  <c r="E33"/>
  <c r="E35" s="1"/>
  <c r="P31"/>
  <c r="L31"/>
  <c r="K31"/>
  <c r="M31" s="1"/>
  <c r="G31"/>
  <c r="P30"/>
  <c r="I30"/>
  <c r="H30"/>
  <c r="G30"/>
  <c r="O32"/>
  <c r="N32"/>
  <c r="L32"/>
  <c r="M32" s="1"/>
  <c r="K32"/>
  <c r="H32"/>
  <c r="F32"/>
  <c r="E32"/>
  <c r="P29"/>
  <c r="I29"/>
  <c r="H29"/>
  <c r="G29"/>
  <c r="P28"/>
  <c r="I28"/>
  <c r="H28"/>
  <c r="G28"/>
  <c r="P27"/>
  <c r="I27"/>
  <c r="H27"/>
  <c r="G27"/>
  <c r="P25"/>
  <c r="L25"/>
  <c r="K25"/>
  <c r="G25"/>
  <c r="P24"/>
  <c r="I24"/>
  <c r="H24"/>
  <c r="G24"/>
  <c r="O26"/>
  <c r="N26"/>
  <c r="L26"/>
  <c r="K26"/>
  <c r="I26"/>
  <c r="H26"/>
  <c r="F26"/>
  <c r="E26"/>
  <c r="P22"/>
  <c r="L22"/>
  <c r="K22"/>
  <c r="G22"/>
  <c r="P21"/>
  <c r="I21"/>
  <c r="H21"/>
  <c r="G21"/>
  <c r="P20"/>
  <c r="L20"/>
  <c r="K20"/>
  <c r="G20"/>
  <c r="P19"/>
  <c r="I19"/>
  <c r="H19"/>
  <c r="G19"/>
  <c r="P18"/>
  <c r="I18"/>
  <c r="H18"/>
  <c r="G18"/>
  <c r="P17"/>
  <c r="I17"/>
  <c r="H17"/>
  <c r="G17"/>
  <c r="O23"/>
  <c r="N23"/>
  <c r="L23"/>
  <c r="K23"/>
  <c r="I23"/>
  <c r="H23"/>
  <c r="F23"/>
  <c r="E23"/>
  <c r="P16"/>
  <c r="I16"/>
  <c r="H16"/>
  <c r="G16"/>
  <c r="P14"/>
  <c r="L14"/>
  <c r="K14"/>
  <c r="G14"/>
  <c r="P13"/>
  <c r="I13"/>
  <c r="H13"/>
  <c r="G13"/>
  <c r="O15"/>
  <c r="N15"/>
  <c r="L15"/>
  <c r="K15"/>
  <c r="I15"/>
  <c r="H15"/>
  <c r="F15"/>
  <c r="E15"/>
  <c r="P11"/>
  <c r="L11"/>
  <c r="K11"/>
  <c r="G11"/>
  <c r="P10"/>
  <c r="I10"/>
  <c r="H10"/>
  <c r="G10"/>
  <c r="P9"/>
  <c r="I9"/>
  <c r="H9"/>
  <c r="G9"/>
  <c r="O12"/>
  <c r="N12"/>
  <c r="L12"/>
  <c r="K12"/>
  <c r="I12"/>
  <c r="H12"/>
  <c r="F12"/>
  <c r="E12"/>
  <c r="P8"/>
  <c r="L8"/>
  <c r="K8"/>
  <c r="G8"/>
  <c r="P7"/>
  <c r="L7"/>
  <c r="K7"/>
  <c r="G7"/>
  <c r="O34" i="73"/>
  <c r="N34"/>
  <c r="F34"/>
  <c r="E34"/>
  <c r="O33"/>
  <c r="N33"/>
  <c r="N35" s="1"/>
  <c r="F33"/>
  <c r="F35" s="1"/>
  <c r="E33"/>
  <c r="E35" s="1"/>
  <c r="H33" s="1"/>
  <c r="P31"/>
  <c r="L31"/>
  <c r="K31"/>
  <c r="G31"/>
  <c r="P30"/>
  <c r="I30"/>
  <c r="H30"/>
  <c r="G30"/>
  <c r="O32"/>
  <c r="N32"/>
  <c r="L32"/>
  <c r="K32"/>
  <c r="H32"/>
  <c r="F32"/>
  <c r="E32"/>
  <c r="P29"/>
  <c r="I29"/>
  <c r="H29"/>
  <c r="G29"/>
  <c r="P28"/>
  <c r="I28"/>
  <c r="H28"/>
  <c r="G28"/>
  <c r="P27"/>
  <c r="I27"/>
  <c r="H27"/>
  <c r="G27"/>
  <c r="P25"/>
  <c r="L25"/>
  <c r="K25"/>
  <c r="G25"/>
  <c r="P24"/>
  <c r="I24"/>
  <c r="H24"/>
  <c r="G24"/>
  <c r="O26"/>
  <c r="N26"/>
  <c r="L26"/>
  <c r="K26"/>
  <c r="I26"/>
  <c r="H26"/>
  <c r="F26"/>
  <c r="E26"/>
  <c r="L22"/>
  <c r="I21"/>
  <c r="P20"/>
  <c r="L20"/>
  <c r="K20"/>
  <c r="G20"/>
  <c r="P19"/>
  <c r="I19"/>
  <c r="H19"/>
  <c r="G19"/>
  <c r="P18"/>
  <c r="I18"/>
  <c r="H18"/>
  <c r="G18"/>
  <c r="P17"/>
  <c r="I17"/>
  <c r="H17"/>
  <c r="G17"/>
  <c r="O23"/>
  <c r="N23"/>
  <c r="L23"/>
  <c r="K23"/>
  <c r="I23"/>
  <c r="H23"/>
  <c r="F23"/>
  <c r="E23"/>
  <c r="P16"/>
  <c r="I16"/>
  <c r="H16"/>
  <c r="G16"/>
  <c r="P14"/>
  <c r="L14"/>
  <c r="K14"/>
  <c r="G14"/>
  <c r="P13"/>
  <c r="I13"/>
  <c r="H13"/>
  <c r="G13"/>
  <c r="O15"/>
  <c r="N15"/>
  <c r="L15"/>
  <c r="K15"/>
  <c r="I15"/>
  <c r="H15"/>
  <c r="F15"/>
  <c r="E15"/>
  <c r="P11"/>
  <c r="L11"/>
  <c r="K11"/>
  <c r="G11"/>
  <c r="P10"/>
  <c r="I10"/>
  <c r="H10"/>
  <c r="G10"/>
  <c r="P9"/>
  <c r="I9"/>
  <c r="H9"/>
  <c r="G9"/>
  <c r="O12"/>
  <c r="N12"/>
  <c r="L12"/>
  <c r="K12"/>
  <c r="I12"/>
  <c r="H12"/>
  <c r="F12"/>
  <c r="E12"/>
  <c r="P8"/>
  <c r="L8"/>
  <c r="K8"/>
  <c r="G8"/>
  <c r="P7"/>
  <c r="L7"/>
  <c r="K7"/>
  <c r="G7"/>
  <c r="J12" i="76" l="1"/>
  <c r="P12"/>
  <c r="M8"/>
  <c r="M7"/>
  <c r="G12"/>
  <c r="M12"/>
  <c r="P34" i="79"/>
  <c r="M7"/>
  <c r="G12"/>
  <c r="M12"/>
  <c r="M11"/>
  <c r="J15"/>
  <c r="P15"/>
  <c r="G23"/>
  <c r="M23"/>
  <c r="M20"/>
  <c r="G26"/>
  <c r="M26"/>
  <c r="M25"/>
  <c r="I32"/>
  <c r="M8"/>
  <c r="J12"/>
  <c r="P12"/>
  <c r="G15"/>
  <c r="M15"/>
  <c r="J13"/>
  <c r="M14"/>
  <c r="J23"/>
  <c r="P23"/>
  <c r="M22"/>
  <c r="J26"/>
  <c r="P26"/>
  <c r="J28"/>
  <c r="G32"/>
  <c r="P32"/>
  <c r="J9"/>
  <c r="J17"/>
  <c r="J19"/>
  <c r="J24"/>
  <c r="J30"/>
  <c r="H35"/>
  <c r="P35"/>
  <c r="J35"/>
  <c r="L35" s="1"/>
  <c r="G35"/>
  <c r="G33"/>
  <c r="P33"/>
  <c r="J10"/>
  <c r="J16"/>
  <c r="J18"/>
  <c r="J21"/>
  <c r="J27"/>
  <c r="J29"/>
  <c r="J32"/>
  <c r="I33"/>
  <c r="H33" s="1"/>
  <c r="M7" i="73"/>
  <c r="L33"/>
  <c r="G12"/>
  <c r="M12"/>
  <c r="M11"/>
  <c r="J15"/>
  <c r="P15"/>
  <c r="G23"/>
  <c r="M23"/>
  <c r="M20"/>
  <c r="J26"/>
  <c r="P26"/>
  <c r="G32"/>
  <c r="M32"/>
  <c r="M31"/>
  <c r="G34"/>
  <c r="M8"/>
  <c r="J12"/>
  <c r="P12"/>
  <c r="G15"/>
  <c r="M15"/>
  <c r="M14"/>
  <c r="J23"/>
  <c r="P23"/>
  <c r="G26"/>
  <c r="M26"/>
  <c r="J24"/>
  <c r="M25"/>
  <c r="P32"/>
  <c r="O35"/>
  <c r="P35" s="1"/>
  <c r="P34"/>
  <c r="J10"/>
  <c r="J16"/>
  <c r="J18"/>
  <c r="J28"/>
  <c r="J30"/>
  <c r="J9"/>
  <c r="J13"/>
  <c r="J17"/>
  <c r="J19"/>
  <c r="J27"/>
  <c r="J29"/>
  <c r="I32"/>
  <c r="J32" s="1"/>
  <c r="G33"/>
  <c r="I33"/>
  <c r="J33" s="1"/>
  <c r="P33"/>
  <c r="K33"/>
  <c r="M33" s="1"/>
  <c r="I38" i="78"/>
  <c r="H38"/>
  <c r="D38"/>
  <c r="B38"/>
  <c r="E37"/>
  <c r="C37"/>
  <c r="I36"/>
  <c r="H36"/>
  <c r="D36"/>
  <c r="B36"/>
  <c r="E35"/>
  <c r="C35"/>
  <c r="E34"/>
  <c r="C34"/>
  <c r="E33"/>
  <c r="C33"/>
  <c r="H32"/>
  <c r="F32"/>
  <c r="D32"/>
  <c r="B32"/>
  <c r="I31"/>
  <c r="H31"/>
  <c r="E31" s="1"/>
  <c r="D31"/>
  <c r="B31"/>
  <c r="E30"/>
  <c r="C30"/>
  <c r="I29"/>
  <c r="H29"/>
  <c r="E28"/>
  <c r="C28"/>
  <c r="I27"/>
  <c r="H27"/>
  <c r="D27"/>
  <c r="E27" s="1"/>
  <c r="B27"/>
  <c r="C27" s="1"/>
  <c r="E26"/>
  <c r="C26"/>
  <c r="E24"/>
  <c r="C24"/>
  <c r="I23"/>
  <c r="H23"/>
  <c r="D23"/>
  <c r="B23"/>
  <c r="E22"/>
  <c r="C22"/>
  <c r="I21"/>
  <c r="H21"/>
  <c r="D21"/>
  <c r="E21" s="1"/>
  <c r="B21"/>
  <c r="C21" s="1"/>
  <c r="E20"/>
  <c r="C20"/>
  <c r="E19"/>
  <c r="C19"/>
  <c r="E18"/>
  <c r="C18"/>
  <c r="E17"/>
  <c r="C17"/>
  <c r="E16"/>
  <c r="C16"/>
  <c r="I15"/>
  <c r="I25" s="1"/>
  <c r="H15"/>
  <c r="H25" s="1"/>
  <c r="D15"/>
  <c r="D25" s="1"/>
  <c r="B15"/>
  <c r="B25" s="1"/>
  <c r="I14"/>
  <c r="H14"/>
  <c r="D14"/>
  <c r="B14"/>
  <c r="E13"/>
  <c r="C13"/>
  <c r="I12"/>
  <c r="H12"/>
  <c r="I8"/>
  <c r="H8"/>
  <c r="E8"/>
  <c r="C8"/>
  <c r="H7"/>
  <c r="F7"/>
  <c r="I7" s="1"/>
  <c r="F127" i="63"/>
  <c r="E127"/>
  <c r="C127"/>
  <c r="F125"/>
  <c r="E125"/>
  <c r="C125"/>
  <c r="B125"/>
  <c r="I119"/>
  <c r="H119"/>
  <c r="G119"/>
  <c r="D119"/>
  <c r="I123"/>
  <c r="H123"/>
  <c r="G123"/>
  <c r="J123" s="1"/>
  <c r="I120"/>
  <c r="H120"/>
  <c r="G120"/>
  <c r="J120" s="1"/>
  <c r="I121"/>
  <c r="H121"/>
  <c r="G121"/>
  <c r="D121"/>
  <c r="I115"/>
  <c r="H115"/>
  <c r="G115"/>
  <c r="D115"/>
  <c r="I113"/>
  <c r="H113"/>
  <c r="G113"/>
  <c r="D113"/>
  <c r="I114"/>
  <c r="H114"/>
  <c r="G114"/>
  <c r="D114"/>
  <c r="I112"/>
  <c r="H112"/>
  <c r="G112"/>
  <c r="J112" s="1"/>
  <c r="I111"/>
  <c r="H111"/>
  <c r="G111"/>
  <c r="D111"/>
  <c r="I110"/>
  <c r="H110"/>
  <c r="G110"/>
  <c r="D110"/>
  <c r="H108"/>
  <c r="E107"/>
  <c r="B107"/>
  <c r="F99"/>
  <c r="C99"/>
  <c r="C14" i="78" l="1"/>
  <c r="C15"/>
  <c r="E15"/>
  <c r="C23"/>
  <c r="E36"/>
  <c r="E38"/>
  <c r="E25"/>
  <c r="C25"/>
  <c r="E14"/>
  <c r="E23"/>
  <c r="C31"/>
  <c r="C36"/>
  <c r="C32" s="1"/>
  <c r="C38"/>
  <c r="J33" i="79"/>
  <c r="I127" i="63"/>
  <c r="C126"/>
  <c r="F126"/>
  <c r="E126"/>
  <c r="I125"/>
  <c r="J110"/>
  <c r="J111"/>
  <c r="I99"/>
  <c r="J114"/>
  <c r="G125"/>
  <c r="G127"/>
  <c r="J113"/>
  <c r="J115"/>
  <c r="J121"/>
  <c r="J119"/>
  <c r="D125"/>
  <c r="H125"/>
  <c r="F97"/>
  <c r="E97"/>
  <c r="C97"/>
  <c r="C98" s="1"/>
  <c r="B97"/>
  <c r="I90"/>
  <c r="H90"/>
  <c r="G90"/>
  <c r="D90"/>
  <c r="I88"/>
  <c r="H88"/>
  <c r="G88"/>
  <c r="D88"/>
  <c r="I86"/>
  <c r="H86"/>
  <c r="G86"/>
  <c r="D86"/>
  <c r="I84"/>
  <c r="H84"/>
  <c r="G84"/>
  <c r="D84"/>
  <c r="I87"/>
  <c r="H87"/>
  <c r="G87"/>
  <c r="J87" s="1"/>
  <c r="I83"/>
  <c r="H83"/>
  <c r="G83"/>
  <c r="D83"/>
  <c r="I82"/>
  <c r="H82"/>
  <c r="G82"/>
  <c r="D82"/>
  <c r="H80"/>
  <c r="E79"/>
  <c r="B79"/>
  <c r="F72"/>
  <c r="C72"/>
  <c r="E32" i="78" l="1"/>
  <c r="J125" i="63"/>
  <c r="J82"/>
  <c r="J83"/>
  <c r="D97"/>
  <c r="G97"/>
  <c r="I72"/>
  <c r="J84"/>
  <c r="J86"/>
  <c r="J88"/>
  <c r="J90"/>
  <c r="F70"/>
  <c r="E70"/>
  <c r="C70"/>
  <c r="C71" s="1"/>
  <c r="B70"/>
  <c r="I67"/>
  <c r="H67"/>
  <c r="G67"/>
  <c r="D67"/>
  <c r="J97" l="1"/>
  <c r="I97" s="1"/>
  <c r="H97" s="1"/>
  <c r="G70"/>
  <c r="I70"/>
  <c r="H70" s="1"/>
  <c r="J67"/>
  <c r="D70"/>
  <c r="I66"/>
  <c r="H66"/>
  <c r="G66"/>
  <c r="D66"/>
  <c r="I63"/>
  <c r="H63"/>
  <c r="G63"/>
  <c r="D63"/>
  <c r="I69"/>
  <c r="H69"/>
  <c r="G69"/>
  <c r="D69"/>
  <c r="I65"/>
  <c r="H65"/>
  <c r="G65"/>
  <c r="D65"/>
  <c r="I59"/>
  <c r="H59"/>
  <c r="G59"/>
  <c r="D59"/>
  <c r="I62"/>
  <c r="H62"/>
  <c r="G62"/>
  <c r="D62"/>
  <c r="I68"/>
  <c r="H68"/>
  <c r="G68"/>
  <c r="D68"/>
  <c r="I64"/>
  <c r="H64"/>
  <c r="G64"/>
  <c r="D64"/>
  <c r="I60"/>
  <c r="H60"/>
  <c r="G60"/>
  <c r="D60"/>
  <c r="I61"/>
  <c r="H61"/>
  <c r="G61"/>
  <c r="D61"/>
  <c r="I58"/>
  <c r="H58"/>
  <c r="G58"/>
  <c r="D58"/>
  <c r="I56"/>
  <c r="H56"/>
  <c r="G56"/>
  <c r="D56"/>
  <c r="I55"/>
  <c r="H55"/>
  <c r="G55"/>
  <c r="D55"/>
  <c r="H53"/>
  <c r="E52"/>
  <c r="B52"/>
  <c r="J57" l="1"/>
  <c r="J56"/>
  <c r="J58"/>
  <c r="J61"/>
  <c r="J60"/>
  <c r="J64"/>
  <c r="J68"/>
  <c r="J63"/>
  <c r="J55"/>
  <c r="J70"/>
  <c r="J62"/>
  <c r="J66"/>
  <c r="J59"/>
  <c r="J65"/>
  <c r="J69"/>
  <c r="F45"/>
  <c r="C45"/>
  <c r="I38"/>
  <c r="H38"/>
  <c r="D38"/>
  <c r="I39"/>
  <c r="H39"/>
  <c r="D39"/>
  <c r="D41"/>
  <c r="I40"/>
  <c r="H40"/>
  <c r="D40"/>
  <c r="C44" l="1"/>
  <c r="F44"/>
  <c r="H43"/>
  <c r="J40"/>
  <c r="J38"/>
  <c r="G43"/>
  <c r="I45"/>
  <c r="J39"/>
  <c r="D43"/>
  <c r="I43"/>
  <c r="I42"/>
  <c r="H42"/>
  <c r="D42"/>
  <c r="I35"/>
  <c r="H35"/>
  <c r="D35"/>
  <c r="I37"/>
  <c r="H37"/>
  <c r="D37"/>
  <c r="I34"/>
  <c r="H34"/>
  <c r="D34"/>
  <c r="I36"/>
  <c r="H36"/>
  <c r="D36"/>
  <c r="I33"/>
  <c r="H33"/>
  <c r="D33"/>
  <c r="I32"/>
  <c r="H32"/>
  <c r="D32"/>
  <c r="I31"/>
  <c r="H31"/>
  <c r="D31"/>
  <c r="I30"/>
  <c r="H30"/>
  <c r="I29"/>
  <c r="H29"/>
  <c r="D29"/>
  <c r="I28"/>
  <c r="H28"/>
  <c r="D28"/>
  <c r="H26"/>
  <c r="E25"/>
  <c r="B25"/>
  <c r="J43" l="1"/>
  <c r="J28"/>
  <c r="J29"/>
  <c r="J30"/>
  <c r="J31"/>
  <c r="J32"/>
  <c r="J33"/>
  <c r="J36"/>
  <c r="J35"/>
  <c r="J42"/>
  <c r="J34"/>
  <c r="J37"/>
  <c r="F12"/>
  <c r="C12"/>
  <c r="E11"/>
  <c r="G10"/>
  <c r="I9"/>
  <c r="I8"/>
  <c r="I7"/>
  <c r="I12" l="1"/>
  <c r="G11"/>
  <c r="J11" s="1"/>
  <c r="H11"/>
  <c r="N7" i="77"/>
  <c r="L7"/>
  <c r="F7"/>
  <c r="L19" l="1"/>
  <c r="M8"/>
  <c r="N19"/>
  <c r="O8"/>
  <c r="D8"/>
  <c r="G8"/>
  <c r="P7"/>
  <c r="Q8" s="1"/>
  <c r="I7"/>
  <c r="J8" s="1"/>
  <c r="E7"/>
  <c r="H7"/>
  <c r="H20" i="68"/>
  <c r="H19"/>
  <c r="H18"/>
  <c r="H17"/>
  <c r="H16"/>
  <c r="H15"/>
  <c r="H14"/>
  <c r="H13"/>
  <c r="H12"/>
  <c r="H11"/>
  <c r="H9"/>
  <c r="H8"/>
  <c r="H7"/>
  <c r="E7"/>
  <c r="H19" i="65"/>
  <c r="H18"/>
  <c r="H17"/>
  <c r="H16"/>
  <c r="H15"/>
  <c r="H14"/>
  <c r="H13"/>
  <c r="H12"/>
  <c r="H11"/>
  <c r="H9"/>
  <c r="H8"/>
  <c r="H7"/>
  <c r="E7"/>
  <c r="H19" i="67"/>
  <c r="H18"/>
  <c r="H17"/>
  <c r="H16"/>
  <c r="H15"/>
  <c r="H14"/>
  <c r="H13"/>
  <c r="H12"/>
  <c r="H11"/>
  <c r="H9"/>
  <c r="H8"/>
  <c r="H7"/>
  <c r="E7"/>
  <c r="H19" i="69"/>
  <c r="H18"/>
  <c r="H17"/>
  <c r="H16"/>
  <c r="H15"/>
  <c r="H14"/>
  <c r="H13"/>
  <c r="H12"/>
  <c r="H11"/>
  <c r="H9"/>
  <c r="H8"/>
  <c r="H7"/>
  <c r="E7"/>
  <c r="I17" i="40"/>
  <c r="E9" i="63"/>
  <c r="E8"/>
  <c r="H19" i="40"/>
  <c r="E7" i="63"/>
  <c r="P19" i="77" l="1"/>
  <c r="E20" i="68"/>
  <c r="E20" i="65"/>
  <c r="H20"/>
  <c r="E20" i="67"/>
  <c r="H20"/>
  <c r="E20" i="69"/>
  <c r="E72" i="63"/>
  <c r="G8"/>
  <c r="E45"/>
  <c r="E12"/>
  <c r="G7"/>
  <c r="E99"/>
  <c r="G9"/>
  <c r="I15" i="40"/>
  <c r="I14"/>
  <c r="I16"/>
  <c r="G19"/>
  <c r="K7" i="77"/>
  <c r="I24" i="44"/>
  <c r="H24"/>
  <c r="G24"/>
  <c r="F24"/>
  <c r="E24"/>
  <c r="D24"/>
  <c r="G99" i="63" l="1"/>
  <c r="E98"/>
  <c r="G45"/>
  <c r="E44"/>
  <c r="G72"/>
  <c r="E71"/>
  <c r="G14" i="44"/>
  <c r="F14"/>
  <c r="E14"/>
  <c r="D14"/>
  <c r="I12"/>
  <c r="H12"/>
  <c r="I11"/>
  <c r="H11"/>
  <c r="I30" i="35"/>
  <c r="H30"/>
  <c r="F30"/>
  <c r="H14" i="44" l="1"/>
  <c r="I14"/>
  <c r="I28" i="35"/>
  <c r="H28"/>
  <c r="F28"/>
  <c r="I27"/>
  <c r="H27"/>
  <c r="F27"/>
  <c r="I26"/>
  <c r="H26"/>
  <c r="F26"/>
  <c r="I25"/>
  <c r="H25"/>
  <c r="F25"/>
  <c r="I24"/>
  <c r="H24"/>
  <c r="F24"/>
  <c r="I23"/>
  <c r="H23"/>
  <c r="F23"/>
  <c r="I22"/>
  <c r="H22"/>
  <c r="F22"/>
  <c r="I21"/>
  <c r="H21"/>
  <c r="F21"/>
  <c r="I20"/>
  <c r="H20"/>
  <c r="F20"/>
  <c r="I19"/>
  <c r="H19"/>
  <c r="F19"/>
  <c r="I18"/>
  <c r="H18"/>
  <c r="F18"/>
  <c r="I17"/>
  <c r="H17"/>
  <c r="F17"/>
  <c r="H15"/>
  <c r="H14"/>
  <c r="H13"/>
  <c r="H12"/>
  <c r="G11" l="1"/>
  <c r="G29" l="1"/>
  <c r="H29" s="1"/>
  <c r="H11"/>
  <c r="I10"/>
  <c r="H10"/>
  <c r="F10"/>
  <c r="I9"/>
  <c r="H9"/>
  <c r="F9"/>
  <c r="I8" l="1"/>
  <c r="H8"/>
  <c r="F8"/>
  <c r="I7"/>
  <c r="H7"/>
  <c r="F7"/>
  <c r="I30" i="39"/>
  <c r="H30"/>
  <c r="F30"/>
  <c r="G29" l="1"/>
  <c r="H29" s="1"/>
  <c r="I28" l="1"/>
  <c r="H28"/>
  <c r="F28"/>
  <c r="I27"/>
  <c r="H27"/>
  <c r="F27"/>
  <c r="I26"/>
  <c r="H26"/>
  <c r="F26"/>
  <c r="I25"/>
  <c r="H25"/>
  <c r="F25"/>
  <c r="I24"/>
  <c r="H24"/>
  <c r="F24"/>
  <c r="I23"/>
  <c r="H23"/>
  <c r="F23"/>
  <c r="I22"/>
  <c r="H22"/>
  <c r="F22"/>
  <c r="I21"/>
  <c r="H21"/>
  <c r="F21"/>
  <c r="I20"/>
  <c r="H20"/>
  <c r="F20"/>
  <c r="I19"/>
  <c r="H19"/>
  <c r="F19"/>
  <c r="I18"/>
  <c r="H18"/>
  <c r="F18"/>
  <c r="I17"/>
  <c r="H17"/>
  <c r="F17"/>
  <c r="I16" l="1"/>
  <c r="H16"/>
  <c r="F16"/>
  <c r="I15"/>
  <c r="H15"/>
  <c r="F15"/>
  <c r="I14"/>
  <c r="H14"/>
  <c r="F14"/>
  <c r="I13"/>
  <c r="H13"/>
  <c r="F13"/>
  <c r="I12" l="1"/>
  <c r="H12"/>
  <c r="F12"/>
  <c r="H11"/>
  <c r="F11"/>
  <c r="E11"/>
  <c r="E29" s="1"/>
  <c r="I10"/>
  <c r="H10"/>
  <c r="F10"/>
  <c r="I9"/>
  <c r="H9"/>
  <c r="F9"/>
  <c r="I8"/>
  <c r="H8"/>
  <c r="F8"/>
  <c r="I7"/>
  <c r="H7"/>
  <c r="F7"/>
  <c r="R21" i="33"/>
  <c r="Q21"/>
  <c r="P21"/>
  <c r="O21"/>
  <c r="N21"/>
  <c r="M21"/>
  <c r="L21"/>
  <c r="K21"/>
  <c r="J21"/>
  <c r="I21"/>
  <c r="H21"/>
  <c r="G21"/>
  <c r="F21"/>
  <c r="E21"/>
  <c r="D21"/>
  <c r="K27" i="12"/>
  <c r="H22"/>
  <c r="G22"/>
  <c r="G23" s="1"/>
  <c r="F22"/>
  <c r="E22"/>
  <c r="H18" s="1"/>
  <c r="H17"/>
  <c r="G17"/>
  <c r="G18" s="1"/>
  <c r="F17"/>
  <c r="E17"/>
  <c r="E18" s="1"/>
  <c r="H12"/>
  <c r="H13" s="1"/>
  <c r="G12"/>
  <c r="F12"/>
  <c r="F13" s="1"/>
  <c r="E12"/>
  <c r="H10"/>
  <c r="H11" s="1"/>
  <c r="G10"/>
  <c r="F10"/>
  <c r="F11" s="1"/>
  <c r="E10"/>
  <c r="N23" i="58"/>
  <c r="I11" i="39" l="1"/>
  <c r="I29"/>
  <c r="F29"/>
  <c r="E13" i="12"/>
  <c r="G13"/>
  <c r="F23"/>
  <c r="E23"/>
  <c r="E11"/>
  <c r="G11"/>
  <c r="F18"/>
  <c r="I20" i="32"/>
  <c r="F20"/>
  <c r="I18"/>
  <c r="F18"/>
  <c r="I17"/>
  <c r="F17"/>
  <c r="I16"/>
  <c r="F16"/>
  <c r="I15"/>
  <c r="F15"/>
  <c r="I14"/>
  <c r="F14"/>
  <c r="I13"/>
  <c r="F13"/>
  <c r="I12"/>
  <c r="F12"/>
  <c r="I11"/>
  <c r="F11"/>
  <c r="J11" s="1"/>
  <c r="D11"/>
  <c r="I10"/>
  <c r="F10"/>
  <c r="J10" s="1"/>
  <c r="D10"/>
  <c r="I9"/>
  <c r="F9"/>
  <c r="J9" s="1"/>
  <c r="I8"/>
  <c r="F8"/>
  <c r="O28" i="11"/>
  <c r="H27"/>
  <c r="G27"/>
  <c r="E27"/>
  <c r="O20" s="1"/>
  <c r="D27"/>
  <c r="O19"/>
  <c r="I26"/>
  <c r="F26"/>
  <c r="O18"/>
  <c r="I25"/>
  <c r="F25"/>
  <c r="O17"/>
  <c r="I24"/>
  <c r="F24"/>
  <c r="O16"/>
  <c r="I23"/>
  <c r="F23"/>
  <c r="O15"/>
  <c r="I22"/>
  <c r="F22"/>
  <c r="I21"/>
  <c r="F21"/>
  <c r="I20"/>
  <c r="F20"/>
  <c r="I19"/>
  <c r="F19"/>
  <c r="I18"/>
  <c r="F18"/>
  <c r="O14"/>
  <c r="I17"/>
  <c r="F17"/>
  <c r="O13"/>
  <c r="I16"/>
  <c r="F16"/>
  <c r="O12"/>
  <c r="I15"/>
  <c r="F15"/>
  <c r="I14"/>
  <c r="F14"/>
  <c r="I13"/>
  <c r="F13"/>
  <c r="I12"/>
  <c r="F12"/>
  <c r="O11"/>
  <c r="I11"/>
  <c r="F11"/>
  <c r="O10"/>
  <c r="I10"/>
  <c r="F10"/>
  <c r="O9"/>
  <c r="I9"/>
  <c r="F9"/>
  <c r="S26" i="7"/>
  <c r="S25"/>
  <c r="Q25"/>
  <c r="R22" s="1"/>
  <c r="I25"/>
  <c r="H24"/>
  <c r="F24"/>
  <c r="G24" s="1"/>
  <c r="D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R10" l="1"/>
  <c r="R11"/>
  <c r="R12"/>
  <c r="R13"/>
  <c r="R14"/>
  <c r="I27" i="11"/>
  <c r="F27"/>
  <c r="J12" i="32"/>
  <c r="J13"/>
  <c r="J16"/>
  <c r="J17"/>
  <c r="J20"/>
  <c r="J8"/>
  <c r="J14"/>
  <c r="J15"/>
  <c r="J18"/>
  <c r="R15" i="7"/>
  <c r="R16"/>
  <c r="R17"/>
  <c r="G25"/>
  <c r="I24"/>
  <c r="E24"/>
  <c r="E25" s="1"/>
  <c r="R18"/>
  <c r="R19"/>
  <c r="R20"/>
  <c r="R21"/>
  <c r="R23"/>
  <c r="R24"/>
  <c r="R9"/>
  <c r="R25"/>
  <c r="F25" i="12"/>
  <c r="H25" s="1"/>
  <c r="H23"/>
  <c r="F26"/>
  <c r="H26" s="1"/>
  <c r="E13" i="35"/>
  <c r="E15"/>
  <c r="E12"/>
  <c r="E14"/>
  <c r="F16" i="40"/>
  <c r="L16" s="1"/>
  <c r="I19"/>
  <c r="F14"/>
  <c r="L14" s="1"/>
  <c r="K14"/>
  <c r="J16"/>
  <c r="B9" i="63"/>
  <c r="D9" s="1"/>
  <c r="J9" s="1"/>
  <c r="B10"/>
  <c r="D10" s="1"/>
  <c r="J10" s="1"/>
  <c r="B7"/>
  <c r="G12"/>
  <c r="J14" i="40"/>
  <c r="G44" i="63"/>
  <c r="I44"/>
  <c r="F71"/>
  <c r="G71" s="1"/>
  <c r="J29" i="78"/>
  <c r="F98" i="63"/>
  <c r="I98" s="1"/>
  <c r="J8" i="78"/>
  <c r="L8" s="1"/>
  <c r="J14"/>
  <c r="K14" s="1"/>
  <c r="J15"/>
  <c r="L15" s="1"/>
  <c r="J21"/>
  <c r="L21" s="1"/>
  <c r="J23"/>
  <c r="K23" s="1"/>
  <c r="J25"/>
  <c r="L25" s="1"/>
  <c r="J27"/>
  <c r="K27" s="1"/>
  <c r="J12"/>
  <c r="J31"/>
  <c r="K31" s="1"/>
  <c r="J36"/>
  <c r="L36" s="1"/>
  <c r="K32"/>
  <c r="L32"/>
  <c r="J38"/>
  <c r="L38" s="1"/>
  <c r="I32"/>
  <c r="K36" l="1"/>
  <c r="L27"/>
  <c r="K38"/>
  <c r="L31"/>
  <c r="K15"/>
  <c r="K25"/>
  <c r="L23"/>
  <c r="L14"/>
  <c r="K8"/>
  <c r="K21"/>
  <c r="E11" i="35"/>
  <c r="H9" i="63"/>
  <c r="B99"/>
  <c r="D99" s="1"/>
  <c r="J99" s="1"/>
  <c r="I71"/>
  <c r="H10"/>
  <c r="G98"/>
  <c r="B8"/>
  <c r="B12" s="1"/>
  <c r="J17" i="40"/>
  <c r="F17"/>
  <c r="L17" s="1"/>
  <c r="B127" i="63"/>
  <c r="B126" s="1"/>
  <c r="K16" i="40"/>
  <c r="I15" i="35"/>
  <c r="F15"/>
  <c r="F14"/>
  <c r="I14"/>
  <c r="J15" i="40"/>
  <c r="E19"/>
  <c r="F13" i="35"/>
  <c r="I13"/>
  <c r="F15" i="40"/>
  <c r="L15" s="1"/>
  <c r="K15"/>
  <c r="D19"/>
  <c r="H7" i="63"/>
  <c r="B45"/>
  <c r="D7"/>
  <c r="J7" s="1"/>
  <c r="I12" i="35"/>
  <c r="F12"/>
  <c r="J19" i="40" l="1"/>
  <c r="K19"/>
  <c r="B98" i="63"/>
  <c r="H99"/>
  <c r="D45"/>
  <c r="J45" s="1"/>
  <c r="B44"/>
  <c r="H12"/>
  <c r="D12"/>
  <c r="J12" s="1"/>
  <c r="H45"/>
  <c r="D8"/>
  <c r="J8" s="1"/>
  <c r="B72"/>
  <c r="H8"/>
  <c r="F19" i="40"/>
  <c r="L19" s="1"/>
  <c r="H127" i="63"/>
  <c r="D127"/>
  <c r="J127" s="1"/>
  <c r="I11" i="35"/>
  <c r="F11"/>
  <c r="E29"/>
  <c r="H9" i="77" l="1"/>
  <c r="G9"/>
  <c r="F19"/>
  <c r="H19" s="1"/>
  <c r="E9"/>
  <c r="I9"/>
  <c r="D9"/>
  <c r="C19"/>
  <c r="H98" i="63"/>
  <c r="D98"/>
  <c r="J98" s="1"/>
  <c r="H44"/>
  <c r="D44"/>
  <c r="J44" s="1"/>
  <c r="D72"/>
  <c r="J72" s="1"/>
  <c r="H72"/>
  <c r="B71"/>
  <c r="F29" i="35"/>
  <c r="I29"/>
  <c r="H10" i="69"/>
  <c r="H20"/>
  <c r="E19" i="77" l="1"/>
  <c r="I19"/>
  <c r="K19" s="1"/>
  <c r="K9"/>
  <c r="J9"/>
  <c r="H71" i="63"/>
  <c r="D71"/>
  <c r="J71" s="1"/>
  <c r="J35" i="73"/>
  <c r="L35" s="1"/>
  <c r="H35"/>
  <c r="G35"/>
  <c r="L33" i="79"/>
  <c r="M33" s="1"/>
  <c r="K33"/>
  <c r="J35" i="76"/>
  <c r="L35" s="1"/>
  <c r="L33"/>
  <c r="M33" s="1"/>
  <c r="I33"/>
  <c r="J33" s="1"/>
  <c r="D29" i="78"/>
  <c r="E29" s="1"/>
  <c r="B29"/>
  <c r="C29" s="1"/>
  <c r="B7"/>
  <c r="D7"/>
  <c r="C7" l="1"/>
  <c r="K7" s="1"/>
  <c r="K29"/>
  <c r="L29"/>
  <c r="E7"/>
  <c r="L7" s="1"/>
</calcChain>
</file>

<file path=xl/sharedStrings.xml><?xml version="1.0" encoding="utf-8"?>
<sst xmlns="http://schemas.openxmlformats.org/spreadsheetml/2006/main" count="1296" uniqueCount="574">
  <si>
    <t>Brasil</t>
  </si>
  <si>
    <t>EUA</t>
  </si>
  <si>
    <t>Total</t>
  </si>
  <si>
    <t>RO</t>
  </si>
  <si>
    <t>PA</t>
  </si>
  <si>
    <t>BA</t>
  </si>
  <si>
    <t>PR</t>
  </si>
  <si>
    <t>MG</t>
  </si>
  <si>
    <t>SP</t>
  </si>
  <si>
    <t>MT</t>
  </si>
  <si>
    <t>GO</t>
  </si>
  <si>
    <t>P.Médio</t>
  </si>
  <si>
    <t>%</t>
  </si>
  <si>
    <t>VERDE</t>
  </si>
  <si>
    <t>Outros</t>
  </si>
  <si>
    <t>Produtor</t>
  </si>
  <si>
    <t>Produção</t>
  </si>
  <si>
    <t>Consumo</t>
  </si>
  <si>
    <t>Exportação</t>
  </si>
  <si>
    <t>COMPLEXO SOJA</t>
  </si>
  <si>
    <t>PRODUTO</t>
  </si>
  <si>
    <t>Unidade</t>
  </si>
  <si>
    <t>PERÍODOS ANTERIORES</t>
  </si>
  <si>
    <t>Semana</t>
  </si>
  <si>
    <t>12 Meses</t>
  </si>
  <si>
    <t>4 Semanas</t>
  </si>
  <si>
    <t>1 Semana</t>
  </si>
  <si>
    <t>Atual</t>
  </si>
  <si>
    <t>R$/Saca</t>
  </si>
  <si>
    <t>ES</t>
  </si>
  <si>
    <t>RJ</t>
  </si>
  <si>
    <t>2011</t>
  </si>
  <si>
    <t xml:space="preserve">EVOLUÇÃO DOS PREÇOS INTERNACIONAIS </t>
  </si>
  <si>
    <t>Londres</t>
  </si>
  <si>
    <t>US$/Tonelada</t>
  </si>
  <si>
    <t>INDICADORES DE DESEMPENHO DA CAFEICULTURA BRASILEIRA</t>
  </si>
  <si>
    <t>1.1. Área em produção - milhões/há</t>
  </si>
  <si>
    <t>1.2. Produtividade sc/ha</t>
  </si>
  <si>
    <t xml:space="preserve">5.1. Financiamentos </t>
  </si>
  <si>
    <t>5.3. Pesquisa Cafeeira</t>
  </si>
  <si>
    <t>Fontes: DCAF - CONAB - ABIC - MDIC/SECEX - OIC - CEPEA/ESALQ/BM&amp;F</t>
  </si>
  <si>
    <t>ESTOQUES PRIVADOS E PÚBLICOS DE CAFÉ NO BRASIL</t>
  </si>
  <si>
    <t>(Em mil sacas de 60 kg)</t>
  </si>
  <si>
    <t>ANO</t>
  </si>
  <si>
    <t>ESTOQUES PRIVADOS</t>
  </si>
  <si>
    <t>PÚBLICOS</t>
  </si>
  <si>
    <t>TOTAL GERAL</t>
  </si>
  <si>
    <t>Arábica</t>
  </si>
  <si>
    <t>Robusta</t>
  </si>
  <si>
    <t>DCAF</t>
  </si>
  <si>
    <t>CONAB</t>
  </si>
  <si>
    <t>Fontes: CONAB</t>
  </si>
  <si>
    <t>R$/sc 60 kg</t>
  </si>
  <si>
    <t xml:space="preserve">MÊS </t>
  </si>
  <si>
    <t xml:space="preserve">* Arábica </t>
  </si>
  <si>
    <t>Tipo 6 BC-Duro</t>
  </si>
  <si>
    <t xml:space="preserve">Tipo 6-Pen.13 </t>
  </si>
  <si>
    <t>Tipo 7 BC</t>
  </si>
  <si>
    <t>(Base Cepea-Esalq)</t>
  </si>
  <si>
    <t xml:space="preserve">(Base Cepea-Esalq) </t>
  </si>
  <si>
    <t>(Base Varginha-MG)</t>
  </si>
  <si>
    <t>(Base Vitória-ES)</t>
  </si>
  <si>
    <t>JANEIRO</t>
  </si>
  <si>
    <t>FEVEREIRO</t>
  </si>
  <si>
    <t xml:space="preserve">MARÇO 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</si>
  <si>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</si>
  <si>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</si>
  <si>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</si>
  <si>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</si>
  <si>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</si>
  <si>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</si>
  <si>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</si>
  <si>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</si>
  <si>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</si>
  <si>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Média Anual</t>
  </si>
  <si>
    <t>EXPORTAÇÃO DO AGRONEGÓCIO BRASILEIRO - TOTAL</t>
  </si>
  <si>
    <t>PRINCIPAIS PRODUTOS EXPORTADOS</t>
  </si>
  <si>
    <t>Var.% (a/b)</t>
  </si>
  <si>
    <t>US$ MIL - (a)</t>
  </si>
  <si>
    <t>Part. %</t>
  </si>
  <si>
    <t>US$ MIL - (b)</t>
  </si>
  <si>
    <t>CARNES</t>
  </si>
  <si>
    <t>COMPLEXO SUCROALCOOLEIRO</t>
  </si>
  <si>
    <t>PRODUTOS FLORESTAIS</t>
  </si>
  <si>
    <t>CAFÉS</t>
  </si>
  <si>
    <t>CAFÉ VERDE</t>
  </si>
  <si>
    <t>CAFÉ SOLÚVEL</t>
  </si>
  <si>
    <t>CAFÉ TORRADO &amp; MOÍDO</t>
  </si>
  <si>
    <t>OUTROS EXTRATOS, ESSENCIAIS, CONCENTRADOS</t>
  </si>
  <si>
    <t>CASCAS, PELÍCULAS DE CAFÉ E SUCEDANEOS</t>
  </si>
  <si>
    <t>CEREAIS, FARINHAS E PREPARAÇÕES</t>
  </si>
  <si>
    <t>COUROS, PRODUTOS DE COURO E PELETERIA</t>
  </si>
  <si>
    <t>FUMO E SEUS PRODUTOS</t>
  </si>
  <si>
    <t xml:space="preserve">SUCOS </t>
  </si>
  <si>
    <t>FIBRAS E PRODUTOS TÊXTEIS</t>
  </si>
  <si>
    <t>FRUTAS (INCLUI NOZES E CASTANHAS)</t>
  </si>
  <si>
    <t>ANIMAIS VIVOS (EXCETO PESCADOS)</t>
  </si>
  <si>
    <t>CHÁ, MATE E ESPECIARIAS</t>
  </si>
  <si>
    <t>BEBIDAS</t>
  </si>
  <si>
    <t>LÁCTEOS</t>
  </si>
  <si>
    <t>CACAU E SEUS PRODUTOS</t>
  </si>
  <si>
    <t>PESCADOS</t>
  </si>
  <si>
    <t>DEMAIS PRODUTOS</t>
  </si>
  <si>
    <t>TOTAL:</t>
  </si>
  <si>
    <t>Fonte: AgroStat Brasil a partir de dados da SECEX/MDIC</t>
  </si>
  <si>
    <t>VARIAÇÃO RELATIVA</t>
  </si>
  <si>
    <t>VALOR</t>
  </si>
  <si>
    <t>QUANT.</t>
  </si>
  <si>
    <t>P.MÉDIO</t>
  </si>
  <si>
    <t>US$ Mil</t>
  </si>
  <si>
    <t>SC/60 kg</t>
  </si>
  <si>
    <t>US$ (FOB)</t>
  </si>
  <si>
    <t>SOLÚVEL</t>
  </si>
  <si>
    <t>TORRADO &amp; MOÍDO</t>
  </si>
  <si>
    <t>OUTROS EXTRATOS</t>
  </si>
  <si>
    <t>TOTAL</t>
  </si>
  <si>
    <t>Fonte: MDIC/SECEX</t>
  </si>
  <si>
    <t>EXPORTAÇÕES BRASILEIRAS DE CAFÉ VERDE</t>
  </si>
  <si>
    <t>MÊS</t>
  </si>
  <si>
    <t>Receita</t>
  </si>
  <si>
    <t>Volume</t>
  </si>
  <si>
    <t>Janeiro</t>
  </si>
  <si>
    <t>Fevereiro</t>
  </si>
  <si>
    <t>Março</t>
  </si>
  <si>
    <t>Abril</t>
  </si>
  <si>
    <t>Maio</t>
  </si>
  <si>
    <t>Junho</t>
  </si>
  <si>
    <t>Sub-total</t>
  </si>
  <si>
    <t>Julho</t>
  </si>
  <si>
    <t>Agosto</t>
  </si>
  <si>
    <t>Setembro</t>
  </si>
  <si>
    <t>Outubro</t>
  </si>
  <si>
    <t>Novembro</t>
  </si>
  <si>
    <t>Dezembro</t>
  </si>
  <si>
    <t>Receita: em mil US$</t>
  </si>
  <si>
    <t>Volume: em saca de 60 kg</t>
  </si>
  <si>
    <t>Preço Medio: em US$ por saca</t>
  </si>
  <si>
    <t>EXPORTAÇÕES BRASILEIRAS DE CAFÉ SOLÚVEL</t>
  </si>
  <si>
    <t>EXPORTAÇÕES BRASILEIRAS DE CAFÉ TORRADO &amp; MOÍDO</t>
  </si>
  <si>
    <t>EXPORTAÇÕES BRASILEIRAS DE CAFÉS</t>
  </si>
  <si>
    <t>t</t>
  </si>
  <si>
    <t>US$/t</t>
  </si>
  <si>
    <t>Conversão Verde em sacas de 60 kg: peso liquido/60</t>
  </si>
  <si>
    <t>Conversão Solúvel em sacas de 60 kg: peso liquido*2,6/60</t>
  </si>
  <si>
    <t>Conversão Torrado e Moído em sacas de 60 kg: peso liquido *1,19/60</t>
  </si>
  <si>
    <t xml:space="preserve">EXPORTAÇÕES BRASILEIRAS DE CAFÉ VERDE </t>
  </si>
  <si>
    <t>NCM: 0901.11.10/0901.12.00</t>
  </si>
  <si>
    <t>PAÍSES</t>
  </si>
  <si>
    <t>QUANT</t>
  </si>
  <si>
    <t>US$ MIL</t>
  </si>
  <si>
    <t xml:space="preserve">   OUTROS</t>
  </si>
  <si>
    <t xml:space="preserve">TOTAL </t>
  </si>
  <si>
    <t>EXPORTAÇÕES BRASILEIRAS DE CAFÉ SOLÚVEL, MESMO DESCAFEINADO</t>
  </si>
  <si>
    <t>NCM: 2101.11.10</t>
  </si>
  <si>
    <t>NCM: 0901.21.00/0901.22.00</t>
  </si>
  <si>
    <t xml:space="preserve">EXPORTAÇÕES BRASILEIRAS DE OUTROS EXTRATOS, ESSENCIAIS, PREPARS, CONCENTRADOS DE CAFÉ </t>
  </si>
  <si>
    <t>NCM: 2101.11.90/2101.12.00</t>
  </si>
  <si>
    <t>TOTAL DAS IMPORTAÇÕES BRASILEIRAS DE CAFÉS</t>
  </si>
  <si>
    <t>TORRADO E MOÍDO</t>
  </si>
  <si>
    <t xml:space="preserve">Produção, Exportação Mundial e Consumo Interno de Café </t>
  </si>
  <si>
    <t>(Principais Países Produtores)</t>
  </si>
  <si>
    <t>CAFÉ - RANKING</t>
  </si>
  <si>
    <t>Produção Mundial - Produtores</t>
  </si>
  <si>
    <t>Países</t>
  </si>
  <si>
    <t>*2014</t>
  </si>
  <si>
    <t>2013</t>
  </si>
  <si>
    <t>2012</t>
  </si>
  <si>
    <t>2010</t>
  </si>
  <si>
    <t xml:space="preserve">Part. (%) </t>
  </si>
  <si>
    <t>*Brasil</t>
  </si>
  <si>
    <t>Vietnan</t>
  </si>
  <si>
    <t>Colômbia</t>
  </si>
  <si>
    <t>Indonésia</t>
  </si>
  <si>
    <t>Etiópia</t>
  </si>
  <si>
    <t>Índia</t>
  </si>
  <si>
    <t>Peru</t>
  </si>
  <si>
    <t>Honduras</t>
  </si>
  <si>
    <t>México</t>
  </si>
  <si>
    <t>Uganda</t>
  </si>
  <si>
    <t>Guatemala</t>
  </si>
  <si>
    <t>Costa do Marfim</t>
  </si>
  <si>
    <t>Nicaragua</t>
  </si>
  <si>
    <t>Costa Rica</t>
  </si>
  <si>
    <t>El Salvador</t>
  </si>
  <si>
    <t>Outros países</t>
  </si>
  <si>
    <t>Fontes: *MAPA/SPAE/CONAB; O.I.C.</t>
  </si>
  <si>
    <t>*Estimativas</t>
  </si>
  <si>
    <t>Exportação Mundial - Produtores</t>
  </si>
  <si>
    <t>Fontes: *MDIC/SECEX; O.I.C.</t>
  </si>
  <si>
    <t>Consumo Interno - Produtores</t>
  </si>
  <si>
    <t>Fontes: *ABIC; O.I.C.</t>
  </si>
  <si>
    <t>Outr. países</t>
  </si>
  <si>
    <t>Fonte: OIC e CONAB</t>
  </si>
  <si>
    <t>Alemanha</t>
  </si>
  <si>
    <t>Itália</t>
  </si>
  <si>
    <t>Belgica</t>
  </si>
  <si>
    <t>Japão</t>
  </si>
  <si>
    <t>Espanha</t>
  </si>
  <si>
    <t>Canadá</t>
  </si>
  <si>
    <t>Reino Unido</t>
  </si>
  <si>
    <t>Suécia</t>
  </si>
  <si>
    <t>Turquia</t>
  </si>
  <si>
    <t>Russia</t>
  </si>
  <si>
    <t>2014</t>
  </si>
  <si>
    <t>Importador</t>
  </si>
  <si>
    <t>PRAÇA</t>
  </si>
  <si>
    <t>Nova York</t>
  </si>
  <si>
    <t>NY</t>
  </si>
  <si>
    <t>LD</t>
  </si>
  <si>
    <t>Otr.</t>
  </si>
  <si>
    <t>UF</t>
  </si>
  <si>
    <t>A &amp; P</t>
  </si>
  <si>
    <t>Cerrado</t>
  </si>
  <si>
    <t>Planalto</t>
  </si>
  <si>
    <t>Atlântico</t>
  </si>
  <si>
    <t>Indicadores</t>
  </si>
  <si>
    <t>2.1. Valor - bilhões/US$</t>
  </si>
  <si>
    <t>2.2. Preço Médio - US$/sc</t>
  </si>
  <si>
    <t>3.1. Per capita - kg/habitante ano</t>
  </si>
  <si>
    <t>4. Estoques Totais (milhões/sc)</t>
  </si>
  <si>
    <t>5. Orçamento Funcafé - R$ milhões</t>
  </si>
  <si>
    <t xml:space="preserve">5.2. Publicidade e Promoção </t>
  </si>
  <si>
    <t>Fonte: Desex</t>
  </si>
  <si>
    <t>Base legal</t>
  </si>
  <si>
    <t>Safra</t>
  </si>
  <si>
    <t>Conilon</t>
  </si>
  <si>
    <t>Tipo</t>
  </si>
  <si>
    <t>Peneira</t>
  </si>
  <si>
    <t>2001/2002</t>
  </si>
  <si>
    <t xml:space="preserve">13 acima </t>
  </si>
  <si>
    <t>(Não houve definição)</t>
  </si>
  <si>
    <t>Decreto nº 4.783, de 17-7-2003</t>
  </si>
  <si>
    <t>2002/2003</t>
  </si>
  <si>
    <t xml:space="preserve">14 acima </t>
  </si>
  <si>
    <t>Decreto nº 5.071, de 7-5-2004</t>
  </si>
  <si>
    <t>2003/2004</t>
  </si>
  <si>
    <t>Decreto nº 5.494, de 20-7-2005</t>
  </si>
  <si>
    <t>2004/2005</t>
  </si>
  <si>
    <t>Decreto nº 5.838, de 10-7-2006</t>
  </si>
  <si>
    <t>2005/2006</t>
  </si>
  <si>
    <t>2006/2007</t>
  </si>
  <si>
    <t>Decreto nº 6.557, de 8-9-2008</t>
  </si>
  <si>
    <t>2007/2008</t>
  </si>
  <si>
    <t>2008/2009</t>
  </si>
  <si>
    <t>Portaria MAPA nº 460, de 19-6-2009</t>
  </si>
  <si>
    <t xml:space="preserve">Portaria MAPA nº 392, de 19-5-2010 </t>
  </si>
  <si>
    <t>A partir da safra 2009/2010</t>
  </si>
  <si>
    <t>Portaria MAPA nº 309, de 17-5-2013</t>
  </si>
  <si>
    <t>mai/13 a mar/14</t>
  </si>
  <si>
    <t>Portaria MAPA nº 478, de 20-5-2014</t>
  </si>
  <si>
    <t>mai/14 a mar/15</t>
  </si>
  <si>
    <t>Preço mínimo (R$ / 60kg)</t>
  </si>
  <si>
    <t>Decreto nº 4.325, de 7-8-2002 (*)</t>
  </si>
  <si>
    <t>(**)</t>
  </si>
  <si>
    <r>
      <t>Portaria MAPA nº 339, de 14-5-2009</t>
    </r>
    <r>
      <rPr>
        <sz val="9"/>
        <rFont val="Arial"/>
        <family val="2"/>
      </rPr>
      <t xml:space="preserve"> (revogada pela Portaria nº 460, de 19-6-2009)</t>
    </r>
  </si>
  <si>
    <t>Preços Mínimos para os cafés Arábica e Conilon</t>
  </si>
  <si>
    <t>(*) Preço mínimo exclusivamente para opções de venda em 2002</t>
  </si>
  <si>
    <t>(**) Tipo 7, com até 150 defeitos</t>
  </si>
  <si>
    <t>(***) Tipo 6, bebida dura para melhor, com até 86 defeitos</t>
  </si>
  <si>
    <t>(***)</t>
  </si>
  <si>
    <t>Decreto nº 6.078, de 10-4-2007</t>
  </si>
  <si>
    <t>Tabela de entrada de dados para planilha e gráficos</t>
  </si>
  <si>
    <t>Sul</t>
  </si>
  <si>
    <t>Triângulo</t>
  </si>
  <si>
    <t>Mata</t>
  </si>
  <si>
    <t>Norte</t>
  </si>
  <si>
    <t>Contratos</t>
  </si>
  <si>
    <t>Recursos</t>
  </si>
  <si>
    <t>Área Financida</t>
  </si>
  <si>
    <t>Nº</t>
  </si>
  <si>
    <t>R$ milhões</t>
  </si>
  <si>
    <t>ÁREA (em hectáres)</t>
  </si>
  <si>
    <t>PRODUÇÃO (em mil sacas)</t>
  </si>
  <si>
    <t>Operações</t>
  </si>
  <si>
    <t>em hectáres</t>
  </si>
  <si>
    <t>CASCA E PELÍCULAS</t>
  </si>
  <si>
    <t>P. MÉDIO</t>
  </si>
  <si>
    <t>TOTAL DAS EXPORTAÇÕES BRASILEIRAS DE CAFÉS</t>
  </si>
  <si>
    <t>CASCAS, PELÍCULAS</t>
  </si>
  <si>
    <t>US$ (MIL)</t>
  </si>
  <si>
    <t>ESTADOS UNIDOS</t>
  </si>
  <si>
    <t>JAPAO</t>
  </si>
  <si>
    <t>CANADA</t>
  </si>
  <si>
    <t>TURQUIA</t>
  </si>
  <si>
    <t>ARABIA SAUDITA</t>
  </si>
  <si>
    <t>INDONESIA</t>
  </si>
  <si>
    <t>ARGENTINA</t>
  </si>
  <si>
    <t>CINGAPURA</t>
  </si>
  <si>
    <t>URUGUAI</t>
  </si>
  <si>
    <t>PARAGUAI</t>
  </si>
  <si>
    <t>BOLIVIA</t>
  </si>
  <si>
    <t>TAIWAN (FORMOSA)</t>
  </si>
  <si>
    <t>COREIA,REP.SUL</t>
  </si>
  <si>
    <t>MEXICO</t>
  </si>
  <si>
    <t>França</t>
  </si>
  <si>
    <t>US$ (cents/LP)</t>
  </si>
  <si>
    <t xml:space="preserve"> Câmbio = </t>
  </si>
  <si>
    <t xml:space="preserve"> Dólar/saca   = </t>
  </si>
  <si>
    <t>R$/saca</t>
  </si>
  <si>
    <t xml:space="preserve"> R$/saca </t>
  </si>
  <si>
    <t xml:space="preserve">1. Produção - em milhões/sc </t>
  </si>
  <si>
    <t xml:space="preserve">2. Exportações em - milhões/sc </t>
  </si>
  <si>
    <r>
      <t>7. Participação no Agronegócio</t>
    </r>
    <r>
      <rPr>
        <sz val="10"/>
        <rFont val="Arial"/>
        <family val="2"/>
      </rPr>
      <t xml:space="preserve"> (%)</t>
    </r>
  </si>
  <si>
    <t>VARIAÇÃO RELATIVA (%)</t>
  </si>
  <si>
    <t>Finlândia</t>
  </si>
  <si>
    <t>Portaria MAPA nº 094 de 06-05-2015</t>
  </si>
  <si>
    <t>abr/15 a mar/16</t>
  </si>
  <si>
    <t/>
  </si>
  <si>
    <t xml:space="preserve">Dólar/saca   = </t>
  </si>
  <si>
    <t>Atualizado:</t>
  </si>
  <si>
    <t>SECRETARIA DE POLÍTICA AGRÍCOLA - SPA</t>
  </si>
  <si>
    <t>DEPARTAMENTO DE CRÉDITO, RECURSOS E RISCOS - DCRR</t>
  </si>
  <si>
    <t>Ministra: KÁTIA ABREU</t>
  </si>
  <si>
    <t>Secretária-Executiva: MARIA EMILIA MENDONÇA PEDROZA JABER</t>
  </si>
  <si>
    <t>Secretário da SPA: ANDRÉ MELONI NASSAR</t>
  </si>
  <si>
    <t>Diretor do DCRR: VITOR AUGUSTO OZAKI</t>
  </si>
  <si>
    <t>Elaborado pela Coordenação Geral de Gestão de Recursos</t>
  </si>
  <si>
    <t>Equipe Técnica</t>
  </si>
  <si>
    <t>Coordenador: Marconni Sobreira</t>
  </si>
  <si>
    <t>Antonio Augusto Ribeiro Vaz Costa</t>
  </si>
  <si>
    <t>Francisco Pires Sobrinho</t>
  </si>
  <si>
    <t>Getulio Akio Shinkawa</t>
  </si>
  <si>
    <t>Janaína Macedo Freitas</t>
  </si>
  <si>
    <t>CEP: 70043-900 - Brasília - DF</t>
  </si>
  <si>
    <t>Telefone: (61) 3218-2812, 3322-0408</t>
  </si>
  <si>
    <t>Fax:         (61) 3322-0337</t>
  </si>
  <si>
    <t>e-mail: airton.camargo@agricultura.gov.br</t>
  </si>
  <si>
    <t>http://www.agricultura.gov.br/vegetal/cafe/estatisticas</t>
  </si>
  <si>
    <t>Selecione: Café</t>
  </si>
  <si>
    <t>TABELAS E GRÁFICOS</t>
  </si>
  <si>
    <t>Airton Camargo Pacheco da Silva</t>
  </si>
  <si>
    <t>Export.</t>
  </si>
  <si>
    <t>US$ mil</t>
  </si>
  <si>
    <t>Sacas mil</t>
  </si>
  <si>
    <t>MINISTÉRIO DA AGRICULTURA, PECUÁRIA E ABASTECIMENTO</t>
  </si>
  <si>
    <t>Elaboração: MAPA/SPA/DCRR</t>
  </si>
  <si>
    <t>(PRINCIPAIS IMPORTADORES)</t>
  </si>
  <si>
    <t>UNIÃO EUROPEIA 28</t>
  </si>
  <si>
    <t>COREIA DO SUL</t>
  </si>
  <si>
    <t>RUSSIA</t>
  </si>
  <si>
    <t>HUNGRIA</t>
  </si>
  <si>
    <t>EXPORTAÇÕES BRASILEIRAS DE CAFÉ TORRADO</t>
  </si>
  <si>
    <t>EXPORTAÇÕES BRASILEIRAS DE CAFÉ EXTRATO</t>
  </si>
  <si>
    <t>Última</t>
  </si>
  <si>
    <t>QUANTIDADE</t>
  </si>
  <si>
    <t>Fonte e Elaboração: CONAB</t>
  </si>
  <si>
    <t>Ano</t>
  </si>
  <si>
    <t>ARÁBICA</t>
  </si>
  <si>
    <t>CONILON</t>
  </si>
  <si>
    <t>Produção Total</t>
  </si>
  <si>
    <t>Elaboração e Fonte: Mapa</t>
  </si>
  <si>
    <t xml:space="preserve">BC Tipo 6 Duro </t>
  </si>
  <si>
    <t>***Arábica</t>
  </si>
  <si>
    <t>***Conilon</t>
  </si>
  <si>
    <t>* Conilon</t>
  </si>
  <si>
    <t xml:space="preserve">**Arábica </t>
  </si>
  <si>
    <t>Elaboração: MAPA/SPA</t>
  </si>
  <si>
    <t>Conversão Outs.Estratos, Essencias em sacas de 60 kg: peso liquido*2,6/60</t>
  </si>
  <si>
    <t xml:space="preserve">3. Consumo (em milhões de sacas) </t>
  </si>
  <si>
    <r>
      <t xml:space="preserve">8. IPR pelos produtores - </t>
    </r>
    <r>
      <rPr>
        <sz val="11"/>
        <rFont val="Arial"/>
        <family val="2"/>
      </rPr>
      <t xml:space="preserve">café tipo 6, bebida dura, </t>
    </r>
    <r>
      <rPr>
        <sz val="10"/>
        <rFont val="Arial"/>
        <family val="2"/>
      </rPr>
      <t>CEPEIA/ESALQ (R$/sc)</t>
    </r>
  </si>
  <si>
    <t>Dados para construção da planilha:</t>
  </si>
  <si>
    <t>EXPORTAÇÕES BRASILEIRAS GLOBAIS</t>
  </si>
  <si>
    <t>-</t>
  </si>
  <si>
    <t>Volume: em sacas de 60 kg</t>
  </si>
  <si>
    <t>Evolução (%)</t>
  </si>
  <si>
    <t>mês</t>
  </si>
  <si>
    <t>U$ saca</t>
  </si>
  <si>
    <t>Evolução %</t>
  </si>
  <si>
    <t>no mês</t>
  </si>
  <si>
    <t>Var.</t>
  </si>
  <si>
    <t>Conversão Outros Estratos, Essencias em sacas de 60 kg: peso liquido*2,6/60</t>
  </si>
  <si>
    <t>Discriminação</t>
  </si>
  <si>
    <t>Custo de Produção</t>
  </si>
  <si>
    <t>Área Total em Produção (ha)</t>
  </si>
  <si>
    <t>Participação do Estado ou Região na área  total (%)</t>
  </si>
  <si>
    <t>Participação do cálculo no Estado ou Região (%)</t>
  </si>
  <si>
    <t>Preço Mercado (R$/saca)</t>
  </si>
  <si>
    <t>Variável (CV)</t>
  </si>
  <si>
    <t>Total (CT)</t>
  </si>
  <si>
    <t>CV</t>
  </si>
  <si>
    <t>CT</t>
  </si>
  <si>
    <t>(R$/ha)</t>
  </si>
  <si>
    <t>(R$/saca)</t>
  </si>
  <si>
    <r>
      <t>01. BA</t>
    </r>
    <r>
      <rPr>
        <sz val="9"/>
        <rFont val="Arial"/>
        <family val="2"/>
      </rPr>
      <t xml:space="preserve"> (Luiz Eduardo) - 50 sacas - mec. Irrigado</t>
    </r>
  </si>
  <si>
    <r>
      <t>02. GO (Cristalina)</t>
    </r>
    <r>
      <rPr>
        <sz val="9"/>
        <rFont val="Arial"/>
        <family val="2"/>
      </rPr>
      <t xml:space="preserve"> - 55 sacas - Mec. e Irrigado</t>
    </r>
  </si>
  <si>
    <t>10. PR (Londrina) 30 sacas - Mecanizada.</t>
  </si>
  <si>
    <t>11. SP (Franca) 30 sacas - Mecanizada.</t>
  </si>
  <si>
    <t>Estado (SP)   -   203.490  há - 18,85 sacas</t>
  </si>
  <si>
    <t>12. ES (Venda Nova) - 20 sacas</t>
  </si>
  <si>
    <t>13. RO (Rolim de Moura) 25 sacas - Manual</t>
  </si>
  <si>
    <t>14. RO (Ji Paraná) 20 sacas - Manual</t>
  </si>
  <si>
    <t>15. RO (Rolim de Moura) 60 sacas - Mecaniz.</t>
  </si>
  <si>
    <t>16. ES (Pinheiros) 60 sacas - Mecanizada</t>
  </si>
  <si>
    <t>(*) - Área abrangida pelo cálculo dos custos</t>
  </si>
  <si>
    <t>Fonte: Publicações da CONAB</t>
  </si>
  <si>
    <t xml:space="preserve">Planalto  -  101.921 há -   8,08 sacas/ha </t>
  </si>
  <si>
    <t xml:space="preserve">Cerrado  -      9.129 ha -  37,00 sacas/ha </t>
  </si>
  <si>
    <t>Estado (GO)   -    6.175 há - 36,81 sacas</t>
  </si>
  <si>
    <t>Estado (PR)   -    44.500  há - 27,19 sacas</t>
  </si>
  <si>
    <t>Resultado (%)</t>
  </si>
  <si>
    <t>Robusta Total - 432.852 há</t>
  </si>
  <si>
    <t>Arábica Total - 1.497.293 há</t>
  </si>
  <si>
    <t>Área (*) de influência dos cálculos dos custos (ha)</t>
  </si>
  <si>
    <t>Atlântico  -    35.228 há - 33,60 sacas/há(**)</t>
  </si>
  <si>
    <t>Estado (BA)   - 143.939  há - 16,04 sacas</t>
  </si>
  <si>
    <t>Estado (MG) - 967.456  há - 22,59 sacas (**)</t>
  </si>
  <si>
    <t>Estado (ES)   -   156.601 há - 18,76 sacas</t>
  </si>
  <si>
    <t>Estado (RO)   -   87.657 há - 19,51 sacas</t>
  </si>
  <si>
    <t>Estado (ES)   -  273.701  há - 27,18 sacas (***)</t>
  </si>
  <si>
    <r>
      <t>03. MG (S. S. do Paraíso) -</t>
    </r>
    <r>
      <rPr>
        <sz val="9"/>
        <rFont val="Arial"/>
        <family val="2"/>
      </rPr>
      <t xml:space="preserve"> 30 sacas - Semi-mecanizada 70%</t>
    </r>
  </si>
  <si>
    <r>
      <t>04. MG (S. S. do Paraíso)</t>
    </r>
    <r>
      <rPr>
        <sz val="9"/>
        <rFont val="Arial"/>
        <family val="2"/>
      </rPr>
      <t xml:space="preserve"> - 25 sacas - Semi-mecanizada 30%</t>
    </r>
  </si>
  <si>
    <r>
      <t>05. MG (Guaxupé)</t>
    </r>
    <r>
      <rPr>
        <sz val="9"/>
        <rFont val="Arial"/>
        <family val="2"/>
      </rPr>
      <t xml:space="preserve"> - 30 sacas - Manual - Mont.</t>
    </r>
  </si>
  <si>
    <r>
      <t>06. MG</t>
    </r>
    <r>
      <rPr>
        <sz val="9"/>
        <rFont val="Arial"/>
        <family val="2"/>
      </rPr>
      <t xml:space="preserve"> (Guaxupé) - 30 sacas - Mecanizada.</t>
    </r>
  </si>
  <si>
    <r>
      <t>07. MG (Guaxupé)</t>
    </r>
    <r>
      <rPr>
        <sz val="9"/>
        <rFont val="Arial"/>
        <family val="2"/>
      </rPr>
      <t xml:space="preserve"> - 30 sacas - Semi-mecan.</t>
    </r>
  </si>
  <si>
    <r>
      <t>08. MG (Patrocínio) -</t>
    </r>
    <r>
      <rPr>
        <sz val="9"/>
        <rFont val="Arial"/>
        <family val="2"/>
      </rPr>
      <t xml:space="preserve"> 30 sacas - Semi-mecaniz.</t>
    </r>
  </si>
  <si>
    <r>
      <t>09. MG (Manhuaçú) -</t>
    </r>
    <r>
      <rPr>
        <sz val="9"/>
        <rFont val="Arial"/>
        <family val="2"/>
      </rPr>
      <t xml:space="preserve"> 24 sacas - Manual</t>
    </r>
  </si>
  <si>
    <t>(**) - café Robusta (conilon), na BA = 35.228 há e MG = 13.389 há (descontados)</t>
  </si>
  <si>
    <t>(***) - café Arábica, no ES = 156.601 há (descontados)</t>
  </si>
  <si>
    <t>Cerrado - Arábica</t>
  </si>
  <si>
    <t>Planalto - Arábica</t>
  </si>
  <si>
    <t>Atlântico - Robusta</t>
  </si>
  <si>
    <t>CAFÉ - BENEFICIADO - ARÁBICA &amp; ROBUSTA</t>
  </si>
  <si>
    <t xml:space="preserve">Zona da Mata - Arábica </t>
  </si>
  <si>
    <t xml:space="preserve">Zona da Mata - Robusta </t>
  </si>
  <si>
    <t>Norte - Arábica</t>
  </si>
  <si>
    <t>Norte - Robusta</t>
  </si>
  <si>
    <t>Triângulo - Arábica</t>
  </si>
  <si>
    <t>Sul - Arábica</t>
  </si>
  <si>
    <t>em hectares</t>
  </si>
  <si>
    <t>em mil sacas</t>
  </si>
  <si>
    <t>Área em Produção</t>
  </si>
  <si>
    <t>Estados e Regiões</t>
  </si>
  <si>
    <t>EQUIVALENCIA EM REAIS</t>
  </si>
  <si>
    <t>AUSTRÁLIA</t>
  </si>
  <si>
    <t>Área Cultivada e Custeio</t>
  </si>
  <si>
    <t>Holanda</t>
  </si>
  <si>
    <t>Coréia</t>
  </si>
  <si>
    <t>(5) Estoques em 31/03/15 - Conab</t>
  </si>
  <si>
    <t>Principais Países Produtores de Café</t>
  </si>
  <si>
    <t>Principais Países Importadores de Café do Brasil</t>
  </si>
  <si>
    <t>Estatísticas de Produtores &amp; Importadores de Café</t>
  </si>
  <si>
    <t>Em 2015</t>
  </si>
  <si>
    <t>CUSTO DE PRODUÇÃO x PREÇOS MÉDIOS DE MERCADO - Safra 2014/2015</t>
  </si>
  <si>
    <r>
      <t>6. Part. na Produção Mundial</t>
    </r>
    <r>
      <rPr>
        <sz val="10"/>
        <rFont val="Arial"/>
        <family val="2"/>
      </rPr>
      <t xml:space="preserve"> (%)</t>
    </r>
  </si>
  <si>
    <t>Planilha 01</t>
  </si>
  <si>
    <t>Planilha 02</t>
  </si>
  <si>
    <t>Planilha 03</t>
  </si>
  <si>
    <t>Planilha 04</t>
  </si>
  <si>
    <t>Planilha 05</t>
  </si>
  <si>
    <t>Planilha 06</t>
  </si>
  <si>
    <t>Planilha 07</t>
  </si>
  <si>
    <t>Planilha 08</t>
  </si>
  <si>
    <t>Planilha 09</t>
  </si>
  <si>
    <t>Planilha 10</t>
  </si>
  <si>
    <t>Planilha 11</t>
  </si>
  <si>
    <t>Planilha 14</t>
  </si>
  <si>
    <t>Planilha 15</t>
  </si>
  <si>
    <t>Planilha 16</t>
  </si>
  <si>
    <t>Planilha 17</t>
  </si>
  <si>
    <t>Planilha 18</t>
  </si>
  <si>
    <t>Planilha 19</t>
  </si>
  <si>
    <t>Planilha 20</t>
  </si>
  <si>
    <t>Planilha 21</t>
  </si>
  <si>
    <t>Planilha 22</t>
  </si>
  <si>
    <t>Planilha 23</t>
  </si>
  <si>
    <t>Safra 2015/16 e Safra 2016/17</t>
  </si>
  <si>
    <t>Safra 2014/15 e Safra 2015/16</t>
  </si>
  <si>
    <t>Safra 2013/14 e Safra 2014/15</t>
  </si>
  <si>
    <t>04. Estoques Privados e Públicos de Café no Brasil</t>
  </si>
  <si>
    <t>06. Acompanhamento Semanal de Preços Internos e Externos</t>
  </si>
  <si>
    <t xml:space="preserve">07. Cotação Mensal dos Preços de Cafés Recebidos pelos Produtores  </t>
  </si>
  <si>
    <t>05. Série Histórica da Produção Nacional de Café - 2001 a 2016</t>
  </si>
  <si>
    <t>08. Exportação do Agronegócio Brasileiro - Ranking dos Principais Produtos - 2015</t>
  </si>
  <si>
    <t>09. Exportação do Agronegócio Brasileiro - Ranking dos Principais Produtos - Comparativo Acumulado 2015/2016</t>
  </si>
  <si>
    <t>11. Exportações Brasileiras de Café</t>
  </si>
  <si>
    <t>12. Exportações Brasileiras de Café Verde</t>
  </si>
  <si>
    <t>13. Exportações Brasileiras de Café Solúvel</t>
  </si>
  <si>
    <t>14. Exportações Brasileiras de Café Torrado e Moído</t>
  </si>
  <si>
    <t>15. Exportações Brasileiras de Outros Extratos, Concentrado de Café</t>
  </si>
  <si>
    <t>16. Total das Exportações Brasileiras de Cafés</t>
  </si>
  <si>
    <t>18. Custos de Produção</t>
  </si>
  <si>
    <t>19. Preços Mínimos</t>
  </si>
  <si>
    <t>20. Estimativa da Safra - 2016;</t>
  </si>
  <si>
    <t>21. Estimativa da Safra - 2015</t>
  </si>
  <si>
    <t>22. Estimativa da Safra - 2014</t>
  </si>
  <si>
    <t xml:space="preserve">23. Produção, Exportação e Consumo Mundial de Café (RANKING) </t>
  </si>
  <si>
    <t xml:space="preserve">01. Estatísticas de Produtores &amp; Importadores de Café (produção, exportação e consumo mundial) </t>
  </si>
  <si>
    <t>02. Área cultivada e Financiamento da Safra</t>
  </si>
  <si>
    <t>10. Importações Brasileiras de Café.</t>
  </si>
  <si>
    <t>17. Total das Exportações Brasileiras por Destinos - União Européia e Princiais Importadores</t>
  </si>
  <si>
    <t>Esplanada dos Ministérios, Bloco "D", 6º andar sala 644</t>
  </si>
  <si>
    <t>C. Marfim</t>
  </si>
  <si>
    <t>2015 - em milhões de sacas</t>
  </si>
  <si>
    <t>Equador</t>
  </si>
  <si>
    <t>Kenia</t>
  </si>
  <si>
    <t>Produtividade</t>
  </si>
  <si>
    <t>Fonte: Conab - Levantamentos de Dez/2015 e Jan/2016</t>
  </si>
  <si>
    <t xml:space="preserve">Tipo 6 BD </t>
  </si>
  <si>
    <t>CAFÉ - Média Mensal dos Preços Recebidos pelos Produtores - 2014/2015/2016</t>
  </si>
  <si>
    <t>*CEPEA-ESALQ/BM&amp;F; **Boletim de Comércio de Café de Minas Gerais (CCCMG); e ***Boletim do Centro do Comércio de Vitória (CCV); (+)nova fonte e tipo a partir de Setembro/15.</t>
  </si>
  <si>
    <t>2015</t>
  </si>
  <si>
    <t>RANKING POR VALORES DE 2015 e 2014</t>
  </si>
  <si>
    <t>RANKING POR VALORES DE 2016 e 2015</t>
  </si>
  <si>
    <r>
      <rPr>
        <b/>
        <sz val="10"/>
        <rFont val="Arial"/>
        <family val="2"/>
      </rPr>
      <t>Robusta</t>
    </r>
    <r>
      <rPr>
        <sz val="10"/>
        <rFont val="Arial"/>
        <family val="2"/>
      </rPr>
      <t xml:space="preserve"> (sacas/ha)</t>
    </r>
  </si>
  <si>
    <r>
      <rPr>
        <b/>
        <sz val="10"/>
        <rFont val="Arial"/>
        <family val="2"/>
      </rPr>
      <t>Arábica</t>
    </r>
    <r>
      <rPr>
        <sz val="10"/>
        <rFont val="Arial"/>
        <family val="2"/>
      </rPr>
      <t xml:space="preserve"> (sacas/ha)</t>
    </r>
  </si>
  <si>
    <t>*2015</t>
  </si>
  <si>
    <t>Fonte e Elaboração: CONAB (2016 = ponto médio)</t>
  </si>
  <si>
    <t>R. Sul -  474.611 há - 21,60 sacas</t>
  </si>
  <si>
    <t>R. Cerrado    -  170.634 há - 24,80 sacas</t>
  </si>
  <si>
    <t>R. Zona da Mata - 288.336 há - 23,25 sacas</t>
  </si>
  <si>
    <t>(16/15)</t>
  </si>
  <si>
    <t>Acumulado/6 meses</t>
  </si>
  <si>
    <t>Acumulado/12 meses</t>
  </si>
  <si>
    <t>a 2015</t>
  </si>
  <si>
    <t>MALÁSIA</t>
  </si>
  <si>
    <t>SÍRIA</t>
  </si>
  <si>
    <t>LÍBANO</t>
  </si>
  <si>
    <t>ISRAEL</t>
  </si>
  <si>
    <t>EQUADOR</t>
  </si>
  <si>
    <t>DINAMARCA</t>
  </si>
  <si>
    <t>(1) Com base no 1ª Estimativa da Safra de Café da CONAB - Jan/16</t>
  </si>
  <si>
    <t>(3) Estimativa ABIC</t>
  </si>
  <si>
    <t>(4) Produção Mundial estimada em 143,4</t>
  </si>
  <si>
    <t>INFORMES ESTATÍSTICOS DO CAFÉ</t>
  </si>
  <si>
    <t>EVOLUÇÃO DOS PREÇOS AO PRODUTOR - Café Arábica (tipo 6 bc - Varginha)</t>
  </si>
  <si>
    <t>EVOLUÇÃO DOS PREÇOS AO PRODUTOR - Café Robusta (tipo 7 bc - Vitória)</t>
  </si>
  <si>
    <t>Fonte: Bacen - Sicor</t>
  </si>
  <si>
    <t xml:space="preserve">03. Indicadores de Desempenho da Cafeicultura Brasileira - 2006 a 2016  </t>
  </si>
  <si>
    <t>Estoques privados com base no levantamento efetuado pela CONAB e divulgado em 31.03.15 e público em Fevereiro/16</t>
  </si>
  <si>
    <t>Programas</t>
  </si>
  <si>
    <t xml:space="preserve">   PRONAMP</t>
  </si>
  <si>
    <t xml:space="preserve">   PRONAF</t>
  </si>
  <si>
    <t xml:space="preserve">   FUNCAFE</t>
  </si>
  <si>
    <t xml:space="preserve">  SEM VINCULOS</t>
  </si>
  <si>
    <t xml:space="preserve">  TOTAL</t>
  </si>
  <si>
    <t>Crédito Agrícola para Café - Custeio - 2015</t>
  </si>
  <si>
    <t>MS</t>
  </si>
  <si>
    <t>Recursos em R$</t>
  </si>
  <si>
    <t>Área Cultivada e Produção Brasileira - Safra 2015/16 e 2016/17</t>
  </si>
  <si>
    <t>SUB-TOTAL</t>
  </si>
  <si>
    <t>VENEZUELA</t>
  </si>
  <si>
    <t>NOROEGA</t>
  </si>
  <si>
    <t>MIAMMAR</t>
  </si>
  <si>
    <t>BOLÍVIA</t>
  </si>
  <si>
    <t>EMIRADOS ÁRABES</t>
  </si>
  <si>
    <t>CHILE</t>
  </si>
  <si>
    <t>CHINA</t>
  </si>
  <si>
    <t>ANGOLA</t>
  </si>
  <si>
    <t>Em 2016</t>
  </si>
  <si>
    <t xml:space="preserve">     Fonte: Conab - Incluindo divulgação de JAN/2016 (valor médio)</t>
  </si>
  <si>
    <t>Março de 2016</t>
  </si>
  <si>
    <t>BRASIL</t>
  </si>
  <si>
    <t>Total Geral</t>
  </si>
  <si>
    <t>01 a 04/03</t>
  </si>
  <si>
    <t>21 a 24/03</t>
  </si>
  <si>
    <t>Jan a Mar/2016</t>
  </si>
  <si>
    <t>Jan a Mar/2015</t>
  </si>
  <si>
    <t>FIJI</t>
  </si>
  <si>
    <t>MAURÍCIO</t>
  </si>
  <si>
    <t>Jan a Mar de 2016</t>
  </si>
  <si>
    <t>Jan a Mar de 2015</t>
  </si>
  <si>
    <r>
      <t>6,5</t>
    </r>
    <r>
      <rPr>
        <vertAlign val="superscript"/>
        <sz val="11"/>
        <rFont val="Arial"/>
        <family val="2"/>
      </rPr>
      <t>(2)</t>
    </r>
  </si>
  <si>
    <r>
      <rPr>
        <sz val="11"/>
        <rFont val="Arial"/>
        <family val="2"/>
      </rPr>
      <t>8,872</t>
    </r>
    <r>
      <rPr>
        <vertAlign val="superscript"/>
        <sz val="11"/>
        <rFont val="Arial"/>
        <family val="2"/>
      </rPr>
      <t>(2)</t>
    </r>
  </si>
  <si>
    <t>Argentina</t>
  </si>
  <si>
    <r>
      <t>50,5</t>
    </r>
    <r>
      <rPr>
        <vertAlign val="superscript"/>
        <sz val="11"/>
        <rFont val="Arial"/>
        <family val="2"/>
      </rPr>
      <t>(1)</t>
    </r>
  </si>
  <si>
    <r>
      <t>20,5</t>
    </r>
    <r>
      <rPr>
        <vertAlign val="superscript"/>
        <sz val="11"/>
        <rFont val="Arial"/>
        <family val="2"/>
      </rPr>
      <t>(3)</t>
    </r>
  </si>
  <si>
    <r>
      <t>15,80</t>
    </r>
    <r>
      <rPr>
        <vertAlign val="superscript"/>
        <sz val="11"/>
        <rFont val="Arial"/>
        <family val="2"/>
      </rPr>
      <t>(5)</t>
    </r>
  </si>
  <si>
    <r>
      <t>35,2</t>
    </r>
    <r>
      <rPr>
        <vertAlign val="superscript"/>
        <sz val="11"/>
        <rFont val="Arial"/>
        <family val="2"/>
      </rPr>
      <t>(4)</t>
    </r>
  </si>
  <si>
    <r>
      <t>491,07</t>
    </r>
    <r>
      <rPr>
        <vertAlign val="superscript"/>
        <sz val="11"/>
        <rFont val="Arial"/>
        <family val="2"/>
      </rPr>
      <t>(2)</t>
    </r>
  </si>
  <si>
    <t>(2) Mês de Mar/16</t>
  </si>
  <si>
    <t>Planilha 12</t>
  </si>
  <si>
    <t>Planilha 13</t>
  </si>
  <si>
    <t>Custos a preços de abril/2014 &amp; Preços Médios Pagos ao Produtor em 2016</t>
  </si>
  <si>
    <t>Ano 17</t>
  </si>
</sst>
</file>

<file path=xl/styles.xml><?xml version="1.0" encoding="utf-8"?>
<styleSheet xmlns="http://schemas.openxmlformats.org/spreadsheetml/2006/main">
  <numFmts count="1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dd/mm/yy"/>
    <numFmt numFmtId="170" formatCode="_-* #,##0_-;\-* #,##0_-;_-* &quot;-&quot;??_-;_-@_-"/>
    <numFmt numFmtId="171" formatCode="0.0%"/>
    <numFmt numFmtId="172" formatCode="#,##0;[Red]\-#,##0;_(* &quot;---&quot;_);_(@_)"/>
    <numFmt numFmtId="173" formatCode="_(* #,##0_);_(* \(#,##0\);_(* \-?_);_(@_)"/>
    <numFmt numFmtId="174" formatCode="#,##0.00\ _$;\-#,##0.00\ _$"/>
    <numFmt numFmtId="175" formatCode="_(* #,##0.0_);_(* \(#,##0.0\);_(* \-?_);_(@_)"/>
    <numFmt numFmtId="176" formatCode="_(* #,##0.0_);_(* \(#,##0.0\);_(* &quot;-&quot;_);_(@_)"/>
    <numFmt numFmtId="177" formatCode="d/m/yy"/>
    <numFmt numFmtId="178" formatCode="_(* #,##0_);_(* \(#,##0\);_(* &quot;-&quot;_);_(@_)"/>
  </numFmts>
  <fonts count="68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1"/>
      <name val="Arial"/>
      <family val="2"/>
    </font>
    <font>
      <sz val="10"/>
      <name val="Times New Roman"/>
      <family val="1"/>
    </font>
    <font>
      <sz val="12"/>
      <color indexed="12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 Black"/>
      <family val="2"/>
    </font>
    <font>
      <b/>
      <sz val="7.5"/>
      <name val="Arial"/>
      <family val="2"/>
    </font>
    <font>
      <b/>
      <sz val="10"/>
      <name val="Palatino Linotype"/>
      <family val="1"/>
    </font>
    <font>
      <b/>
      <sz val="9"/>
      <name val="Palatino Linotype"/>
      <family val="1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1"/>
      <color indexed="12"/>
      <name val="Times New Roman"/>
      <family val="1"/>
    </font>
    <font>
      <sz val="9"/>
      <color indexed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u/>
      <sz val="7.5"/>
      <color indexed="12"/>
      <name val="Arial"/>
      <family val="2"/>
    </font>
    <font>
      <b/>
      <u/>
      <sz val="10"/>
      <name val="Arial"/>
      <family val="2"/>
    </font>
    <font>
      <sz val="10"/>
      <color theme="0" tint="-0.1499984740745262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2"/>
      <name val="Times New Roman"/>
      <family val="1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vertAlign val="superscript"/>
      <sz val="11"/>
      <name val="Arial"/>
      <family val="2"/>
    </font>
    <font>
      <b/>
      <sz val="14"/>
      <color rgb="FFFF0000"/>
      <name val="Arial"/>
      <family val="2"/>
    </font>
    <font>
      <sz val="11"/>
      <color rgb="FF0070C0"/>
      <name val="Arial"/>
      <family val="2"/>
    </font>
    <font>
      <sz val="10"/>
      <color rgb="FFFF0000"/>
      <name val="Arial Narrow"/>
      <family val="2"/>
    </font>
    <font>
      <sz val="10"/>
      <color theme="3"/>
      <name val="Arial"/>
      <family val="2"/>
    </font>
    <font>
      <sz val="10"/>
      <color rgb="FFC00000"/>
      <name val="Arial"/>
      <family val="2"/>
    </font>
    <font>
      <sz val="11"/>
      <color theme="3"/>
      <name val="Arial"/>
      <family val="2"/>
    </font>
    <font>
      <sz val="12"/>
      <color theme="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5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59999389629810485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4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18" fillId="0" borderId="0"/>
    <xf numFmtId="0" fontId="21" fillId="0" borderId="0"/>
    <xf numFmtId="0" fontId="44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" fillId="0" borderId="0"/>
  </cellStyleXfs>
  <cellXfs count="146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2" borderId="0" xfId="0" applyFill="1"/>
    <xf numFmtId="0" fontId="6" fillId="0" borderId="0" xfId="0" applyFont="1" applyBorder="1"/>
    <xf numFmtId="170" fontId="6" fillId="0" borderId="3" xfId="11" applyNumberFormat="1" applyFont="1" applyBorder="1"/>
    <xf numFmtId="170" fontId="6" fillId="0" borderId="4" xfId="11" applyNumberFormat="1" applyFont="1" applyBorder="1"/>
    <xf numFmtId="170" fontId="6" fillId="0" borderId="3" xfId="10" applyNumberFormat="1" applyFont="1" applyBorder="1"/>
    <xf numFmtId="2" fontId="6" fillId="0" borderId="0" xfId="0" applyNumberFormat="1" applyFont="1" applyBorder="1" applyAlignment="1">
      <alignment horizontal="center"/>
    </xf>
    <xf numFmtId="49" fontId="20" fillId="4" borderId="4" xfId="7" applyNumberFormat="1" applyFont="1" applyFill="1" applyBorder="1" applyAlignment="1">
      <alignment horizontal="center" vertical="center" wrapText="1"/>
    </xf>
    <xf numFmtId="49" fontId="20" fillId="4" borderId="3" xfId="7" applyNumberFormat="1" applyFont="1" applyFill="1" applyBorder="1" applyAlignment="1">
      <alignment horizontal="center" vertical="center" wrapText="1"/>
    </xf>
    <xf numFmtId="49" fontId="27" fillId="4" borderId="10" xfId="8" applyNumberFormat="1" applyFont="1" applyFill="1" applyBorder="1" applyAlignment="1">
      <alignment horizontal="left" vertical="center" indent="1"/>
    </xf>
    <xf numFmtId="49" fontId="27" fillId="4" borderId="3" xfId="8" applyNumberFormat="1" applyFont="1" applyFill="1" applyBorder="1" applyAlignment="1">
      <alignment horizontal="left" vertical="center" indent="1"/>
    </xf>
    <xf numFmtId="168" fontId="6" fillId="0" borderId="10" xfId="10" applyNumberFormat="1" applyFont="1" applyBorder="1" applyAlignment="1">
      <alignment horizontal="left" vertical="center"/>
    </xf>
    <xf numFmtId="168" fontId="6" fillId="0" borderId="3" xfId="10" applyNumberFormat="1" applyFont="1" applyBorder="1" applyAlignment="1">
      <alignment horizontal="center" vertical="center"/>
    </xf>
    <xf numFmtId="1" fontId="6" fillId="0" borderId="0" xfId="0" applyNumberFormat="1" applyFont="1"/>
    <xf numFmtId="168" fontId="6" fillId="0" borderId="10" xfId="10" applyNumberFormat="1" applyFont="1" applyBorder="1"/>
    <xf numFmtId="168" fontId="6" fillId="0" borderId="3" xfId="10" applyNumberFormat="1" applyFont="1" applyBorder="1"/>
    <xf numFmtId="168" fontId="6" fillId="0" borderId="10" xfId="10" applyNumberFormat="1" applyFont="1" applyBorder="1" applyAlignment="1">
      <alignment horizontal="left"/>
    </xf>
    <xf numFmtId="1" fontId="6" fillId="0" borderId="0" xfId="0" applyNumberFormat="1" applyFont="1" applyBorder="1"/>
    <xf numFmtId="0" fontId="22" fillId="0" borderId="0" xfId="0" applyFont="1" applyBorder="1"/>
    <xf numFmtId="168" fontId="6" fillId="2" borderId="3" xfId="10" quotePrefix="1" applyNumberFormat="1" applyFont="1" applyFill="1" applyBorder="1" applyAlignment="1">
      <alignment horizontal="right"/>
    </xf>
    <xf numFmtId="0" fontId="6" fillId="2" borderId="10" xfId="0" applyFont="1" applyFill="1" applyBorder="1"/>
    <xf numFmtId="168" fontId="6" fillId="2" borderId="3" xfId="10" applyNumberFormat="1" applyFont="1" applyFill="1" applyBorder="1"/>
    <xf numFmtId="0" fontId="6" fillId="0" borderId="0" xfId="0" applyFont="1" applyFill="1" applyBorder="1"/>
    <xf numFmtId="0" fontId="6" fillId="0" borderId="0" xfId="0" applyFont="1" applyAlignment="1">
      <alignment vertical="center"/>
    </xf>
    <xf numFmtId="0" fontId="34" fillId="0" borderId="0" xfId="0" applyFont="1" applyFill="1"/>
    <xf numFmtId="0" fontId="6" fillId="0" borderId="0" xfId="0" applyFont="1" applyFill="1"/>
    <xf numFmtId="0" fontId="20" fillId="5" borderId="16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168" fontId="6" fillId="0" borderId="5" xfId="10" applyNumberFormat="1" applyFont="1" applyFill="1" applyBorder="1"/>
    <xf numFmtId="164" fontId="6" fillId="0" borderId="9" xfId="10" applyNumberFormat="1" applyFont="1" applyFill="1" applyBorder="1"/>
    <xf numFmtId="164" fontId="6" fillId="0" borderId="0" xfId="10" applyNumberFormat="1" applyFont="1" applyFill="1" applyBorder="1"/>
    <xf numFmtId="164" fontId="34" fillId="0" borderId="0" xfId="0" applyNumberFormat="1" applyFont="1" applyFill="1"/>
    <xf numFmtId="168" fontId="6" fillId="0" borderId="8" xfId="10" applyNumberFormat="1" applyFont="1" applyFill="1" applyBorder="1"/>
    <xf numFmtId="168" fontId="6" fillId="0" borderId="12" xfId="10" applyNumberFormat="1" applyFont="1" applyFill="1" applyBorder="1"/>
    <xf numFmtId="164" fontId="6" fillId="0" borderId="13" xfId="10" applyNumberFormat="1" applyFont="1" applyFill="1" applyBorder="1"/>
    <xf numFmtId="164" fontId="6" fillId="0" borderId="11" xfId="10" applyNumberFormat="1" applyFont="1" applyFill="1" applyBorder="1"/>
    <xf numFmtId="0" fontId="23" fillId="0" borderId="0" xfId="0" applyFont="1" applyFill="1" applyBorder="1"/>
    <xf numFmtId="0" fontId="36" fillId="0" borderId="0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center" vertical="center"/>
    </xf>
    <xf numFmtId="164" fontId="6" fillId="0" borderId="6" xfId="10" applyNumberFormat="1" applyFont="1" applyFill="1" applyBorder="1"/>
    <xf numFmtId="164" fontId="6" fillId="0" borderId="7" xfId="10" applyNumberFormat="1" applyFont="1" applyFill="1" applyBorder="1"/>
    <xf numFmtId="168" fontId="6" fillId="0" borderId="8" xfId="1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166" fontId="4" fillId="0" borderId="0" xfId="10" applyNumberFormat="1" applyFont="1" applyFill="1" applyBorder="1"/>
    <xf numFmtId="0" fontId="16" fillId="7" borderId="16" xfId="0" applyFont="1" applyFill="1" applyBorder="1" applyAlignment="1">
      <alignment horizontal="center"/>
    </xf>
    <xf numFmtId="0" fontId="15" fillId="7" borderId="17" xfId="0" applyFont="1" applyFill="1" applyBorder="1"/>
    <xf numFmtId="164" fontId="16" fillId="7" borderId="17" xfId="10" applyFont="1" applyFill="1" applyBorder="1"/>
    <xf numFmtId="0" fontId="15" fillId="7" borderId="16" xfId="0" applyFont="1" applyFill="1" applyBorder="1"/>
    <xf numFmtId="164" fontId="16" fillId="7" borderId="16" xfId="10" applyFont="1" applyFill="1" applyBorder="1"/>
    <xf numFmtId="0" fontId="15" fillId="7" borderId="15" xfId="0" applyFont="1" applyFill="1" applyBorder="1"/>
    <xf numFmtId="0" fontId="10" fillId="8" borderId="0" xfId="0" applyFont="1" applyFill="1"/>
    <xf numFmtId="0" fontId="0" fillId="8" borderId="0" xfId="0" applyFill="1"/>
    <xf numFmtId="0" fontId="0" fillId="8" borderId="0" xfId="0" applyFill="1" applyBorder="1"/>
    <xf numFmtId="0" fontId="6" fillId="8" borderId="0" xfId="0" applyFont="1" applyFill="1"/>
    <xf numFmtId="0" fontId="0" fillId="8" borderId="9" xfId="0" applyFill="1" applyBorder="1"/>
    <xf numFmtId="0" fontId="17" fillId="8" borderId="0" xfId="0" applyFont="1" applyFill="1"/>
    <xf numFmtId="0" fontId="16" fillId="8" borderId="0" xfId="0" applyFont="1" applyFill="1"/>
    <xf numFmtId="0" fontId="15" fillId="9" borderId="5" xfId="0" applyFont="1" applyFill="1" applyBorder="1"/>
    <xf numFmtId="0" fontId="16" fillId="9" borderId="6" xfId="0" applyFont="1" applyFill="1" applyBorder="1"/>
    <xf numFmtId="0" fontId="16" fillId="9" borderId="12" xfId="0" applyFont="1" applyFill="1" applyBorder="1"/>
    <xf numFmtId="0" fontId="16" fillId="9" borderId="11" xfId="0" applyFont="1" applyFill="1" applyBorder="1"/>
    <xf numFmtId="0" fontId="16" fillId="9" borderId="13" xfId="0" applyFont="1" applyFill="1" applyBorder="1"/>
    <xf numFmtId="0" fontId="16" fillId="9" borderId="6" xfId="0" applyFont="1" applyFill="1" applyBorder="1" applyAlignment="1">
      <alignment horizontal="center"/>
    </xf>
    <xf numFmtId="0" fontId="16" fillId="9" borderId="16" xfId="0" applyFont="1" applyFill="1" applyBorder="1" applyAlignment="1">
      <alignment horizontal="center"/>
    </xf>
    <xf numFmtId="0" fontId="16" fillId="9" borderId="9" xfId="0" applyFont="1" applyFill="1" applyBorder="1" applyAlignment="1">
      <alignment horizontal="center"/>
    </xf>
    <xf numFmtId="0" fontId="16" fillId="9" borderId="15" xfId="0" applyFont="1" applyFill="1" applyBorder="1" applyAlignment="1">
      <alignment horizontal="center"/>
    </xf>
    <xf numFmtId="0" fontId="16" fillId="9" borderId="13" xfId="0" applyFont="1" applyFill="1" applyBorder="1" applyAlignment="1">
      <alignment horizontal="center"/>
    </xf>
    <xf numFmtId="0" fontId="16" fillId="9" borderId="17" xfId="0" applyFont="1" applyFill="1" applyBorder="1"/>
    <xf numFmtId="0" fontId="15" fillId="9" borderId="12" xfId="0" applyFont="1" applyFill="1" applyBorder="1"/>
    <xf numFmtId="0" fontId="6" fillId="9" borderId="16" xfId="0" applyFont="1" applyFill="1" applyBorder="1"/>
    <xf numFmtId="0" fontId="6" fillId="9" borderId="9" xfId="0" applyFont="1" applyFill="1" applyBorder="1"/>
    <xf numFmtId="0" fontId="15" fillId="9" borderId="17" xfId="0" applyFont="1" applyFill="1" applyBorder="1"/>
    <xf numFmtId="0" fontId="16" fillId="9" borderId="17" xfId="0" applyFont="1" applyFill="1" applyBorder="1" applyAlignment="1">
      <alignment horizontal="center"/>
    </xf>
    <xf numFmtId="164" fontId="16" fillId="9" borderId="17" xfId="10" applyFont="1" applyFill="1" applyBorder="1"/>
    <xf numFmtId="164" fontId="16" fillId="9" borderId="17" xfId="10" applyNumberFormat="1" applyFont="1" applyFill="1" applyBorder="1"/>
    <xf numFmtId="164" fontId="16" fillId="9" borderId="17" xfId="10" applyNumberFormat="1" applyFont="1" applyFill="1" applyBorder="1" applyAlignment="1">
      <alignment vertical="center"/>
    </xf>
    <xf numFmtId="164" fontId="15" fillId="9" borderId="9" xfId="10" applyFont="1" applyFill="1" applyBorder="1" applyAlignment="1">
      <alignment vertical="center"/>
    </xf>
    <xf numFmtId="0" fontId="16" fillId="9" borderId="15" xfId="0" applyFont="1" applyFill="1" applyBorder="1"/>
    <xf numFmtId="164" fontId="16" fillId="9" borderId="15" xfId="10" applyNumberFormat="1" applyFont="1" applyFill="1" applyBorder="1"/>
    <xf numFmtId="164" fontId="16" fillId="9" borderId="15" xfId="10" applyNumberFormat="1" applyFont="1" applyFill="1" applyBorder="1" applyAlignment="1">
      <alignment vertical="center"/>
    </xf>
    <xf numFmtId="0" fontId="16" fillId="9" borderId="11" xfId="0" applyFont="1" applyFill="1" applyBorder="1" applyAlignment="1">
      <alignment horizontal="center"/>
    </xf>
    <xf numFmtId="0" fontId="16" fillId="9" borderId="13" xfId="0" applyFont="1" applyFill="1" applyBorder="1" applyAlignment="1">
      <alignment vertical="center"/>
    </xf>
    <xf numFmtId="0" fontId="6" fillId="9" borderId="17" xfId="0" applyFont="1" applyFill="1" applyBorder="1"/>
    <xf numFmtId="0" fontId="15" fillId="9" borderId="17" xfId="0" applyFont="1" applyFill="1" applyBorder="1" applyAlignment="1">
      <alignment horizontal="center"/>
    </xf>
    <xf numFmtId="0" fontId="15" fillId="9" borderId="4" xfId="0" applyFont="1" applyFill="1" applyBorder="1"/>
    <xf numFmtId="0" fontId="16" fillId="9" borderId="14" xfId="0" applyFont="1" applyFill="1" applyBorder="1" applyAlignment="1">
      <alignment horizontal="center"/>
    </xf>
    <xf numFmtId="0" fontId="16" fillId="9" borderId="14" xfId="0" applyFont="1" applyFill="1" applyBorder="1"/>
    <xf numFmtId="0" fontId="16" fillId="9" borderId="10" xfId="0" applyFont="1" applyFill="1" applyBorder="1" applyAlignment="1">
      <alignment vertical="center"/>
    </xf>
    <xf numFmtId="0" fontId="16" fillId="9" borderId="8" xfId="0" applyFont="1" applyFill="1" applyBorder="1"/>
    <xf numFmtId="0" fontId="7" fillId="9" borderId="0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9" borderId="8" xfId="0" applyFont="1" applyFill="1" applyBorder="1"/>
    <xf numFmtId="0" fontId="19" fillId="9" borderId="0" xfId="0" applyFont="1" applyFill="1" applyBorder="1"/>
    <xf numFmtId="0" fontId="4" fillId="9" borderId="0" xfId="0" applyFont="1" applyFill="1" applyBorder="1"/>
    <xf numFmtId="0" fontId="2" fillId="9" borderId="9" xfId="0" applyFont="1" applyFill="1" applyBorder="1"/>
    <xf numFmtId="0" fontId="2" fillId="9" borderId="8" xfId="0" applyFont="1" applyFill="1" applyBorder="1"/>
    <xf numFmtId="0" fontId="11" fillId="9" borderId="9" xfId="0" applyFont="1" applyFill="1" applyBorder="1" applyAlignment="1">
      <alignment horizontal="right"/>
    </xf>
    <xf numFmtId="166" fontId="4" fillId="9" borderId="9" xfId="10" applyNumberFormat="1" applyFont="1" applyFill="1" applyBorder="1"/>
    <xf numFmtId="166" fontId="4" fillId="9" borderId="0" xfId="10" applyNumberFormat="1" applyFont="1" applyFill="1" applyBorder="1"/>
    <xf numFmtId="0" fontId="2" fillId="9" borderId="9" xfId="0" applyFont="1" applyFill="1" applyBorder="1" applyAlignment="1">
      <alignment horizontal="center"/>
    </xf>
    <xf numFmtId="0" fontId="4" fillId="9" borderId="9" xfId="0" applyFont="1" applyFill="1" applyBorder="1"/>
    <xf numFmtId="2" fontId="2" fillId="9" borderId="9" xfId="0" applyNumberFormat="1" applyFont="1" applyFill="1" applyBorder="1" applyAlignment="1">
      <alignment horizontal="center"/>
    </xf>
    <xf numFmtId="0" fontId="11" fillId="9" borderId="8" xfId="0" applyFont="1" applyFill="1" applyBorder="1"/>
    <xf numFmtId="0" fontId="11" fillId="9" borderId="9" xfId="0" applyFont="1" applyFill="1" applyBorder="1"/>
    <xf numFmtId="166" fontId="4" fillId="9" borderId="0" xfId="0" applyNumberFormat="1" applyFont="1" applyFill="1" applyBorder="1" applyAlignment="1">
      <alignment horizontal="center" vertical="center"/>
    </xf>
    <xf numFmtId="0" fontId="0" fillId="9" borderId="12" xfId="0" applyFill="1" applyBorder="1"/>
    <xf numFmtId="0" fontId="6" fillId="9" borderId="11" xfId="0" applyFont="1" applyFill="1" applyBorder="1"/>
    <xf numFmtId="0" fontId="0" fillId="9" borderId="11" xfId="0" applyFill="1" applyBorder="1"/>
    <xf numFmtId="0" fontId="48" fillId="0" borderId="0" xfId="0" applyFont="1"/>
    <xf numFmtId="0" fontId="0" fillId="8" borderId="8" xfId="0" applyFill="1" applyBorder="1"/>
    <xf numFmtId="0" fontId="0" fillId="8" borderId="7" xfId="0" applyFill="1" applyBorder="1"/>
    <xf numFmtId="0" fontId="4" fillId="9" borderId="0" xfId="0" applyFont="1" applyFill="1" applyBorder="1" applyAlignment="1">
      <alignment vertical="center"/>
    </xf>
    <xf numFmtId="166" fontId="4" fillId="9" borderId="0" xfId="1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/>
    </xf>
    <xf numFmtId="0" fontId="0" fillId="7" borderId="3" xfId="0" applyFill="1" applyBorder="1"/>
    <xf numFmtId="174" fontId="37" fillId="0" borderId="0" xfId="0" applyNumberFormat="1" applyFont="1" applyBorder="1" applyAlignment="1">
      <alignment horizontal="center"/>
    </xf>
    <xf numFmtId="16" fontId="38" fillId="0" borderId="0" xfId="0" applyNumberFormat="1" applyFont="1" applyBorder="1" applyAlignment="1">
      <alignment horizontal="center"/>
    </xf>
    <xf numFmtId="0" fontId="37" fillId="0" borderId="0" xfId="0" applyNumberFormat="1" applyFont="1" applyBorder="1" applyAlignment="1">
      <alignment horizontal="center"/>
    </xf>
    <xf numFmtId="16" fontId="37" fillId="0" borderId="0" xfId="0" quotePrefix="1" applyNumberFormat="1" applyFont="1" applyBorder="1" applyAlignment="1">
      <alignment horizontal="center"/>
    </xf>
    <xf numFmtId="0" fontId="0" fillId="9" borderId="0" xfId="0" applyFill="1" applyBorder="1"/>
    <xf numFmtId="0" fontId="3" fillId="9" borderId="8" xfId="0" applyFont="1" applyFill="1" applyBorder="1" applyAlignment="1">
      <alignment horizontal="center"/>
    </xf>
    <xf numFmtId="0" fontId="14" fillId="9" borderId="0" xfId="5" applyFont="1" applyFill="1" applyBorder="1"/>
    <xf numFmtId="0" fontId="6" fillId="9" borderId="0" xfId="5" applyFont="1" applyFill="1" applyBorder="1"/>
    <xf numFmtId="166" fontId="4" fillId="9" borderId="9" xfId="0" applyNumberFormat="1" applyFont="1" applyFill="1" applyBorder="1" applyAlignment="1">
      <alignment horizontal="center" vertical="center"/>
    </xf>
    <xf numFmtId="0" fontId="0" fillId="9" borderId="9" xfId="0" applyFill="1" applyBorder="1"/>
    <xf numFmtId="0" fontId="0" fillId="9" borderId="13" xfId="0" applyFill="1" applyBorder="1"/>
    <xf numFmtId="0" fontId="0" fillId="10" borderId="0" xfId="0" applyFill="1"/>
    <xf numFmtId="0" fontId="6" fillId="9" borderId="0" xfId="0" applyFont="1" applyFill="1" applyBorder="1"/>
    <xf numFmtId="2" fontId="6" fillId="9" borderId="0" xfId="0" applyNumberFormat="1" applyFont="1" applyFill="1" applyBorder="1"/>
    <xf numFmtId="0" fontId="22" fillId="9" borderId="0" xfId="0" applyFont="1" applyFill="1" applyBorder="1" applyAlignment="1">
      <alignment horizontal="center"/>
    </xf>
    <xf numFmtId="0" fontId="8" fillId="9" borderId="8" xfId="0" applyFont="1" applyFill="1" applyBorder="1" applyAlignment="1"/>
    <xf numFmtId="0" fontId="8" fillId="9" borderId="0" xfId="0" applyFont="1" applyFill="1" applyBorder="1" applyAlignment="1"/>
    <xf numFmtId="0" fontId="6" fillId="9" borderId="8" xfId="0" applyFont="1" applyFill="1" applyBorder="1"/>
    <xf numFmtId="0" fontId="8" fillId="9" borderId="9" xfId="0" applyFont="1" applyFill="1" applyBorder="1" applyAlignment="1"/>
    <xf numFmtId="0" fontId="5" fillId="9" borderId="8" xfId="0" applyFont="1" applyFill="1" applyBorder="1"/>
    <xf numFmtId="0" fontId="5" fillId="9" borderId="0" xfId="0" applyFont="1" applyFill="1" applyBorder="1"/>
    <xf numFmtId="0" fontId="5" fillId="9" borderId="9" xfId="0" applyFont="1" applyFill="1" applyBorder="1"/>
    <xf numFmtId="0" fontId="5" fillId="9" borderId="0" xfId="0" applyFont="1" applyFill="1" applyBorder="1" applyAlignment="1"/>
    <xf numFmtId="165" fontId="5" fillId="9" borderId="0" xfId="0" applyNumberFormat="1" applyFont="1" applyFill="1" applyBorder="1" applyAlignment="1">
      <alignment horizontal="center" vertical="center"/>
    </xf>
    <xf numFmtId="0" fontId="5" fillId="8" borderId="0" xfId="0" applyFont="1" applyFill="1"/>
    <xf numFmtId="0" fontId="40" fillId="8" borderId="0" xfId="0" applyFont="1" applyFill="1" applyAlignment="1"/>
    <xf numFmtId="0" fontId="8" fillId="9" borderId="3" xfId="0" applyFont="1" applyFill="1" applyBorder="1" applyAlignment="1">
      <alignment horizontal="center" vertical="center"/>
    </xf>
    <xf numFmtId="0" fontId="8" fillId="11" borderId="5" xfId="0" applyFont="1" applyFill="1" applyBorder="1"/>
    <xf numFmtId="0" fontId="8" fillId="11" borderId="7" xfId="0" applyFont="1" applyFill="1" applyBorder="1" applyAlignment="1"/>
    <xf numFmtId="165" fontId="5" fillId="11" borderId="0" xfId="0" applyNumberFormat="1" applyFont="1" applyFill="1" applyBorder="1" applyAlignment="1">
      <alignment horizontal="center"/>
    </xf>
    <xf numFmtId="0" fontId="39" fillId="12" borderId="8" xfId="0" applyFont="1" applyFill="1" applyBorder="1"/>
    <xf numFmtId="165" fontId="5" fillId="12" borderId="0" xfId="0" applyNumberFormat="1" applyFont="1" applyFill="1" applyBorder="1" applyAlignment="1">
      <alignment horizontal="center"/>
    </xf>
    <xf numFmtId="0" fontId="5" fillId="12" borderId="0" xfId="0" applyFont="1" applyFill="1" applyBorder="1" applyAlignment="1">
      <alignment horizontal="center"/>
    </xf>
    <xf numFmtId="165" fontId="5" fillId="13" borderId="0" xfId="0" applyNumberFormat="1" applyFont="1" applyFill="1" applyBorder="1" applyAlignment="1">
      <alignment horizontal="center"/>
    </xf>
    <xf numFmtId="0" fontId="8" fillId="13" borderId="0" xfId="0" applyFont="1" applyFill="1" applyBorder="1" applyAlignment="1"/>
    <xf numFmtId="0" fontId="49" fillId="14" borderId="8" xfId="0" applyFont="1" applyFill="1" applyBorder="1"/>
    <xf numFmtId="165" fontId="50" fillId="14" borderId="0" xfId="0" applyNumberFormat="1" applyFont="1" applyFill="1" applyBorder="1" applyAlignment="1">
      <alignment horizontal="center"/>
    </xf>
    <xf numFmtId="0" fontId="51" fillId="15" borderId="8" xfId="0" applyFont="1" applyFill="1" applyBorder="1"/>
    <xf numFmtId="165" fontId="50" fillId="15" borderId="0" xfId="0" applyNumberFormat="1" applyFont="1" applyFill="1" applyBorder="1" applyAlignment="1">
      <alignment horizontal="center"/>
    </xf>
    <xf numFmtId="0" fontId="51" fillId="16" borderId="8" xfId="0" applyFont="1" applyFill="1" applyBorder="1"/>
    <xf numFmtId="2" fontId="50" fillId="16" borderId="0" xfId="0" applyNumberFormat="1" applyFont="1" applyFill="1" applyBorder="1" applyAlignment="1">
      <alignment horizontal="center"/>
    </xf>
    <xf numFmtId="0" fontId="8" fillId="13" borderId="8" xfId="0" applyFont="1" applyFill="1" applyBorder="1"/>
    <xf numFmtId="3" fontId="5" fillId="12" borderId="0" xfId="0" applyNumberFormat="1" applyFont="1" applyFill="1" applyBorder="1" applyAlignment="1">
      <alignment horizontal="center"/>
    </xf>
    <xf numFmtId="2" fontId="5" fillId="13" borderId="0" xfId="0" applyNumberFormat="1" applyFont="1" applyFill="1" applyBorder="1" applyAlignment="1">
      <alignment horizontal="center"/>
    </xf>
    <xf numFmtId="3" fontId="5" fillId="13" borderId="0" xfId="0" applyNumberFormat="1" applyFont="1" applyFill="1" applyBorder="1" applyAlignment="1">
      <alignment horizontal="center"/>
    </xf>
    <xf numFmtId="165" fontId="5" fillId="13" borderId="0" xfId="0" applyNumberFormat="1" applyFont="1" applyFill="1" applyBorder="1" applyAlignment="1">
      <alignment horizontal="center" vertical="center"/>
    </xf>
    <xf numFmtId="0" fontId="5" fillId="13" borderId="0" xfId="0" applyFont="1" applyFill="1" applyBorder="1"/>
    <xf numFmtId="0" fontId="8" fillId="13" borderId="9" xfId="0" applyFont="1" applyFill="1" applyBorder="1" applyAlignment="1"/>
    <xf numFmtId="0" fontId="5" fillId="13" borderId="9" xfId="0" applyFont="1" applyFill="1" applyBorder="1"/>
    <xf numFmtId="0" fontId="14" fillId="8" borderId="0" xfId="0" applyFont="1" applyFill="1"/>
    <xf numFmtId="0" fontId="8" fillId="11" borderId="6" xfId="0" applyFont="1" applyFill="1" applyBorder="1" applyAlignment="1"/>
    <xf numFmtId="0" fontId="0" fillId="9" borderId="8" xfId="0" applyFill="1" applyBorder="1"/>
    <xf numFmtId="0" fontId="25" fillId="9" borderId="11" xfId="8" applyFont="1" applyFill="1" applyBorder="1"/>
    <xf numFmtId="49" fontId="25" fillId="0" borderId="6" xfId="8" applyNumberFormat="1" applyFont="1" applyFill="1" applyBorder="1" applyAlignment="1">
      <alignment horizontal="left" vertical="center" indent="1"/>
    </xf>
    <xf numFmtId="49" fontId="25" fillId="0" borderId="9" xfId="8" applyNumberFormat="1" applyFont="1" applyFill="1" applyBorder="1" applyAlignment="1">
      <alignment horizontal="left" vertical="center" indent="1"/>
    </xf>
    <xf numFmtId="49" fontId="26" fillId="0" borderId="9" xfId="8" applyNumberFormat="1" applyFont="1" applyFill="1" applyBorder="1" applyAlignment="1">
      <alignment horizontal="left" vertical="center" indent="1"/>
    </xf>
    <xf numFmtId="49" fontId="25" fillId="0" borderId="13" xfId="8" applyNumberFormat="1" applyFont="1" applyFill="1" applyBorder="1" applyAlignment="1">
      <alignment horizontal="left" vertical="center" indent="1"/>
    </xf>
    <xf numFmtId="171" fontId="25" fillId="0" borderId="6" xfId="9" applyNumberFormat="1" applyFont="1" applyFill="1" applyBorder="1" applyAlignment="1">
      <alignment horizontal="right" vertical="center"/>
    </xf>
    <xf numFmtId="171" fontId="25" fillId="0" borderId="9" xfId="9" applyNumberFormat="1" applyFont="1" applyFill="1" applyBorder="1" applyAlignment="1">
      <alignment horizontal="right" vertical="center"/>
    </xf>
    <xf numFmtId="171" fontId="26" fillId="0" borderId="9" xfId="9" applyNumberFormat="1" applyFont="1" applyFill="1" applyBorder="1" applyAlignment="1">
      <alignment horizontal="right" vertical="center"/>
    </xf>
    <xf numFmtId="168" fontId="25" fillId="0" borderId="16" xfId="10" applyNumberFormat="1" applyFont="1" applyBorder="1"/>
    <xf numFmtId="168" fontId="25" fillId="0" borderId="17" xfId="10" applyNumberFormat="1" applyFont="1" applyBorder="1"/>
    <xf numFmtId="172" fontId="14" fillId="0" borderId="15" xfId="8" applyNumberFormat="1" applyFont="1" applyFill="1" applyBorder="1" applyAlignment="1">
      <alignment horizontal="right" vertical="center"/>
    </xf>
    <xf numFmtId="166" fontId="4" fillId="9" borderId="11" xfId="10" applyNumberFormat="1" applyFont="1" applyFill="1" applyBorder="1" applyAlignment="1">
      <alignment horizontal="center" vertical="center"/>
    </xf>
    <xf numFmtId="0" fontId="6" fillId="8" borderId="0" xfId="0" applyFont="1" applyFill="1" applyBorder="1"/>
    <xf numFmtId="2" fontId="6" fillId="0" borderId="11" xfId="0" applyNumberFormat="1" applyFont="1" applyBorder="1" applyAlignment="1">
      <alignment horizontal="center"/>
    </xf>
    <xf numFmtId="0" fontId="4" fillId="9" borderId="12" xfId="0" applyFont="1" applyFill="1" applyBorder="1" applyAlignment="1">
      <alignment vertical="center"/>
    </xf>
    <xf numFmtId="166" fontId="4" fillId="9" borderId="13" xfId="0" applyNumberFormat="1" applyFont="1" applyFill="1" applyBorder="1" applyAlignment="1">
      <alignment horizontal="center" vertical="center"/>
    </xf>
    <xf numFmtId="0" fontId="0" fillId="9" borderId="0" xfId="0" applyFill="1"/>
    <xf numFmtId="0" fontId="0" fillId="9" borderId="1" xfId="0" applyFill="1" applyBorder="1"/>
    <xf numFmtId="0" fontId="6" fillId="9" borderId="0" xfId="0" applyFont="1" applyFill="1"/>
    <xf numFmtId="0" fontId="0" fillId="18" borderId="18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0" fillId="18" borderId="22" xfId="0" applyFill="1" applyBorder="1" applyAlignment="1">
      <alignment horizontal="center" vertical="center" wrapText="1"/>
    </xf>
    <xf numFmtId="0" fontId="0" fillId="18" borderId="23" xfId="0" applyFill="1" applyBorder="1" applyAlignment="1">
      <alignment horizontal="center" vertical="center" wrapText="1"/>
    </xf>
    <xf numFmtId="0" fontId="6" fillId="18" borderId="23" xfId="0" applyFont="1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 vertical="center" wrapText="1"/>
    </xf>
    <xf numFmtId="0" fontId="0" fillId="18" borderId="3" xfId="0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10" xfId="0" applyFont="1" applyFill="1" applyBorder="1" applyAlignment="1">
      <alignment horizontal="center" vertical="center" wrapText="1"/>
    </xf>
    <xf numFmtId="0" fontId="6" fillId="18" borderId="24" xfId="0" applyFont="1" applyFill="1" applyBorder="1" applyAlignment="1">
      <alignment horizontal="center" vertical="center" wrapText="1"/>
    </xf>
    <xf numFmtId="0" fontId="0" fillId="18" borderId="25" xfId="0" applyFill="1" applyBorder="1" applyAlignment="1">
      <alignment horizontal="center" vertical="center" wrapText="1"/>
    </xf>
    <xf numFmtId="0" fontId="6" fillId="18" borderId="17" xfId="0" applyFont="1" applyFill="1" applyBorder="1" applyAlignment="1">
      <alignment horizontal="center" vertical="center" wrapText="1"/>
    </xf>
    <xf numFmtId="0" fontId="6" fillId="18" borderId="25" xfId="0" applyFont="1" applyFill="1" applyBorder="1" applyAlignment="1">
      <alignment horizontal="center" vertical="center" wrapText="1"/>
    </xf>
    <xf numFmtId="49" fontId="25" fillId="9" borderId="0" xfId="8" applyNumberFormat="1" applyFont="1" applyFill="1" applyBorder="1" applyAlignment="1">
      <alignment horizontal="left" vertical="center" indent="1"/>
    </xf>
    <xf numFmtId="171" fontId="25" fillId="9" borderId="0" xfId="9" applyNumberFormat="1" applyFont="1" applyFill="1" applyBorder="1" applyAlignment="1">
      <alignment horizontal="right" vertical="center"/>
    </xf>
    <xf numFmtId="2" fontId="0" fillId="9" borderId="0" xfId="0" applyNumberFormat="1" applyFill="1" applyBorder="1"/>
    <xf numFmtId="49" fontId="27" fillId="9" borderId="0" xfId="8" applyNumberFormat="1" applyFont="1" applyFill="1" applyBorder="1" applyAlignment="1">
      <alignment horizontal="left" vertical="center" indent="1"/>
    </xf>
    <xf numFmtId="172" fontId="27" fillId="9" borderId="0" xfId="8" applyNumberFormat="1" applyFont="1" applyFill="1" applyBorder="1" applyAlignment="1">
      <alignment vertical="center"/>
    </xf>
    <xf numFmtId="0" fontId="4" fillId="9" borderId="0" xfId="0" applyFont="1" applyFill="1"/>
    <xf numFmtId="0" fontId="5" fillId="7" borderId="9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168" fontId="8" fillId="7" borderId="17" xfId="10" applyNumberFormat="1" applyFont="1" applyFill="1" applyBorder="1"/>
    <xf numFmtId="168" fontId="8" fillId="7" borderId="29" xfId="10" applyNumberFormat="1" applyFont="1" applyFill="1" applyBorder="1"/>
    <xf numFmtId="166" fontId="8" fillId="7" borderId="0" xfId="10" applyNumberFormat="1" applyFont="1" applyFill="1" applyBorder="1"/>
    <xf numFmtId="0" fontId="8" fillId="7" borderId="24" xfId="0" applyFont="1" applyFill="1" applyBorder="1" applyAlignment="1">
      <alignment horizontal="center"/>
    </xf>
    <xf numFmtId="168" fontId="8" fillId="7" borderId="25" xfId="10" applyNumberFormat="1" applyFont="1" applyFill="1" applyBorder="1"/>
    <xf numFmtId="0" fontId="8" fillId="13" borderId="24" xfId="0" applyFont="1" applyFill="1" applyBorder="1" applyAlignment="1">
      <alignment horizontal="center"/>
    </xf>
    <xf numFmtId="168" fontId="8" fillId="13" borderId="25" xfId="10" applyNumberFormat="1" applyFont="1" applyFill="1" applyBorder="1"/>
    <xf numFmtId="16" fontId="16" fillId="9" borderId="17" xfId="0" quotePrefix="1" applyNumberFormat="1" applyFont="1" applyFill="1" applyBorder="1" applyAlignment="1">
      <alignment horizontal="center"/>
    </xf>
    <xf numFmtId="166" fontId="8" fillId="7" borderId="9" xfId="10" applyNumberFormat="1" applyFont="1" applyFill="1" applyBorder="1"/>
    <xf numFmtId="166" fontId="8" fillId="7" borderId="24" xfId="10" applyNumberFormat="1" applyFont="1" applyFill="1" applyBorder="1"/>
    <xf numFmtId="166" fontId="5" fillId="7" borderId="9" xfId="10" applyNumberFormat="1" applyFont="1" applyFill="1" applyBorder="1"/>
    <xf numFmtId="166" fontId="5" fillId="7" borderId="24" xfId="10" applyNumberFormat="1" applyFont="1" applyFill="1" applyBorder="1"/>
    <xf numFmtId="166" fontId="8" fillId="13" borderId="2" xfId="10" applyNumberFormat="1" applyFont="1" applyFill="1" applyBorder="1"/>
    <xf numFmtId="166" fontId="5" fillId="7" borderId="8" xfId="10" applyNumberFormat="1" applyFont="1" applyFill="1" applyBorder="1"/>
    <xf numFmtId="166" fontId="8" fillId="13" borderId="19" xfId="10" applyNumberFormat="1" applyFont="1" applyFill="1" applyBorder="1"/>
    <xf numFmtId="166" fontId="5" fillId="7" borderId="0" xfId="10" applyNumberFormat="1" applyFont="1" applyFill="1" applyBorder="1"/>
    <xf numFmtId="168" fontId="5" fillId="7" borderId="17" xfId="10" applyNumberFormat="1" applyFont="1" applyFill="1" applyBorder="1"/>
    <xf numFmtId="168" fontId="8" fillId="13" borderId="18" xfId="10" applyNumberFormat="1" applyFont="1" applyFill="1" applyBorder="1"/>
    <xf numFmtId="169" fontId="41" fillId="9" borderId="11" xfId="0" applyNumberFormat="1" applyFont="1" applyFill="1" applyBorder="1" applyAlignment="1">
      <alignment horizontal="left"/>
    </xf>
    <xf numFmtId="0" fontId="16" fillId="9" borderId="7" xfId="0" applyFont="1" applyFill="1" applyBorder="1"/>
    <xf numFmtId="164" fontId="15" fillId="9" borderId="13" xfId="10" applyFont="1" applyFill="1" applyBorder="1" applyAlignment="1">
      <alignment vertical="center"/>
    </xf>
    <xf numFmtId="164" fontId="6" fillId="0" borderId="0" xfId="10" applyFont="1" applyFill="1" applyBorder="1" applyAlignment="1">
      <alignment horizontal="center"/>
    </xf>
    <xf numFmtId="164" fontId="0" fillId="0" borderId="0" xfId="10" applyFont="1"/>
    <xf numFmtId="164" fontId="0" fillId="0" borderId="11" xfId="10" applyFont="1" applyBorder="1"/>
    <xf numFmtId="1" fontId="9" fillId="19" borderId="3" xfId="0" applyNumberFormat="1" applyFont="1" applyFill="1" applyBorder="1" applyAlignment="1">
      <alignment horizontal="center" vertical="center"/>
    </xf>
    <xf numFmtId="168" fontId="6" fillId="0" borderId="13" xfId="10" applyNumberFormat="1" applyFont="1" applyBorder="1" applyAlignment="1">
      <alignment horizontal="left" vertical="center"/>
    </xf>
    <xf numFmtId="0" fontId="6" fillId="3" borderId="24" xfId="0" applyFont="1" applyFill="1" applyBorder="1" applyAlignment="1">
      <alignment horizontal="center"/>
    </xf>
    <xf numFmtId="2" fontId="9" fillId="19" borderId="26" xfId="0" applyNumberFormat="1" applyFont="1" applyFill="1" applyBorder="1" applyAlignment="1">
      <alignment horizontal="center" vertical="center"/>
    </xf>
    <xf numFmtId="0" fontId="9" fillId="19" borderId="28" xfId="0" applyFont="1" applyFill="1" applyBorder="1" applyAlignment="1">
      <alignment horizontal="center" vertical="center"/>
    </xf>
    <xf numFmtId="168" fontId="6" fillId="0" borderId="27" xfId="10" applyNumberFormat="1" applyFont="1" applyBorder="1" applyAlignment="1">
      <alignment horizontal="left" vertical="center"/>
    </xf>
    <xf numFmtId="168" fontId="9" fillId="4" borderId="3" xfId="10" applyNumberFormat="1" applyFont="1" applyFill="1" applyBorder="1" applyAlignment="1">
      <alignment horizontal="right" vertical="center"/>
    </xf>
    <xf numFmtId="1" fontId="9" fillId="4" borderId="3" xfId="0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3" fillId="0" borderId="0" xfId="0" applyFont="1"/>
    <xf numFmtId="2" fontId="9" fillId="4" borderId="3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top" wrapText="1"/>
    </xf>
    <xf numFmtId="3" fontId="9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Border="1"/>
    <xf numFmtId="3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3" fontId="9" fillId="4" borderId="10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3" fontId="9" fillId="4" borderId="13" xfId="0" applyNumberFormat="1" applyFont="1" applyFill="1" applyBorder="1" applyAlignment="1">
      <alignment horizontal="center"/>
    </xf>
    <xf numFmtId="3" fontId="9" fillId="4" borderId="15" xfId="0" applyNumberFormat="1" applyFont="1" applyFill="1" applyBorder="1" applyAlignment="1">
      <alignment horizontal="center"/>
    </xf>
    <xf numFmtId="2" fontId="9" fillId="4" borderId="15" xfId="0" applyNumberFormat="1" applyFont="1" applyFill="1" applyBorder="1" applyAlignment="1">
      <alignment horizontal="center"/>
    </xf>
    <xf numFmtId="1" fontId="9" fillId="4" borderId="15" xfId="0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168" fontId="9" fillId="2" borderId="10" xfId="10" applyNumberFormat="1" applyFont="1" applyFill="1" applyBorder="1"/>
    <xf numFmtId="168" fontId="9" fillId="2" borderId="3" xfId="10" applyNumberFormat="1" applyFont="1" applyFill="1" applyBorder="1"/>
    <xf numFmtId="168" fontId="9" fillId="2" borderId="3" xfId="10" quotePrefix="1" applyNumberFormat="1" applyFont="1" applyFill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168" fontId="9" fillId="4" borderId="10" xfId="10" applyNumberFormat="1" applyFont="1" applyFill="1" applyBorder="1" applyAlignment="1">
      <alignment horizontal="right" vertical="center"/>
    </xf>
    <xf numFmtId="168" fontId="9" fillId="4" borderId="3" xfId="10" quotePrefix="1" applyNumberFormat="1" applyFont="1" applyFill="1" applyBorder="1" applyAlignment="1">
      <alignment horizontal="right"/>
    </xf>
    <xf numFmtId="0" fontId="9" fillId="2" borderId="10" xfId="0" applyFont="1" applyFill="1" applyBorder="1"/>
    <xf numFmtId="3" fontId="9" fillId="0" borderId="0" xfId="0" applyNumberFormat="1" applyFont="1" applyFill="1" applyBorder="1" applyAlignment="1">
      <alignment horizontal="center"/>
    </xf>
    <xf numFmtId="0" fontId="19" fillId="9" borderId="5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 vertical="center"/>
    </xf>
    <xf numFmtId="164" fontId="16" fillId="9" borderId="13" xfId="1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vertical="center"/>
    </xf>
    <xf numFmtId="0" fontId="15" fillId="9" borderId="12" xfId="0" applyFont="1" applyFill="1" applyBorder="1" applyAlignment="1">
      <alignment vertical="center"/>
    </xf>
    <xf numFmtId="164" fontId="16" fillId="9" borderId="13" xfId="10" applyFont="1" applyFill="1" applyBorder="1" applyAlignment="1">
      <alignment vertical="center"/>
    </xf>
    <xf numFmtId="164" fontId="16" fillId="9" borderId="11" xfId="10" applyFont="1" applyFill="1" applyBorder="1" applyAlignment="1">
      <alignment horizontal="center" vertical="center"/>
    </xf>
    <xf numFmtId="0" fontId="5" fillId="7" borderId="0" xfId="0" applyFont="1" applyFill="1" applyBorder="1"/>
    <xf numFmtId="166" fontId="5" fillId="7" borderId="17" xfId="10" applyNumberFormat="1" applyFont="1" applyFill="1" applyBorder="1"/>
    <xf numFmtId="0" fontId="5" fillId="7" borderId="9" xfId="0" applyFont="1" applyFill="1" applyBorder="1"/>
    <xf numFmtId="166" fontId="5" fillId="7" borderId="17" xfId="10" applyNumberFormat="1" applyFont="1" applyFill="1" applyBorder="1" applyAlignment="1">
      <alignment horizontal="center"/>
    </xf>
    <xf numFmtId="0" fontId="5" fillId="7" borderId="24" xfId="0" applyFont="1" applyFill="1" applyBorder="1"/>
    <xf numFmtId="166" fontId="5" fillId="7" borderId="25" xfId="10" applyNumberFormat="1" applyFont="1" applyFill="1" applyBorder="1"/>
    <xf numFmtId="168" fontId="5" fillId="7" borderId="9" xfId="10" applyNumberFormat="1" applyFont="1" applyFill="1" applyBorder="1"/>
    <xf numFmtId="168" fontId="5" fillId="7" borderId="0" xfId="10" applyNumberFormat="1" applyFont="1" applyFill="1" applyBorder="1"/>
    <xf numFmtId="0" fontId="5" fillId="9" borderId="0" xfId="0" applyFont="1" applyFill="1" applyBorder="1" applyAlignment="1">
      <alignment horizontal="center"/>
    </xf>
    <xf numFmtId="168" fontId="5" fillId="9" borderId="0" xfId="10" applyNumberFormat="1" applyFont="1" applyFill="1" applyBorder="1"/>
    <xf numFmtId="169" fontId="42" fillId="9" borderId="11" xfId="0" applyNumberFormat="1" applyFont="1" applyFill="1" applyBorder="1" applyAlignment="1">
      <alignment horizontal="left"/>
    </xf>
    <xf numFmtId="0" fontId="10" fillId="8" borderId="0" xfId="0" applyFont="1" applyFill="1" applyBorder="1"/>
    <xf numFmtId="0" fontId="0" fillId="20" borderId="0" xfId="0" applyFill="1"/>
    <xf numFmtId="0" fontId="0" fillId="9" borderId="5" xfId="0" applyFill="1" applyBorder="1"/>
    <xf numFmtId="0" fontId="0" fillId="9" borderId="6" xfId="0" applyFill="1" applyBorder="1"/>
    <xf numFmtId="0" fontId="4" fillId="9" borderId="11" xfId="0" applyFont="1" applyFill="1" applyBorder="1"/>
    <xf numFmtId="0" fontId="4" fillId="9" borderId="8" xfId="0" applyFont="1" applyFill="1" applyBorder="1"/>
    <xf numFmtId="0" fontId="4" fillId="9" borderId="12" xfId="0" applyFont="1" applyFill="1" applyBorder="1"/>
    <xf numFmtId="0" fontId="10" fillId="9" borderId="0" xfId="0" applyFont="1" applyFill="1" applyBorder="1"/>
    <xf numFmtId="164" fontId="16" fillId="9" borderId="6" xfId="10" applyFont="1" applyFill="1" applyBorder="1" applyAlignment="1">
      <alignment vertical="center"/>
    </xf>
    <xf numFmtId="0" fontId="16" fillId="9" borderId="7" xfId="0" applyFont="1" applyFill="1" applyBorder="1" applyAlignment="1">
      <alignment horizontal="left" vertical="center"/>
    </xf>
    <xf numFmtId="49" fontId="20" fillId="9" borderId="0" xfId="7" applyNumberFormat="1" applyFont="1" applyFill="1" applyBorder="1" applyAlignment="1">
      <alignment horizontal="center" vertical="center" wrapText="1"/>
    </xf>
    <xf numFmtId="164" fontId="16" fillId="9" borderId="17" xfId="10" applyNumberFormat="1" applyFont="1" applyFill="1" applyBorder="1" applyAlignment="1">
      <alignment horizontal="right"/>
    </xf>
    <xf numFmtId="168" fontId="6" fillId="9" borderId="11" xfId="10" applyNumberFormat="1" applyFont="1" applyFill="1" applyBorder="1"/>
    <xf numFmtId="0" fontId="9" fillId="4" borderId="13" xfId="5" applyFont="1" applyFill="1" applyBorder="1" applyAlignment="1">
      <alignment horizontal="center" vertical="center"/>
    </xf>
    <xf numFmtId="0" fontId="9" fillId="4" borderId="3" xfId="5" applyFont="1" applyFill="1" applyBorder="1" applyAlignment="1">
      <alignment horizontal="center" vertical="center"/>
    </xf>
    <xf numFmtId="0" fontId="9" fillId="4" borderId="10" xfId="5" applyFont="1" applyFill="1" applyBorder="1" applyAlignment="1">
      <alignment horizontal="center"/>
    </xf>
    <xf numFmtId="0" fontId="13" fillId="9" borderId="0" xfId="0" applyFont="1" applyFill="1" applyBorder="1" applyAlignment="1">
      <alignment horizontal="center"/>
    </xf>
    <xf numFmtId="2" fontId="9" fillId="17" borderId="14" xfId="0" applyNumberFormat="1" applyFont="1" applyFill="1" applyBorder="1" applyAlignment="1">
      <alignment horizontal="center"/>
    </xf>
    <xf numFmtId="2" fontId="9" fillId="17" borderId="10" xfId="0" applyNumberFormat="1" applyFont="1" applyFill="1" applyBorder="1" applyAlignment="1">
      <alignment horizontal="center"/>
    </xf>
    <xf numFmtId="2" fontId="13" fillId="9" borderId="0" xfId="0" applyNumberFormat="1" applyFont="1" applyFill="1" applyAlignment="1">
      <alignment horizontal="right"/>
    </xf>
    <xf numFmtId="2" fontId="13" fillId="9" borderId="0" xfId="0" applyNumberFormat="1" applyFont="1" applyFill="1" applyAlignment="1">
      <alignment horizontal="center"/>
    </xf>
    <xf numFmtId="2" fontId="13" fillId="9" borderId="11" xfId="0" applyNumberFormat="1" applyFont="1" applyFill="1" applyBorder="1" applyAlignment="1">
      <alignment horizontal="right"/>
    </xf>
    <xf numFmtId="2" fontId="13" fillId="9" borderId="11" xfId="0" applyNumberFormat="1" applyFont="1" applyFill="1" applyBorder="1" applyAlignment="1">
      <alignment horizontal="center"/>
    </xf>
    <xf numFmtId="0" fontId="9" fillId="12" borderId="0" xfId="0" applyFont="1" applyFill="1" applyBorder="1" applyAlignment="1"/>
    <xf numFmtId="0" fontId="9" fillId="12" borderId="9" xfId="0" applyFont="1" applyFill="1" applyBorder="1" applyAlignment="1"/>
    <xf numFmtId="0" fontId="13" fillId="9" borderId="11" xfId="2" applyFont="1" applyFill="1" applyBorder="1" applyAlignment="1" applyProtection="1">
      <alignment horizontal="left" vertical="center"/>
    </xf>
    <xf numFmtId="0" fontId="6" fillId="9" borderId="1" xfId="0" applyFont="1" applyFill="1" applyBorder="1"/>
    <xf numFmtId="0" fontId="9" fillId="17" borderId="2" xfId="0" applyFont="1" applyFill="1" applyBorder="1" applyAlignment="1">
      <alignment horizontal="center" vertical="center" wrapText="1"/>
    </xf>
    <xf numFmtId="0" fontId="13" fillId="9" borderId="0" xfId="0" applyFont="1" applyFill="1"/>
    <xf numFmtId="1" fontId="9" fillId="3" borderId="3" xfId="0" applyNumberFormat="1" applyFont="1" applyFill="1" applyBorder="1" applyAlignment="1">
      <alignment horizontal="center" vertical="center"/>
    </xf>
    <xf numFmtId="3" fontId="9" fillId="3" borderId="26" xfId="0" applyNumberFormat="1" applyFont="1" applyFill="1" applyBorder="1" applyAlignment="1">
      <alignment horizontal="center" vertical="center"/>
    </xf>
    <xf numFmtId="3" fontId="9" fillId="3" borderId="28" xfId="0" applyNumberFormat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164" fontId="6" fillId="18" borderId="23" xfId="10" applyFont="1" applyFill="1" applyBorder="1" applyAlignment="1">
      <alignment horizontal="center" vertical="center" wrapText="1"/>
    </xf>
    <xf numFmtId="164" fontId="6" fillId="18" borderId="21" xfId="10" applyNumberFormat="1" applyFont="1" applyFill="1" applyBorder="1" applyAlignment="1">
      <alignment horizontal="center" vertical="center" wrapText="1"/>
    </xf>
    <xf numFmtId="164" fontId="6" fillId="18" borderId="3" xfId="10" applyFont="1" applyFill="1" applyBorder="1" applyAlignment="1">
      <alignment horizontal="center" vertical="center" wrapText="1"/>
    </xf>
    <xf numFmtId="164" fontId="6" fillId="18" borderId="14" xfId="10" applyNumberFormat="1" applyFont="1" applyFill="1" applyBorder="1" applyAlignment="1">
      <alignment horizontal="center" vertical="center" wrapText="1"/>
    </xf>
    <xf numFmtId="164" fontId="6" fillId="18" borderId="25" xfId="10" applyFont="1" applyFill="1" applyBorder="1" applyAlignment="1">
      <alignment horizontal="center" vertical="center" wrapText="1"/>
    </xf>
    <xf numFmtId="164" fontId="6" fillId="18" borderId="1" xfId="10" applyNumberFormat="1" applyFont="1" applyFill="1" applyBorder="1" applyAlignment="1">
      <alignment horizontal="center" vertical="center" wrapText="1"/>
    </xf>
    <xf numFmtId="168" fontId="20" fillId="0" borderId="17" xfId="10" applyNumberFormat="1" applyFont="1" applyBorder="1"/>
    <xf numFmtId="172" fontId="14" fillId="0" borderId="17" xfId="8" applyNumberFormat="1" applyFont="1" applyFill="1" applyBorder="1" applyAlignment="1">
      <alignment horizontal="right" vertical="center"/>
    </xf>
    <xf numFmtId="171" fontId="25" fillId="0" borderId="13" xfId="9" applyNumberFormat="1" applyFont="1" applyFill="1" applyBorder="1" applyAlignment="1">
      <alignment horizontal="right" vertical="center"/>
    </xf>
    <xf numFmtId="164" fontId="15" fillId="9" borderId="17" xfId="10" applyFont="1" applyFill="1" applyBorder="1"/>
    <xf numFmtId="168" fontId="9" fillId="4" borderId="18" xfId="10" applyNumberFormat="1" applyFont="1" applyFill="1" applyBorder="1" applyAlignment="1">
      <alignment horizontal="center" vertical="center"/>
    </xf>
    <xf numFmtId="168" fontId="8" fillId="7" borderId="0" xfId="10" applyNumberFormat="1" applyFont="1" applyFill="1" applyBorder="1"/>
    <xf numFmtId="168" fontId="8" fillId="7" borderId="1" xfId="10" applyNumberFormat="1" applyFont="1" applyFill="1" applyBorder="1"/>
    <xf numFmtId="168" fontId="8" fillId="13" borderId="31" xfId="10" applyNumberFormat="1" applyFont="1" applyFill="1" applyBorder="1"/>
    <xf numFmtId="168" fontId="8" fillId="7" borderId="30" xfId="10" applyNumberFormat="1" applyFont="1" applyFill="1" applyBorder="1"/>
    <xf numFmtId="168" fontId="8" fillId="7" borderId="9" xfId="10" applyNumberFormat="1" applyFont="1" applyFill="1" applyBorder="1"/>
    <xf numFmtId="168" fontId="8" fillId="7" borderId="24" xfId="10" applyNumberFormat="1" applyFont="1" applyFill="1" applyBorder="1"/>
    <xf numFmtId="168" fontId="8" fillId="13" borderId="24" xfId="10" applyNumberFormat="1" applyFont="1" applyFill="1" applyBorder="1"/>
    <xf numFmtId="166" fontId="8" fillId="7" borderId="34" xfId="10" applyNumberFormat="1" applyFont="1" applyFill="1" applyBorder="1"/>
    <xf numFmtId="166" fontId="8" fillId="7" borderId="8" xfId="10" applyNumberFormat="1" applyFont="1" applyFill="1" applyBorder="1"/>
    <xf numFmtId="166" fontId="8" fillId="7" borderId="31" xfId="10" applyNumberFormat="1" applyFont="1" applyFill="1" applyBorder="1"/>
    <xf numFmtId="168" fontId="9" fillId="13" borderId="2" xfId="10" applyNumberFormat="1" applyFont="1" applyFill="1" applyBorder="1"/>
    <xf numFmtId="166" fontId="9" fillId="13" borderId="25" xfId="10" applyNumberFormat="1" applyFont="1" applyFill="1" applyBorder="1"/>
    <xf numFmtId="168" fontId="9" fillId="13" borderId="20" xfId="10" applyNumberFormat="1" applyFont="1" applyFill="1" applyBorder="1"/>
    <xf numFmtId="0" fontId="9" fillId="13" borderId="2" xfId="0" applyFont="1" applyFill="1" applyBorder="1" applyAlignment="1">
      <alignment vertical="center"/>
    </xf>
    <xf numFmtId="166" fontId="9" fillId="13" borderId="18" xfId="10" applyNumberFormat="1" applyFont="1" applyFill="1" applyBorder="1" applyAlignment="1">
      <alignment horizontal="center" vertical="center"/>
    </xf>
    <xf numFmtId="166" fontId="9" fillId="13" borderId="18" xfId="0" applyNumberFormat="1" applyFont="1" applyFill="1" applyBorder="1" applyAlignment="1">
      <alignment horizontal="center" vertical="center"/>
    </xf>
    <xf numFmtId="166" fontId="9" fillId="13" borderId="2" xfId="10" applyNumberFormat="1" applyFont="1" applyFill="1" applyBorder="1" applyAlignment="1">
      <alignment horizontal="center" vertical="center"/>
    </xf>
    <xf numFmtId="168" fontId="9" fillId="13" borderId="25" xfId="10" applyNumberFormat="1" applyFont="1" applyFill="1" applyBorder="1"/>
    <xf numFmtId="0" fontId="9" fillId="0" borderId="7" xfId="0" applyFont="1" applyFill="1" applyBorder="1"/>
    <xf numFmtId="0" fontId="9" fillId="0" borderId="9" xfId="0" applyFont="1" applyFill="1" applyBorder="1"/>
    <xf numFmtId="0" fontId="9" fillId="0" borderId="0" xfId="0" applyFont="1" applyFill="1" applyBorder="1"/>
    <xf numFmtId="0" fontId="9" fillId="4" borderId="10" xfId="0" applyFont="1" applyFill="1" applyBorder="1" applyAlignment="1">
      <alignment horizontal="center" vertical="center"/>
    </xf>
    <xf numFmtId="168" fontId="9" fillId="4" borderId="3" xfId="1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9" fillId="0" borderId="6" xfId="0" applyFont="1" applyFill="1" applyBorder="1"/>
    <xf numFmtId="0" fontId="9" fillId="0" borderId="13" xfId="0" applyFont="1" applyFill="1" applyBorder="1"/>
    <xf numFmtId="0" fontId="9" fillId="4" borderId="1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8" fontId="9" fillId="0" borderId="0" xfId="1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8" fontId="9" fillId="4" borderId="10" xfId="1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8" borderId="0" xfId="0" applyFont="1" applyFill="1" applyAlignment="1">
      <alignment horizontal="right"/>
    </xf>
    <xf numFmtId="169" fontId="41" fillId="21" borderId="0" xfId="0" applyNumberFormat="1" applyFont="1" applyFill="1" applyBorder="1" applyAlignment="1">
      <alignment horizontal="left"/>
    </xf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9" fillId="9" borderId="0" xfId="5" applyFont="1" applyFill="1" applyBorder="1" applyAlignment="1">
      <alignment horizontal="center"/>
    </xf>
    <xf numFmtId="17" fontId="20" fillId="13" borderId="18" xfId="0" applyNumberFormat="1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17" fontId="20" fillId="13" borderId="2" xfId="0" applyNumberFormat="1" applyFont="1" applyFill="1" applyBorder="1" applyAlignment="1">
      <alignment horizontal="center" vertical="center" wrapText="1"/>
    </xf>
    <xf numFmtId="0" fontId="20" fillId="13" borderId="18" xfId="0" applyFont="1" applyFill="1" applyBorder="1" applyAlignment="1">
      <alignment horizontal="center" vertical="center" wrapText="1"/>
    </xf>
    <xf numFmtId="0" fontId="20" fillId="13" borderId="2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 vertical="center" wrapText="1"/>
    </xf>
    <xf numFmtId="0" fontId="19" fillId="9" borderId="16" xfId="0" applyFont="1" applyFill="1" applyBorder="1" applyAlignment="1">
      <alignment horizontal="center"/>
    </xf>
    <xf numFmtId="0" fontId="19" fillId="9" borderId="17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7" fillId="9" borderId="17" xfId="0" applyFont="1" applyFill="1" applyBorder="1"/>
    <xf numFmtId="0" fontId="2" fillId="9" borderId="15" xfId="0" applyFont="1" applyFill="1" applyBorder="1"/>
    <xf numFmtId="0" fontId="9" fillId="9" borderId="17" xfId="0" applyFont="1" applyFill="1" applyBorder="1" applyAlignment="1">
      <alignment horizontal="center"/>
    </xf>
    <xf numFmtId="0" fontId="33" fillId="9" borderId="17" xfId="0" applyFont="1" applyFill="1" applyBorder="1" applyAlignment="1">
      <alignment horizontal="center" vertical="center"/>
    </xf>
    <xf numFmtId="0" fontId="33" fillId="9" borderId="17" xfId="6" applyFont="1" applyFill="1" applyBorder="1" applyAlignment="1">
      <alignment horizontal="center" vertical="center"/>
    </xf>
    <xf numFmtId="0" fontId="6" fillId="9" borderId="17" xfId="4" applyFont="1" applyFill="1" applyBorder="1" applyAlignment="1">
      <alignment horizontal="center"/>
    </xf>
    <xf numFmtId="0" fontId="28" fillId="9" borderId="17" xfId="1" applyFont="1" applyFill="1" applyBorder="1" applyAlignment="1" applyProtection="1">
      <alignment horizontal="center"/>
    </xf>
    <xf numFmtId="0" fontId="10" fillId="9" borderId="8" xfId="0" applyFont="1" applyFill="1" applyBorder="1"/>
    <xf numFmtId="0" fontId="10" fillId="9" borderId="9" xfId="0" applyFont="1" applyFill="1" applyBorder="1"/>
    <xf numFmtId="0" fontId="6" fillId="13" borderId="30" xfId="0" applyFont="1" applyFill="1" applyBorder="1" applyAlignment="1">
      <alignment horizontal="center"/>
    </xf>
    <xf numFmtId="0" fontId="6" fillId="13" borderId="29" xfId="0" applyFont="1" applyFill="1" applyBorder="1" applyAlignment="1">
      <alignment horizontal="center"/>
    </xf>
    <xf numFmtId="0" fontId="6" fillId="13" borderId="24" xfId="0" applyFont="1" applyFill="1" applyBorder="1" applyAlignment="1">
      <alignment horizontal="center"/>
    </xf>
    <xf numFmtId="0" fontId="6" fillId="13" borderId="26" xfId="0" applyFont="1" applyFill="1" applyBorder="1" applyAlignment="1">
      <alignment horizontal="center"/>
    </xf>
    <xf numFmtId="0" fontId="6" fillId="13" borderId="32" xfId="0" applyFont="1" applyFill="1" applyBorder="1" applyAlignment="1">
      <alignment horizontal="center"/>
    </xf>
    <xf numFmtId="0" fontId="6" fillId="13" borderId="25" xfId="0" applyFont="1" applyFill="1" applyBorder="1" applyAlignment="1">
      <alignment horizontal="center"/>
    </xf>
    <xf numFmtId="0" fontId="6" fillId="13" borderId="27" xfId="0" applyFont="1" applyFill="1" applyBorder="1" applyAlignment="1">
      <alignment horizontal="center"/>
    </xf>
    <xf numFmtId="0" fontId="6" fillId="13" borderId="31" xfId="0" applyFont="1" applyFill="1" applyBorder="1" applyAlignment="1">
      <alignment horizontal="center"/>
    </xf>
    <xf numFmtId="0" fontId="19" fillId="9" borderId="8" xfId="0" applyFont="1" applyFill="1" applyBorder="1"/>
    <xf numFmtId="49" fontId="25" fillId="0" borderId="0" xfId="8" applyNumberFormat="1" applyFont="1" applyFill="1" applyBorder="1" applyAlignment="1">
      <alignment horizontal="left" vertical="center" indent="1"/>
    </xf>
    <xf numFmtId="49" fontId="26" fillId="0" borderId="0" xfId="8" applyNumberFormat="1" applyFont="1" applyFill="1" applyBorder="1" applyAlignment="1">
      <alignment horizontal="left" vertical="center" indent="1"/>
    </xf>
    <xf numFmtId="0" fontId="4" fillId="9" borderId="8" xfId="0" applyFont="1" applyFill="1" applyBorder="1" applyAlignment="1">
      <alignment vertical="center"/>
    </xf>
    <xf numFmtId="49" fontId="26" fillId="0" borderId="9" xfId="8" applyNumberFormat="1" applyFont="1" applyFill="1" applyBorder="1" applyAlignment="1">
      <alignment vertical="center"/>
    </xf>
    <xf numFmtId="0" fontId="0" fillId="9" borderId="7" xfId="0" applyFill="1" applyBorder="1"/>
    <xf numFmtId="0" fontId="44" fillId="0" borderId="0" xfId="0" applyFont="1"/>
    <xf numFmtId="1" fontId="44" fillId="0" borderId="0" xfId="0" applyNumberFormat="1" applyFont="1"/>
    <xf numFmtId="0" fontId="44" fillId="0" borderId="0" xfId="0" applyFont="1" applyBorder="1"/>
    <xf numFmtId="1" fontId="44" fillId="0" borderId="0" xfId="0" applyNumberFormat="1" applyFont="1" applyBorder="1"/>
    <xf numFmtId="0" fontId="6" fillId="9" borderId="12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right"/>
    </xf>
    <xf numFmtId="0" fontId="6" fillId="9" borderId="12" xfId="0" applyFont="1" applyFill="1" applyBorder="1" applyAlignment="1">
      <alignment horizontal="right"/>
    </xf>
    <xf numFmtId="0" fontId="6" fillId="9" borderId="11" xfId="0" applyFont="1" applyFill="1" applyBorder="1" applyAlignment="1">
      <alignment horizontal="right"/>
    </xf>
    <xf numFmtId="168" fontId="6" fillId="9" borderId="0" xfId="10" applyNumberFormat="1" applyFont="1" applyFill="1" applyBorder="1" applyAlignment="1">
      <alignment horizontal="right"/>
    </xf>
    <xf numFmtId="168" fontId="6" fillId="9" borderId="11" xfId="10" applyNumberFormat="1" applyFont="1" applyFill="1" applyBorder="1" applyAlignment="1">
      <alignment horizontal="right"/>
    </xf>
    <xf numFmtId="168" fontId="6" fillId="9" borderId="6" xfId="10" applyNumberFormat="1" applyFont="1" applyFill="1" applyBorder="1" applyAlignment="1">
      <alignment horizontal="center"/>
    </xf>
    <xf numFmtId="168" fontId="6" fillId="9" borderId="12" xfId="10" applyNumberFormat="1" applyFont="1" applyFill="1" applyBorder="1" applyAlignment="1">
      <alignment horizontal="right"/>
    </xf>
    <xf numFmtId="168" fontId="6" fillId="9" borderId="13" xfId="10" applyNumberFormat="1" applyFont="1" applyFill="1" applyBorder="1" applyAlignment="1">
      <alignment horizontal="center"/>
    </xf>
    <xf numFmtId="168" fontId="6" fillId="9" borderId="10" xfId="10" applyNumberFormat="1" applyFont="1" applyFill="1" applyBorder="1" applyAlignment="1">
      <alignment horizontal="center"/>
    </xf>
    <xf numFmtId="0" fontId="13" fillId="9" borderId="0" xfId="0" applyFont="1" applyFill="1" applyBorder="1"/>
    <xf numFmtId="0" fontId="5" fillId="20" borderId="0" xfId="0" applyFont="1" applyFill="1"/>
    <xf numFmtId="3" fontId="5" fillId="20" borderId="0" xfId="0" applyNumberFormat="1" applyFont="1" applyFill="1"/>
    <xf numFmtId="0" fontId="6" fillId="20" borderId="0" xfId="0" applyFont="1" applyFill="1"/>
    <xf numFmtId="0" fontId="30" fillId="9" borderId="8" xfId="0" applyFont="1" applyFill="1" applyBorder="1" applyAlignment="1">
      <alignment horizontal="centerContinuous"/>
    </xf>
    <xf numFmtId="0" fontId="5" fillId="9" borderId="0" xfId="0" applyFont="1" applyFill="1" applyBorder="1" applyAlignment="1">
      <alignment horizontal="centerContinuous"/>
    </xf>
    <xf numFmtId="0" fontId="31" fillId="9" borderId="0" xfId="0" applyFont="1" applyFill="1" applyBorder="1" applyAlignment="1">
      <alignment horizontal="centerContinuous"/>
    </xf>
    <xf numFmtId="0" fontId="5" fillId="9" borderId="9" xfId="0" applyFont="1" applyFill="1" applyBorder="1" applyAlignment="1">
      <alignment horizontal="centerContinuous"/>
    </xf>
    <xf numFmtId="0" fontId="6" fillId="9" borderId="16" xfId="0" applyFont="1" applyFill="1" applyBorder="1" applyAlignment="1">
      <alignment horizontal="centerContinuous"/>
    </xf>
    <xf numFmtId="0" fontId="6" fillId="9" borderId="12" xfId="0" applyFont="1" applyFill="1" applyBorder="1" applyAlignment="1">
      <alignment horizontal="centerContinuous"/>
    </xf>
    <xf numFmtId="0" fontId="6" fillId="9" borderId="13" xfId="0" applyFont="1" applyFill="1" applyBorder="1" applyAlignment="1">
      <alignment horizontal="center"/>
    </xf>
    <xf numFmtId="168" fontId="44" fillId="9" borderId="0" xfId="10" applyNumberFormat="1" applyFont="1" applyFill="1" applyBorder="1"/>
    <xf numFmtId="168" fontId="6" fillId="9" borderId="9" xfId="10" applyNumberFormat="1" applyFont="1" applyFill="1" applyBorder="1" applyAlignment="1">
      <alignment horizontal="right"/>
    </xf>
    <xf numFmtId="168" fontId="6" fillId="9" borderId="13" xfId="10" applyNumberFormat="1" applyFont="1" applyFill="1" applyBorder="1" applyAlignment="1">
      <alignment horizontal="right"/>
    </xf>
    <xf numFmtId="0" fontId="6" fillId="9" borderId="3" xfId="0" applyFont="1" applyFill="1" applyBorder="1"/>
    <xf numFmtId="168" fontId="6" fillId="9" borderId="13" xfId="10" applyNumberFormat="1" applyFont="1" applyFill="1" applyBorder="1"/>
    <xf numFmtId="0" fontId="13" fillId="9" borderId="8" xfId="0" applyFont="1" applyFill="1" applyBorder="1"/>
    <xf numFmtId="0" fontId="23" fillId="9" borderId="0" xfId="0" applyFont="1" applyFill="1" applyBorder="1"/>
    <xf numFmtId="3" fontId="6" fillId="9" borderId="0" xfId="0" applyNumberFormat="1" applyFont="1" applyFill="1" applyBorder="1"/>
    <xf numFmtId="0" fontId="23" fillId="9" borderId="8" xfId="0" applyFont="1" applyFill="1" applyBorder="1"/>
    <xf numFmtId="0" fontId="6" fillId="9" borderId="12" xfId="0" applyFont="1" applyFill="1" applyBorder="1"/>
    <xf numFmtId="0" fontId="6" fillId="9" borderId="13" xfId="0" applyFont="1" applyFill="1" applyBorder="1"/>
    <xf numFmtId="168" fontId="6" fillId="9" borderId="9" xfId="10" applyNumberFormat="1" applyFont="1" applyFill="1" applyBorder="1" applyAlignment="1">
      <alignment horizontal="center"/>
    </xf>
    <xf numFmtId="0" fontId="20" fillId="9" borderId="0" xfId="5" applyFont="1" applyFill="1" applyBorder="1"/>
    <xf numFmtId="16" fontId="16" fillId="9" borderId="9" xfId="0" applyNumberFormat="1" applyFont="1" applyFill="1" applyBorder="1" applyAlignment="1">
      <alignment horizontal="center"/>
    </xf>
    <xf numFmtId="168" fontId="6" fillId="0" borderId="15" xfId="10" applyNumberFormat="1" applyFont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8" fontId="9" fillId="17" borderId="18" xfId="10" applyNumberFormat="1" applyFont="1" applyFill="1" applyBorder="1" applyAlignment="1">
      <alignment horizontal="right" vertical="center"/>
    </xf>
    <xf numFmtId="168" fontId="9" fillId="17" borderId="19" xfId="10" applyNumberFormat="1" applyFont="1" applyFill="1" applyBorder="1" applyAlignment="1">
      <alignment horizontal="right" vertical="center"/>
    </xf>
    <xf numFmtId="0" fontId="13" fillId="9" borderId="11" xfId="0" applyFont="1" applyFill="1" applyBorder="1"/>
    <xf numFmtId="49" fontId="27" fillId="9" borderId="11" xfId="8" applyNumberFormat="1" applyFont="1" applyFill="1" applyBorder="1" applyAlignment="1">
      <alignment horizontal="left" vertical="center" indent="1"/>
    </xf>
    <xf numFmtId="171" fontId="25" fillId="9" borderId="11" xfId="9" applyNumberFormat="1" applyFont="1" applyFill="1" applyBorder="1" applyAlignment="1">
      <alignment horizontal="right" vertical="center"/>
    </xf>
    <xf numFmtId="2" fontId="0" fillId="9" borderId="11" xfId="0" applyNumberFormat="1" applyFill="1" applyBorder="1"/>
    <xf numFmtId="175" fontId="9" fillId="0" borderId="4" xfId="10" applyNumberFormat="1" applyFont="1" applyFill="1" applyBorder="1" applyAlignment="1" applyProtection="1">
      <alignment horizontal="center" vertical="center"/>
    </xf>
    <xf numFmtId="175" fontId="9" fillId="0" borderId="12" xfId="10" applyNumberFormat="1" applyFont="1" applyFill="1" applyBorder="1" applyAlignment="1" applyProtection="1">
      <alignment horizontal="center" vertical="center"/>
    </xf>
    <xf numFmtId="0" fontId="4" fillId="8" borderId="0" xfId="0" applyFont="1" applyFill="1"/>
    <xf numFmtId="0" fontId="6" fillId="8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9" fillId="9" borderId="8" xfId="0" applyFont="1" applyFill="1" applyBorder="1" applyAlignment="1">
      <alignment horizontal="center"/>
    </xf>
    <xf numFmtId="0" fontId="40" fillId="9" borderId="8" xfId="4" applyFont="1" applyFill="1" applyBorder="1" applyAlignment="1">
      <alignment horizontal="center" vertical="center"/>
    </xf>
    <xf numFmtId="0" fontId="33" fillId="9" borderId="8" xfId="0" applyFont="1" applyFill="1" applyBorder="1" applyAlignment="1">
      <alignment vertical="center"/>
    </xf>
    <xf numFmtId="49" fontId="6" fillId="9" borderId="8" xfId="0" applyNumberFormat="1" applyFont="1" applyFill="1" applyBorder="1" applyAlignment="1">
      <alignment vertical="center"/>
    </xf>
    <xf numFmtId="0" fontId="6" fillId="9" borderId="8" xfId="4" applyFont="1" applyFill="1" applyBorder="1"/>
    <xf numFmtId="0" fontId="6" fillId="9" borderId="8" xfId="4" applyFont="1" applyFill="1" applyBorder="1" applyAlignment="1">
      <alignment horizontal="center"/>
    </xf>
    <xf numFmtId="0" fontId="40" fillId="9" borderId="0" xfId="4" applyFont="1" applyFill="1" applyBorder="1" applyAlignment="1">
      <alignment horizontal="center" vertical="center"/>
    </xf>
    <xf numFmtId="0" fontId="33" fillId="9" borderId="0" xfId="0" applyFont="1" applyFill="1" applyBorder="1" applyAlignment="1">
      <alignment vertical="center"/>
    </xf>
    <xf numFmtId="0" fontId="6" fillId="9" borderId="12" xfId="4" applyFont="1" applyFill="1" applyBorder="1" applyAlignment="1">
      <alignment horizontal="center"/>
    </xf>
    <xf numFmtId="0" fontId="10" fillId="20" borderId="0" xfId="0" applyFont="1" applyFill="1"/>
    <xf numFmtId="0" fontId="10" fillId="20" borderId="0" xfId="0" applyFont="1" applyFill="1" applyBorder="1"/>
    <xf numFmtId="0" fontId="0" fillId="20" borderId="0" xfId="0" applyFill="1" applyBorder="1"/>
    <xf numFmtId="0" fontId="0" fillId="0" borderId="1" xfId="0" applyBorder="1"/>
    <xf numFmtId="0" fontId="9" fillId="0" borderId="0" xfId="0" applyFont="1"/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67" fontId="9" fillId="0" borderId="18" xfId="10" applyNumberFormat="1" applyFont="1" applyFill="1" applyBorder="1" applyAlignment="1">
      <alignment vertical="center"/>
    </xf>
    <xf numFmtId="167" fontId="32" fillId="0" borderId="18" xfId="10" applyNumberFormat="1" applyFont="1" applyFill="1" applyBorder="1" applyAlignment="1">
      <alignment vertical="center"/>
    </xf>
    <xf numFmtId="167" fontId="9" fillId="0" borderId="18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vertical="center"/>
    </xf>
    <xf numFmtId="176" fontId="9" fillId="0" borderId="19" xfId="0" applyNumberFormat="1" applyFont="1" applyFill="1" applyBorder="1" applyAlignment="1">
      <alignment vertical="center"/>
    </xf>
    <xf numFmtId="0" fontId="9" fillId="0" borderId="2" xfId="0" applyFont="1" applyBorder="1"/>
    <xf numFmtId="167" fontId="9" fillId="0" borderId="18" xfId="0" applyNumberFormat="1" applyFont="1" applyBorder="1"/>
    <xf numFmtId="176" fontId="9" fillId="0" borderId="18" xfId="0" applyNumberFormat="1" applyFont="1" applyBorder="1"/>
    <xf numFmtId="0" fontId="2" fillId="9" borderId="0" xfId="0" applyFont="1" applyFill="1" applyBorder="1"/>
    <xf numFmtId="0" fontId="4" fillId="9" borderId="0" xfId="0" applyFont="1" applyFill="1" applyBorder="1" applyAlignment="1">
      <alignment horizontal="center"/>
    </xf>
    <xf numFmtId="168" fontId="4" fillId="9" borderId="0" xfId="10" applyNumberFormat="1" applyFont="1" applyFill="1" applyBorder="1"/>
    <xf numFmtId="0" fontId="2" fillId="9" borderId="0" xfId="0" applyFont="1" applyFill="1" applyBorder="1" applyAlignment="1">
      <alignment horizontal="center"/>
    </xf>
    <xf numFmtId="166" fontId="4" fillId="9" borderId="0" xfId="1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0" fontId="52" fillId="9" borderId="0" xfId="0" applyFont="1" applyFill="1" applyBorder="1"/>
    <xf numFmtId="177" fontId="52" fillId="9" borderId="0" xfId="0" applyNumberFormat="1" applyFont="1" applyFill="1" applyBorder="1"/>
    <xf numFmtId="0" fontId="11" fillId="9" borderId="0" xfId="0" applyFont="1" applyFill="1" applyBorder="1"/>
    <xf numFmtId="22" fontId="2" fillId="9" borderId="0" xfId="0" applyNumberFormat="1" applyFont="1" applyFill="1" applyBorder="1"/>
    <xf numFmtId="169" fontId="53" fillId="9" borderId="13" xfId="0" applyNumberFormat="1" applyFont="1" applyFill="1" applyBorder="1" applyAlignment="1">
      <alignment horizontal="left"/>
    </xf>
    <xf numFmtId="2" fontId="6" fillId="0" borderId="0" xfId="0" applyNumberFormat="1" applyFont="1" applyAlignment="1">
      <alignment horizontal="center"/>
    </xf>
    <xf numFmtId="175" fontId="6" fillId="0" borderId="12" xfId="10" applyNumberFormat="1" applyFont="1" applyFill="1" applyBorder="1" applyAlignment="1" applyProtection="1">
      <alignment horizontal="center" vertical="center"/>
    </xf>
    <xf numFmtId="173" fontId="6" fillId="0" borderId="15" xfId="10" applyNumberFormat="1" applyFont="1" applyBorder="1" applyAlignment="1">
      <alignment horizontal="right" vertical="center"/>
    </xf>
    <xf numFmtId="173" fontId="6" fillId="0" borderId="0" xfId="10" applyNumberFormat="1" applyFont="1" applyFill="1" applyBorder="1" applyAlignment="1" applyProtection="1">
      <alignment vertical="center"/>
    </xf>
    <xf numFmtId="0" fontId="4" fillId="0" borderId="0" xfId="0" applyFont="1" applyBorder="1"/>
    <xf numFmtId="0" fontId="4" fillId="9" borderId="0" xfId="0" applyFont="1" applyFill="1" applyBorder="1" applyAlignment="1">
      <alignment horizontal="center"/>
    </xf>
    <xf numFmtId="0" fontId="20" fillId="17" borderId="0" xfId="0" applyFont="1" applyFill="1" applyBorder="1" applyAlignment="1">
      <alignment horizontal="centerContinuous"/>
    </xf>
    <xf numFmtId="1" fontId="20" fillId="17" borderId="5" xfId="0" applyNumberFormat="1" applyFont="1" applyFill="1" applyBorder="1" applyAlignment="1">
      <alignment horizontal="center"/>
    </xf>
    <xf numFmtId="1" fontId="20" fillId="17" borderId="7" xfId="0" applyNumberFormat="1" applyFont="1" applyFill="1" applyBorder="1" applyAlignment="1">
      <alignment horizontal="center"/>
    </xf>
    <xf numFmtId="1" fontId="20" fillId="17" borderId="6" xfId="0" applyNumberFormat="1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Continuous"/>
    </xf>
    <xf numFmtId="2" fontId="20" fillId="17" borderId="8" xfId="0" applyNumberFormat="1" applyFont="1" applyFill="1" applyBorder="1" applyAlignment="1">
      <alignment horizontal="centerContinuous"/>
    </xf>
    <xf numFmtId="2" fontId="20" fillId="17" borderId="9" xfId="0" applyNumberFormat="1" applyFont="1" applyFill="1" applyBorder="1" applyAlignment="1">
      <alignment horizontal="centerContinuous"/>
    </xf>
    <xf numFmtId="0" fontId="20" fillId="17" borderId="8" xfId="0" applyFont="1" applyFill="1" applyBorder="1" applyAlignment="1">
      <alignment horizontal="centerContinuous"/>
    </xf>
    <xf numFmtId="0" fontId="20" fillId="17" borderId="9" xfId="0" applyFont="1" applyFill="1" applyBorder="1" applyAlignment="1">
      <alignment horizontal="centerContinuous"/>
    </xf>
    <xf numFmtId="0" fontId="6" fillId="17" borderId="6" xfId="0" applyFont="1" applyFill="1" applyBorder="1" applyAlignment="1">
      <alignment horizontal="left"/>
    </xf>
    <xf numFmtId="0" fontId="6" fillId="17" borderId="9" xfId="0" applyFont="1" applyFill="1" applyBorder="1" applyAlignment="1">
      <alignment horizontal="left"/>
    </xf>
    <xf numFmtId="0" fontId="9" fillId="17" borderId="10" xfId="0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"/>
    </xf>
    <xf numFmtId="0" fontId="54" fillId="0" borderId="0" xfId="0" applyFont="1"/>
    <xf numFmtId="165" fontId="0" fillId="0" borderId="0" xfId="0" applyNumberFormat="1" applyBorder="1"/>
    <xf numFmtId="0" fontId="5" fillId="9" borderId="0" xfId="0" applyFont="1" applyFill="1"/>
    <xf numFmtId="168" fontId="1" fillId="0" borderId="3" xfId="10" applyNumberFormat="1" applyFont="1" applyBorder="1"/>
    <xf numFmtId="168" fontId="26" fillId="0" borderId="17" xfId="1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168" fontId="1" fillId="9" borderId="0" xfId="10" applyNumberFormat="1" applyFont="1" applyFill="1" applyBorder="1"/>
    <xf numFmtId="0" fontId="1" fillId="9" borderId="11" xfId="0" applyFont="1" applyFill="1" applyBorder="1"/>
    <xf numFmtId="168" fontId="1" fillId="9" borderId="21" xfId="10" applyNumberFormat="1" applyFont="1" applyFill="1" applyBorder="1"/>
    <xf numFmtId="168" fontId="1" fillId="9" borderId="11" xfId="10" applyNumberFormat="1" applyFont="1" applyFill="1" applyBorder="1"/>
    <xf numFmtId="0" fontId="19" fillId="0" borderId="0" xfId="0" applyFont="1"/>
    <xf numFmtId="0" fontId="5" fillId="0" borderId="0" xfId="0" quotePrefix="1" applyFont="1"/>
    <xf numFmtId="0" fontId="6" fillId="9" borderId="16" xfId="0" applyFont="1" applyFill="1" applyBorder="1" applyAlignment="1"/>
    <xf numFmtId="0" fontId="1" fillId="9" borderId="16" xfId="0" applyFont="1" applyFill="1" applyBorder="1" applyAlignment="1">
      <alignment horizontal="center"/>
    </xf>
    <xf numFmtId="0" fontId="30" fillId="9" borderId="31" xfId="0" applyFont="1" applyFill="1" applyBorder="1" applyAlignment="1">
      <alignment horizontal="centerContinuous"/>
    </xf>
    <xf numFmtId="0" fontId="5" fillId="9" borderId="1" xfId="0" applyFont="1" applyFill="1" applyBorder="1" applyAlignment="1">
      <alignment horizontal="centerContinuous"/>
    </xf>
    <xf numFmtId="0" fontId="31" fillId="9" borderId="1" xfId="0" applyFont="1" applyFill="1" applyBorder="1" applyAlignment="1">
      <alignment horizontal="centerContinuous"/>
    </xf>
    <xf numFmtId="0" fontId="31" fillId="9" borderId="24" xfId="0" applyFont="1" applyFill="1" applyBorder="1" applyAlignment="1">
      <alignment horizontal="centerContinuous"/>
    </xf>
    <xf numFmtId="0" fontId="1" fillId="9" borderId="25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9" borderId="25" xfId="0" applyFont="1" applyFill="1" applyBorder="1" applyAlignment="1"/>
    <xf numFmtId="0" fontId="47" fillId="9" borderId="22" xfId="0" applyFont="1" applyFill="1" applyBorder="1" applyAlignment="1">
      <alignment horizontal="center"/>
    </xf>
    <xf numFmtId="0" fontId="56" fillId="9" borderId="9" xfId="0" applyFont="1" applyFill="1" applyBorder="1" applyAlignment="1"/>
    <xf numFmtId="0" fontId="55" fillId="9" borderId="9" xfId="0" applyFont="1" applyFill="1" applyBorder="1" applyAlignment="1">
      <alignment horizontal="center"/>
    </xf>
    <xf numFmtId="0" fontId="54" fillId="9" borderId="9" xfId="0" applyFont="1" applyFill="1" applyBorder="1" applyAlignment="1">
      <alignment horizontal="center" vertical="center" wrapText="1"/>
    </xf>
    <xf numFmtId="164" fontId="1" fillId="0" borderId="0" xfId="10" applyFont="1"/>
    <xf numFmtId="0" fontId="5" fillId="20" borderId="8" xfId="0" applyFont="1" applyFill="1" applyBorder="1"/>
    <xf numFmtId="3" fontId="5" fillId="20" borderId="8" xfId="0" applyNumberFormat="1" applyFont="1" applyFill="1" applyBorder="1"/>
    <xf numFmtId="168" fontId="1" fillId="0" borderId="3" xfId="10" applyNumberFormat="1" applyFont="1" applyBorder="1" applyAlignment="1">
      <alignment horizontal="center" vertical="center"/>
    </xf>
    <xf numFmtId="164" fontId="1" fillId="2" borderId="3" xfId="10" quotePrefix="1" applyNumberFormat="1" applyFont="1" applyFill="1" applyBorder="1" applyAlignment="1">
      <alignment horizontal="center" vertical="center"/>
    </xf>
    <xf numFmtId="164" fontId="1" fillId="2" borderId="3" xfId="10" quotePrefix="1" applyFont="1" applyFill="1" applyBorder="1" applyAlignment="1">
      <alignment horizontal="center" vertical="center"/>
    </xf>
    <xf numFmtId="168" fontId="1" fillId="0" borderId="26" xfId="10" applyNumberFormat="1" applyFont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 wrapText="1"/>
    </xf>
    <xf numFmtId="164" fontId="9" fillId="4" borderId="18" xfId="10" quotePrefix="1" applyNumberFormat="1" applyFont="1" applyFill="1" applyBorder="1" applyAlignment="1">
      <alignment horizontal="center" vertical="center"/>
    </xf>
    <xf numFmtId="164" fontId="9" fillId="4" borderId="18" xfId="10" quotePrefix="1" applyFont="1" applyFill="1" applyBorder="1" applyAlignment="1">
      <alignment horizontal="center" vertical="center"/>
    </xf>
    <xf numFmtId="0" fontId="1" fillId="8" borderId="0" xfId="0" applyFont="1" applyFill="1"/>
    <xf numFmtId="168" fontId="1" fillId="0" borderId="10" xfId="10" applyNumberFormat="1" applyFont="1" applyBorder="1"/>
    <xf numFmtId="168" fontId="1" fillId="0" borderId="10" xfId="10" applyNumberFormat="1" applyFont="1" applyBorder="1" applyAlignment="1">
      <alignment horizontal="left" vertical="center"/>
    </xf>
    <xf numFmtId="168" fontId="1" fillId="0" borderId="3" xfId="10" applyNumberFormat="1" applyFont="1" applyBorder="1" applyAlignment="1">
      <alignment horizontal="right" vertical="center"/>
    </xf>
    <xf numFmtId="168" fontId="1" fillId="0" borderId="4" xfId="10" applyNumberFormat="1" applyFont="1" applyBorder="1" applyAlignment="1">
      <alignment horizontal="center" vertical="center"/>
    </xf>
    <xf numFmtId="168" fontId="1" fillId="7" borderId="3" xfId="10" applyNumberFormat="1" applyFont="1" applyFill="1" applyBorder="1" applyAlignment="1">
      <alignment horizontal="right" vertical="center"/>
    </xf>
    <xf numFmtId="168" fontId="1" fillId="7" borderId="4" xfId="10" applyNumberFormat="1" applyFont="1" applyFill="1" applyBorder="1" applyAlignment="1">
      <alignment horizontal="center" vertical="center"/>
    </xf>
    <xf numFmtId="168" fontId="1" fillId="0" borderId="13" xfId="10" applyNumberFormat="1" applyFont="1" applyBorder="1" applyAlignment="1">
      <alignment horizontal="left" vertical="center"/>
    </xf>
    <xf numFmtId="168" fontId="1" fillId="0" borderId="15" xfId="10" applyNumberFormat="1" applyFont="1" applyBorder="1" applyAlignment="1">
      <alignment horizontal="center" vertical="center"/>
    </xf>
    <xf numFmtId="168" fontId="1" fillId="0" borderId="15" xfId="10" applyNumberFormat="1" applyFont="1" applyBorder="1" applyAlignment="1">
      <alignment horizontal="right" vertical="center"/>
    </xf>
    <xf numFmtId="168" fontId="1" fillId="0" borderId="12" xfId="10" applyNumberFormat="1" applyFont="1" applyBorder="1" applyAlignment="1">
      <alignment horizontal="center" vertical="center"/>
    </xf>
    <xf numFmtId="168" fontId="14" fillId="0" borderId="16" xfId="10" applyNumberFormat="1" applyFont="1" applyBorder="1"/>
    <xf numFmtId="168" fontId="14" fillId="0" borderId="17" xfId="10" applyNumberFormat="1" applyFont="1" applyBorder="1"/>
    <xf numFmtId="168" fontId="20" fillId="0" borderId="17" xfId="10" applyNumberFormat="1" applyFont="1" applyFill="1" applyBorder="1" applyAlignment="1">
      <alignment horizontal="right" vertical="center"/>
    </xf>
    <xf numFmtId="168" fontId="1" fillId="0" borderId="17" xfId="10" applyNumberFormat="1" applyFont="1" applyBorder="1"/>
    <xf numFmtId="168" fontId="1" fillId="0" borderId="26" xfId="10" applyNumberFormat="1" applyFont="1" applyBorder="1" applyAlignment="1">
      <alignment horizontal="right" vertical="center"/>
    </xf>
    <xf numFmtId="168" fontId="1" fillId="0" borderId="28" xfId="10" applyNumberFormat="1" applyFont="1" applyBorder="1" applyAlignment="1">
      <alignment horizontal="center" vertical="center"/>
    </xf>
    <xf numFmtId="168" fontId="9" fillId="4" borderId="25" xfId="10" applyNumberFormat="1" applyFont="1" applyFill="1" applyBorder="1" applyAlignment="1">
      <alignment horizontal="center" vertical="center"/>
    </xf>
    <xf numFmtId="168" fontId="9" fillId="17" borderId="25" xfId="10" applyNumberFormat="1" applyFont="1" applyFill="1" applyBorder="1" applyAlignment="1">
      <alignment horizontal="right" vertical="center"/>
    </xf>
    <xf numFmtId="168" fontId="9" fillId="17" borderId="31" xfId="10" applyNumberFormat="1" applyFont="1" applyFill="1" applyBorder="1" applyAlignment="1">
      <alignment horizontal="center" vertical="center"/>
    </xf>
    <xf numFmtId="0" fontId="0" fillId="0" borderId="9" xfId="0" applyBorder="1"/>
    <xf numFmtId="168" fontId="9" fillId="21" borderId="18" xfId="10" applyNumberFormat="1" applyFont="1" applyFill="1" applyBorder="1"/>
    <xf numFmtId="0" fontId="1" fillId="0" borderId="0" xfId="0" applyFont="1"/>
    <xf numFmtId="168" fontId="57" fillId="0" borderId="18" xfId="10" applyNumberFormat="1" applyFont="1" applyBorder="1"/>
    <xf numFmtId="166" fontId="9" fillId="0" borderId="18" xfId="10" applyNumberFormat="1" applyFont="1" applyBorder="1"/>
    <xf numFmtId="168" fontId="1" fillId="9" borderId="9" xfId="10" applyNumberFormat="1" applyFont="1" applyFill="1" applyBorder="1"/>
    <xf numFmtId="164" fontId="1" fillId="9" borderId="29" xfId="10" applyNumberFormat="1" applyFont="1" applyFill="1" applyBorder="1"/>
    <xf numFmtId="164" fontId="1" fillId="9" borderId="17" xfId="10" applyNumberFormat="1" applyFont="1" applyFill="1" applyBorder="1"/>
    <xf numFmtId="166" fontId="1" fillId="9" borderId="0" xfId="10" applyNumberFormat="1" applyFont="1" applyFill="1" applyBorder="1" applyAlignment="1">
      <alignment horizontal="center" vertical="center"/>
    </xf>
    <xf numFmtId="166" fontId="1" fillId="9" borderId="17" xfId="10" applyNumberFormat="1" applyFont="1" applyFill="1" applyBorder="1"/>
    <xf numFmtId="168" fontId="1" fillId="9" borderId="15" xfId="10" applyNumberFormat="1" applyFont="1" applyFill="1" applyBorder="1"/>
    <xf numFmtId="164" fontId="1" fillId="9" borderId="15" xfId="10" applyNumberFormat="1" applyFont="1" applyFill="1" applyBorder="1"/>
    <xf numFmtId="166" fontId="1" fillId="9" borderId="15" xfId="10" applyNumberFormat="1" applyFont="1" applyFill="1" applyBorder="1"/>
    <xf numFmtId="166" fontId="1" fillId="9" borderId="11" xfId="10" applyNumberFormat="1" applyFont="1" applyFill="1" applyBorder="1" applyAlignment="1">
      <alignment horizontal="center" vertical="center"/>
    </xf>
    <xf numFmtId="168" fontId="1" fillId="9" borderId="13" xfId="10" applyNumberFormat="1" applyFont="1" applyFill="1" applyBorder="1"/>
    <xf numFmtId="0" fontId="54" fillId="0" borderId="0" xfId="0" applyFont="1" applyBorder="1"/>
    <xf numFmtId="0" fontId="1" fillId="9" borderId="13" xfId="0" applyFont="1" applyFill="1" applyBorder="1" applyAlignment="1">
      <alignment vertical="center" wrapText="1"/>
    </xf>
    <xf numFmtId="164" fontId="9" fillId="7" borderId="26" xfId="10" applyFont="1" applyFill="1" applyBorder="1"/>
    <xf numFmtId="164" fontId="9" fillId="7" borderId="28" xfId="10" applyFont="1" applyFill="1" applyBorder="1"/>
    <xf numFmtId="39" fontId="9" fillId="0" borderId="0" xfId="0" applyNumberFormat="1" applyFont="1" applyBorder="1" applyAlignment="1" applyProtection="1">
      <alignment vertical="center"/>
    </xf>
    <xf numFmtId="168" fontId="0" fillId="0" borderId="0" xfId="0" applyNumberFormat="1"/>
    <xf numFmtId="166" fontId="0" fillId="0" borderId="0" xfId="0" applyNumberFormat="1"/>
    <xf numFmtId="164" fontId="0" fillId="0" borderId="0" xfId="0" applyNumberFormat="1"/>
    <xf numFmtId="164" fontId="9" fillId="0" borderId="0" xfId="10" applyFont="1" applyBorder="1" applyAlignment="1" applyProtection="1">
      <alignment vertical="center"/>
    </xf>
    <xf numFmtId="0" fontId="58" fillId="7" borderId="2" xfId="0" applyFont="1" applyFill="1" applyBorder="1" applyAlignment="1">
      <alignment horizontal="center"/>
    </xf>
    <xf numFmtId="164" fontId="59" fillId="0" borderId="18" xfId="10" applyNumberFormat="1" applyFont="1" applyBorder="1"/>
    <xf numFmtId="168" fontId="59" fillId="0" borderId="18" xfId="10" applyNumberFormat="1" applyFont="1" applyBorder="1"/>
    <xf numFmtId="166" fontId="59" fillId="0" borderId="25" xfId="10" applyNumberFormat="1" applyFont="1" applyBorder="1"/>
    <xf numFmtId="166" fontId="59" fillId="0" borderId="18" xfId="10" applyNumberFormat="1" applyFont="1" applyBorder="1"/>
    <xf numFmtId="0" fontId="58" fillId="0" borderId="2" xfId="0" applyFont="1" applyBorder="1" applyAlignment="1">
      <alignment horizontal="center" vertical="center" wrapText="1"/>
    </xf>
    <xf numFmtId="164" fontId="59" fillId="0" borderId="18" xfId="10" applyFont="1" applyBorder="1"/>
    <xf numFmtId="164" fontId="59" fillId="0" borderId="18" xfId="10" applyNumberFormat="1" applyFont="1" applyBorder="1" applyAlignment="1">
      <alignment vertical="center"/>
    </xf>
    <xf numFmtId="0" fontId="1" fillId="9" borderId="9" xfId="0" applyFont="1" applyFill="1" applyBorder="1" applyAlignment="1">
      <alignment vertical="center" wrapText="1"/>
    </xf>
    <xf numFmtId="164" fontId="0" fillId="0" borderId="0" xfId="10" applyNumberFormat="1" applyFont="1" applyFill="1" applyBorder="1"/>
    <xf numFmtId="164" fontId="9" fillId="7" borderId="29" xfId="10" applyFont="1" applyFill="1" applyBorder="1"/>
    <xf numFmtId="164" fontId="9" fillId="7" borderId="19" xfId="10" applyFont="1" applyFill="1" applyBorder="1"/>
    <xf numFmtId="0" fontId="9" fillId="22" borderId="10" xfId="0" applyFont="1" applyFill="1" applyBorder="1" applyAlignment="1">
      <alignment horizontal="left" vertical="center" wrapText="1"/>
    </xf>
    <xf numFmtId="164" fontId="9" fillId="22" borderId="3" xfId="10" applyFont="1" applyFill="1" applyBorder="1" applyAlignment="1" applyProtection="1">
      <alignment vertical="center"/>
    </xf>
    <xf numFmtId="168" fontId="9" fillId="22" borderId="3" xfId="10" applyNumberFormat="1" applyFont="1" applyFill="1" applyBorder="1" applyAlignment="1" applyProtection="1">
      <alignment vertical="center"/>
    </xf>
    <xf numFmtId="166" fontId="9" fillId="22" borderId="3" xfId="10" applyNumberFormat="1" applyFont="1" applyFill="1" applyBorder="1"/>
    <xf numFmtId="164" fontId="9" fillId="22" borderId="3" xfId="10" applyNumberFormat="1" applyFont="1" applyFill="1" applyBorder="1"/>
    <xf numFmtId="164" fontId="9" fillId="22" borderId="3" xfId="10" applyFont="1" applyFill="1" applyBorder="1"/>
    <xf numFmtId="164" fontId="9" fillId="22" borderId="4" xfId="10" applyFont="1" applyFill="1" applyBorder="1"/>
    <xf numFmtId="0" fontId="1" fillId="22" borderId="9" xfId="0" applyFont="1" applyFill="1" applyBorder="1" applyAlignment="1">
      <alignment horizontal="left" vertical="center" wrapText="1"/>
    </xf>
    <xf numFmtId="164" fontId="1" fillId="22" borderId="17" xfId="10" applyFont="1" applyFill="1" applyBorder="1" applyAlignment="1" applyProtection="1">
      <alignment vertical="center"/>
    </xf>
    <xf numFmtId="164" fontId="1" fillId="22" borderId="9" xfId="10" applyFont="1" applyFill="1" applyBorder="1" applyAlignment="1" applyProtection="1">
      <alignment vertical="center"/>
    </xf>
    <xf numFmtId="168" fontId="1" fillId="22" borderId="9" xfId="10" applyNumberFormat="1" applyFont="1" applyFill="1" applyBorder="1" applyAlignment="1">
      <alignment horizontal="center" vertical="center"/>
    </xf>
    <xf numFmtId="168" fontId="1" fillId="22" borderId="17" xfId="10" applyNumberFormat="1" applyFont="1" applyFill="1" applyBorder="1" applyAlignment="1" applyProtection="1">
      <alignment horizontal="center" vertical="center"/>
    </xf>
    <xf numFmtId="164" fontId="1" fillId="22" borderId="17" xfId="10" applyFont="1" applyFill="1" applyBorder="1" applyAlignment="1">
      <alignment horizontal="center" vertical="center"/>
    </xf>
    <xf numFmtId="166" fontId="1" fillId="22" borderId="17" xfId="10" applyNumberFormat="1" applyFont="1" applyFill="1" applyBorder="1" applyAlignment="1">
      <alignment horizontal="center" vertical="center"/>
    </xf>
    <xf numFmtId="164" fontId="1" fillId="22" borderId="9" xfId="10" applyFont="1" applyFill="1" applyBorder="1" applyAlignment="1">
      <alignment horizontal="center" vertical="center"/>
    </xf>
    <xf numFmtId="166" fontId="1" fillId="22" borderId="0" xfId="10" applyNumberFormat="1" applyFont="1" applyFill="1" applyBorder="1" applyAlignment="1">
      <alignment horizontal="center" vertical="center"/>
    </xf>
    <xf numFmtId="0" fontId="1" fillId="22" borderId="9" xfId="0" applyFont="1" applyFill="1" applyBorder="1" applyAlignment="1">
      <alignment vertical="center" wrapText="1"/>
    </xf>
    <xf numFmtId="168" fontId="1" fillId="22" borderId="17" xfId="10" applyNumberFormat="1" applyFont="1" applyFill="1" applyBorder="1" applyAlignment="1">
      <alignment vertical="center"/>
    </xf>
    <xf numFmtId="168" fontId="1" fillId="22" borderId="17" xfId="10" applyNumberFormat="1" applyFont="1" applyFill="1" applyBorder="1" applyAlignment="1" applyProtection="1">
      <alignment vertical="center"/>
    </xf>
    <xf numFmtId="164" fontId="1" fillId="22" borderId="17" xfId="10" applyFont="1" applyFill="1" applyBorder="1" applyAlignment="1">
      <alignment vertical="center"/>
    </xf>
    <xf numFmtId="164" fontId="1" fillId="22" borderId="9" xfId="10" applyNumberFormat="1" applyFont="1" applyFill="1" applyBorder="1" applyAlignment="1">
      <alignment horizontal="center" vertical="center"/>
    </xf>
    <xf numFmtId="164" fontId="1" fillId="22" borderId="17" xfId="10" applyNumberFormat="1" applyFont="1" applyFill="1" applyBorder="1" applyAlignment="1">
      <alignment horizontal="center" vertical="center"/>
    </xf>
    <xf numFmtId="168" fontId="1" fillId="22" borderId="9" xfId="10" applyNumberFormat="1" applyFont="1" applyFill="1" applyBorder="1"/>
    <xf numFmtId="168" fontId="1" fillId="22" borderId="17" xfId="10" applyNumberFormat="1" applyFont="1" applyFill="1" applyBorder="1"/>
    <xf numFmtId="164" fontId="1" fillId="22" borderId="17" xfId="10" applyNumberFormat="1" applyFont="1" applyFill="1" applyBorder="1"/>
    <xf numFmtId="166" fontId="1" fillId="22" borderId="9" xfId="10" applyNumberFormat="1" applyFont="1" applyFill="1" applyBorder="1"/>
    <xf numFmtId="166" fontId="1" fillId="22" borderId="17" xfId="10" applyNumberFormat="1" applyFont="1" applyFill="1" applyBorder="1"/>
    <xf numFmtId="164" fontId="1" fillId="22" borderId="9" xfId="10" applyNumberFormat="1" applyFont="1" applyFill="1" applyBorder="1"/>
    <xf numFmtId="0" fontId="1" fillId="22" borderId="13" xfId="0" applyFont="1" applyFill="1" applyBorder="1" applyAlignment="1">
      <alignment horizontal="left" vertical="center" wrapText="1"/>
    </xf>
    <xf numFmtId="164" fontId="1" fillId="22" borderId="15" xfId="10" applyFont="1" applyFill="1" applyBorder="1" applyAlignment="1" applyProtection="1">
      <alignment vertical="center"/>
    </xf>
    <xf numFmtId="168" fontId="1" fillId="22" borderId="15" xfId="10" applyNumberFormat="1" applyFont="1" applyFill="1" applyBorder="1"/>
    <xf numFmtId="164" fontId="1" fillId="22" borderId="15" xfId="10" applyNumberFormat="1" applyFont="1" applyFill="1" applyBorder="1"/>
    <xf numFmtId="166" fontId="1" fillId="22" borderId="15" xfId="10" applyNumberFormat="1" applyFont="1" applyFill="1" applyBorder="1"/>
    <xf numFmtId="166" fontId="1" fillId="22" borderId="11" xfId="10" applyNumberFormat="1" applyFont="1" applyFill="1" applyBorder="1" applyAlignment="1">
      <alignment horizontal="center" vertical="center"/>
    </xf>
    <xf numFmtId="164" fontId="9" fillId="22" borderId="3" xfId="10" applyNumberFormat="1" applyFont="1" applyFill="1" applyBorder="1" applyAlignment="1">
      <alignment vertical="center"/>
    </xf>
    <xf numFmtId="0" fontId="1" fillId="22" borderId="10" xfId="0" applyFont="1" applyFill="1" applyBorder="1" applyAlignment="1">
      <alignment horizontal="left" vertical="center" wrapText="1"/>
    </xf>
    <xf numFmtId="164" fontId="1" fillId="22" borderId="3" xfId="10" applyFont="1" applyFill="1" applyBorder="1" applyAlignment="1" applyProtection="1">
      <alignment vertical="center"/>
    </xf>
    <xf numFmtId="164" fontId="1" fillId="22" borderId="10" xfId="10" applyFont="1" applyFill="1" applyBorder="1" applyAlignment="1" applyProtection="1">
      <alignment vertical="center"/>
    </xf>
    <xf numFmtId="168" fontId="1" fillId="22" borderId="10" xfId="10" applyNumberFormat="1" applyFont="1" applyFill="1" applyBorder="1"/>
    <xf numFmtId="168" fontId="1" fillId="22" borderId="3" xfId="10" applyNumberFormat="1" applyFont="1" applyFill="1" applyBorder="1"/>
    <xf numFmtId="164" fontId="1" fillId="22" borderId="3" xfId="10" applyFont="1" applyFill="1" applyBorder="1"/>
    <xf numFmtId="166" fontId="1" fillId="22" borderId="3" xfId="10" applyNumberFormat="1" applyFont="1" applyFill="1" applyBorder="1"/>
    <xf numFmtId="164" fontId="1" fillId="22" borderId="3" xfId="10" applyNumberFormat="1" applyFont="1" applyFill="1" applyBorder="1"/>
    <xf numFmtId="166" fontId="1" fillId="22" borderId="14" xfId="10" applyNumberFormat="1" applyFont="1" applyFill="1" applyBorder="1" applyAlignment="1">
      <alignment horizontal="center" vertical="center"/>
    </xf>
    <xf numFmtId="164" fontId="1" fillId="22" borderId="13" xfId="10" applyFont="1" applyFill="1" applyBorder="1" applyAlignment="1" applyProtection="1">
      <alignment vertical="center"/>
    </xf>
    <xf numFmtId="168" fontId="1" fillId="22" borderId="13" xfId="10" applyNumberFormat="1" applyFont="1" applyFill="1" applyBorder="1"/>
    <xf numFmtId="0" fontId="9" fillId="22" borderId="24" xfId="0" applyFont="1" applyFill="1" applyBorder="1" applyAlignment="1">
      <alignment horizontal="left" vertical="center" wrapText="1"/>
    </xf>
    <xf numFmtId="164" fontId="9" fillId="22" borderId="25" xfId="10" applyFont="1" applyFill="1" applyBorder="1" applyAlignment="1" applyProtection="1">
      <alignment vertical="center"/>
    </xf>
    <xf numFmtId="168" fontId="9" fillId="22" borderId="25" xfId="10" applyNumberFormat="1" applyFont="1" applyFill="1" applyBorder="1" applyAlignment="1" applyProtection="1">
      <alignment vertical="center"/>
    </xf>
    <xf numFmtId="166" fontId="9" fillId="22" borderId="15" xfId="10" applyNumberFormat="1" applyFont="1" applyFill="1" applyBorder="1"/>
    <xf numFmtId="165" fontId="9" fillId="22" borderId="25" xfId="10" applyNumberFormat="1" applyFont="1" applyFill="1" applyBorder="1"/>
    <xf numFmtId="164" fontId="9" fillId="22" borderId="15" xfId="10" applyNumberFormat="1" applyFont="1" applyFill="1" applyBorder="1" applyAlignment="1">
      <alignment vertical="center"/>
    </xf>
    <xf numFmtId="164" fontId="9" fillId="22" borderId="25" xfId="10" applyFont="1" applyFill="1" applyBorder="1"/>
    <xf numFmtId="164" fontId="9" fillId="22" borderId="31" xfId="10" applyFont="1" applyFill="1" applyBorder="1"/>
    <xf numFmtId="0" fontId="1" fillId="22" borderId="22" xfId="0" applyFont="1" applyFill="1" applyBorder="1" applyAlignment="1">
      <alignment vertical="center" wrapText="1"/>
    </xf>
    <xf numFmtId="164" fontId="1" fillId="22" borderId="23" xfId="10" applyNumberFormat="1" applyFont="1" applyFill="1" applyBorder="1" applyAlignment="1" applyProtection="1">
      <alignment vertical="center"/>
    </xf>
    <xf numFmtId="168" fontId="1" fillId="22" borderId="23" xfId="10" applyNumberFormat="1" applyFont="1" applyFill="1" applyBorder="1" applyAlignment="1" applyProtection="1">
      <alignment vertical="center"/>
    </xf>
    <xf numFmtId="166" fontId="1" fillId="22" borderId="23" xfId="10" applyNumberFormat="1" applyFont="1" applyFill="1" applyBorder="1"/>
    <xf numFmtId="164" fontId="1" fillId="22" borderId="23" xfId="10" applyNumberFormat="1" applyFont="1" applyFill="1" applyBorder="1"/>
    <xf numFmtId="166" fontId="1" fillId="22" borderId="21" xfId="10" applyNumberFormat="1" applyFont="1" applyFill="1" applyBorder="1" applyAlignment="1">
      <alignment horizontal="center" vertical="center"/>
    </xf>
    <xf numFmtId="164" fontId="9" fillId="22" borderId="25" xfId="10" applyNumberFormat="1" applyFont="1" applyFill="1" applyBorder="1" applyAlignment="1" applyProtection="1">
      <alignment vertical="center"/>
    </xf>
    <xf numFmtId="166" fontId="9" fillId="22" borderId="25" xfId="10" applyNumberFormat="1" applyFont="1" applyFill="1" applyBorder="1"/>
    <xf numFmtId="166" fontId="9" fillId="22" borderId="26" xfId="10" applyNumberFormat="1" applyFont="1" applyFill="1" applyBorder="1"/>
    <xf numFmtId="164" fontId="9" fillId="22" borderId="25" xfId="10" applyNumberFormat="1" applyFont="1" applyFill="1" applyBorder="1"/>
    <xf numFmtId="164" fontId="9" fillId="22" borderId="26" xfId="10" applyFont="1" applyFill="1" applyBorder="1"/>
    <xf numFmtId="164" fontId="9" fillId="22" borderId="28" xfId="10" applyFont="1" applyFill="1" applyBorder="1"/>
    <xf numFmtId="164" fontId="1" fillId="22" borderId="29" xfId="10" applyFont="1" applyFill="1" applyBorder="1" applyAlignment="1" applyProtection="1">
      <alignment vertical="center"/>
    </xf>
    <xf numFmtId="168" fontId="1" fillId="22" borderId="29" xfId="0" applyNumberFormat="1" applyFont="1" applyFill="1" applyBorder="1"/>
    <xf numFmtId="166" fontId="1" fillId="22" borderId="29" xfId="10" applyNumberFormat="1" applyFont="1" applyFill="1" applyBorder="1"/>
    <xf numFmtId="164" fontId="1" fillId="22" borderId="29" xfId="10" applyFont="1" applyFill="1" applyBorder="1"/>
    <xf numFmtId="164" fontId="1" fillId="22" borderId="0" xfId="10" applyFont="1" applyFill="1" applyBorder="1"/>
    <xf numFmtId="0" fontId="14" fillId="22" borderId="9" xfId="0" applyFont="1" applyFill="1" applyBorder="1" applyAlignment="1">
      <alignment horizontal="left" vertical="center" wrapText="1" indent="2"/>
    </xf>
    <xf numFmtId="166" fontId="54" fillId="22" borderId="17" xfId="10" applyNumberFormat="1" applyFont="1" applyFill="1" applyBorder="1"/>
    <xf numFmtId="164" fontId="1" fillId="22" borderId="17" xfId="10" applyFont="1" applyFill="1" applyBorder="1"/>
    <xf numFmtId="0" fontId="9" fillId="22" borderId="27" xfId="0" applyFont="1" applyFill="1" applyBorder="1" applyAlignment="1">
      <alignment horizontal="left" vertical="center" wrapText="1"/>
    </xf>
    <xf numFmtId="164" fontId="9" fillId="22" borderId="26" xfId="0" applyNumberFormat="1" applyFont="1" applyFill="1" applyBorder="1"/>
    <xf numFmtId="168" fontId="9" fillId="22" borderId="26" xfId="0" applyNumberFormat="1" applyFont="1" applyFill="1" applyBorder="1"/>
    <xf numFmtId="168" fontId="1" fillId="22" borderId="23" xfId="10" applyNumberFormat="1" applyFont="1" applyFill="1" applyBorder="1"/>
    <xf numFmtId="0" fontId="1" fillId="9" borderId="22" xfId="0" applyFont="1" applyFill="1" applyBorder="1" applyAlignment="1">
      <alignment horizontal="left" vertical="center" wrapText="1"/>
    </xf>
    <xf numFmtId="164" fontId="1" fillId="9" borderId="22" xfId="10" applyFont="1" applyFill="1" applyBorder="1" applyAlignment="1" applyProtection="1">
      <alignment vertical="center"/>
    </xf>
    <xf numFmtId="164" fontId="1" fillId="9" borderId="23" xfId="10" applyFont="1" applyFill="1" applyBorder="1" applyAlignment="1" applyProtection="1">
      <alignment vertical="center"/>
    </xf>
    <xf numFmtId="168" fontId="1" fillId="9" borderId="23" xfId="10" applyNumberFormat="1" applyFont="1" applyFill="1" applyBorder="1"/>
    <xf numFmtId="166" fontId="1" fillId="9" borderId="23" xfId="10" applyNumberFormat="1" applyFont="1" applyFill="1" applyBorder="1"/>
    <xf numFmtId="164" fontId="1" fillId="9" borderId="23" xfId="10" applyFont="1" applyFill="1" applyBorder="1"/>
    <xf numFmtId="166" fontId="1" fillId="9" borderId="21" xfId="10" applyNumberFormat="1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left" vertical="center" wrapText="1"/>
    </xf>
    <xf numFmtId="164" fontId="9" fillId="9" borderId="25" xfId="10" applyFont="1" applyFill="1" applyBorder="1" applyAlignment="1" applyProtection="1">
      <alignment vertical="center"/>
    </xf>
    <xf numFmtId="168" fontId="9" fillId="9" borderId="25" xfId="10" applyNumberFormat="1" applyFont="1" applyFill="1" applyBorder="1" applyAlignment="1" applyProtection="1">
      <alignment vertical="center"/>
    </xf>
    <xf numFmtId="166" fontId="9" fillId="9" borderId="25" xfId="10" applyNumberFormat="1" applyFont="1" applyFill="1" applyBorder="1"/>
    <xf numFmtId="166" fontId="9" fillId="9" borderId="26" xfId="10" applyNumberFormat="1" applyFont="1" applyFill="1" applyBorder="1"/>
    <xf numFmtId="164" fontId="9" fillId="9" borderId="25" xfId="10" applyNumberFormat="1" applyFont="1" applyFill="1" applyBorder="1"/>
    <xf numFmtId="164" fontId="9" fillId="9" borderId="26" xfId="10" applyFont="1" applyFill="1" applyBorder="1"/>
    <xf numFmtId="164" fontId="9" fillId="9" borderId="28" xfId="10" applyFont="1" applyFill="1" applyBorder="1"/>
    <xf numFmtId="0" fontId="1" fillId="9" borderId="22" xfId="0" applyFont="1" applyFill="1" applyBorder="1" applyAlignment="1">
      <alignment vertical="center" wrapText="1"/>
    </xf>
    <xf numFmtId="164" fontId="1" fillId="9" borderId="23" xfId="10" applyNumberFormat="1" applyFont="1" applyFill="1" applyBorder="1" applyAlignment="1" applyProtection="1">
      <alignment vertical="center"/>
    </xf>
    <xf numFmtId="164" fontId="1" fillId="9" borderId="22" xfId="10" applyNumberFormat="1" applyFont="1" applyFill="1" applyBorder="1" applyAlignment="1" applyProtection="1">
      <alignment vertical="center"/>
    </xf>
    <xf numFmtId="168" fontId="1" fillId="9" borderId="22" xfId="10" applyNumberFormat="1" applyFont="1" applyFill="1" applyBorder="1"/>
    <xf numFmtId="164" fontId="1" fillId="9" borderId="23" xfId="10" applyNumberFormat="1" applyFont="1" applyFill="1" applyBorder="1"/>
    <xf numFmtId="164" fontId="9" fillId="9" borderId="25" xfId="10" applyNumberFormat="1" applyFont="1" applyFill="1" applyBorder="1" applyAlignment="1" applyProtection="1">
      <alignment vertical="center"/>
    </xf>
    <xf numFmtId="168" fontId="1" fillId="22" borderId="22" xfId="10" applyNumberFormat="1" applyFont="1" applyFill="1" applyBorder="1"/>
    <xf numFmtId="164" fontId="1" fillId="9" borderId="17" xfId="10" applyNumberFormat="1" applyFont="1" applyFill="1" applyBorder="1" applyAlignment="1" applyProtection="1">
      <alignment vertical="center"/>
    </xf>
    <xf numFmtId="164" fontId="1" fillId="9" borderId="9" xfId="10" applyNumberFormat="1" applyFont="1" applyFill="1" applyBorder="1" applyAlignment="1" applyProtection="1">
      <alignment vertical="center"/>
    </xf>
    <xf numFmtId="166" fontId="54" fillId="9" borderId="17" xfId="10" applyNumberFormat="1" applyFont="1" applyFill="1" applyBorder="1"/>
    <xf numFmtId="166" fontId="1" fillId="9" borderId="33" xfId="10" applyNumberFormat="1" applyFont="1" applyFill="1" applyBorder="1" applyAlignment="1">
      <alignment horizontal="center" vertical="center"/>
    </xf>
    <xf numFmtId="164" fontId="1" fillId="9" borderId="15" xfId="10" applyNumberFormat="1" applyFont="1" applyFill="1" applyBorder="1" applyAlignment="1" applyProtection="1">
      <alignment vertical="center"/>
    </xf>
    <xf numFmtId="164" fontId="1" fillId="9" borderId="15" xfId="10" applyNumberFormat="1" applyFont="1" applyFill="1" applyBorder="1" applyAlignment="1">
      <alignment vertical="center"/>
    </xf>
    <xf numFmtId="164" fontId="1" fillId="9" borderId="13" xfId="10" applyNumberFormat="1" applyFont="1" applyFill="1" applyBorder="1" applyAlignment="1">
      <alignment vertical="center"/>
    </xf>
    <xf numFmtId="166" fontId="54" fillId="9" borderId="15" xfId="10" applyNumberFormat="1" applyFont="1" applyFill="1" applyBorder="1"/>
    <xf numFmtId="168" fontId="9" fillId="9" borderId="25" xfId="10" applyNumberFormat="1" applyFont="1" applyFill="1" applyBorder="1"/>
    <xf numFmtId="168" fontId="9" fillId="22" borderId="25" xfId="10" applyNumberFormat="1" applyFont="1" applyFill="1" applyBorder="1"/>
    <xf numFmtId="168" fontId="9" fillId="22" borderId="24" xfId="10" applyNumberFormat="1" applyFont="1" applyFill="1" applyBorder="1"/>
    <xf numFmtId="0" fontId="1" fillId="22" borderId="29" xfId="0" applyFont="1" applyFill="1" applyBorder="1" applyAlignment="1">
      <alignment horizontal="center" vertical="center"/>
    </xf>
    <xf numFmtId="173" fontId="9" fillId="0" borderId="3" xfId="10" applyNumberFormat="1" applyFont="1" applyFill="1" applyBorder="1" applyAlignment="1" applyProtection="1">
      <alignment vertical="center"/>
      <protection locked="0"/>
    </xf>
    <xf numFmtId="0" fontId="9" fillId="9" borderId="0" xfId="0" applyFont="1" applyFill="1" applyBorder="1" applyAlignment="1">
      <alignment horizontal="center" vertical="center"/>
    </xf>
    <xf numFmtId="173" fontId="9" fillId="0" borderId="3" xfId="10" applyNumberFormat="1" applyFont="1" applyFill="1" applyBorder="1" applyAlignment="1" applyProtection="1">
      <alignment horizontal="center" vertical="center"/>
    </xf>
    <xf numFmtId="0" fontId="4" fillId="0" borderId="0" xfId="0" quotePrefix="1" applyFont="1"/>
    <xf numFmtId="173" fontId="9" fillId="0" borderId="15" xfId="10" applyNumberFormat="1" applyFont="1" applyFill="1" applyBorder="1" applyAlignment="1" applyProtection="1">
      <alignment vertical="center"/>
      <protection locked="0"/>
    </xf>
    <xf numFmtId="173" fontId="6" fillId="0" borderId="47" xfId="10" applyNumberFormat="1" applyFont="1" applyFill="1" applyBorder="1" applyAlignment="1" applyProtection="1">
      <alignment vertical="center"/>
      <protection locked="0"/>
    </xf>
    <xf numFmtId="173" fontId="9" fillId="0" borderId="48" xfId="10" applyNumberFormat="1" applyFont="1" applyFill="1" applyBorder="1" applyAlignment="1" applyProtection="1">
      <alignment vertical="center"/>
      <protection locked="0"/>
    </xf>
    <xf numFmtId="173" fontId="9" fillId="0" borderId="49" xfId="10" applyNumberFormat="1" applyFont="1" applyFill="1" applyBorder="1" applyAlignment="1" applyProtection="1">
      <alignment vertical="center"/>
      <protection locked="0"/>
    </xf>
    <xf numFmtId="175" fontId="9" fillId="0" borderId="50" xfId="10" applyNumberFormat="1" applyFont="1" applyFill="1" applyBorder="1" applyAlignment="1" applyProtection="1">
      <alignment horizontal="center" vertical="center"/>
    </xf>
    <xf numFmtId="173" fontId="9" fillId="0" borderId="49" xfId="10" applyNumberFormat="1" applyFont="1" applyFill="1" applyBorder="1" applyAlignment="1" applyProtection="1">
      <alignment horizontal="center" vertical="center"/>
    </xf>
    <xf numFmtId="173" fontId="6" fillId="0" borderId="52" xfId="10" applyNumberFormat="1" applyFont="1" applyFill="1" applyBorder="1" applyAlignment="1" applyProtection="1">
      <alignment vertical="center"/>
    </xf>
    <xf numFmtId="173" fontId="6" fillId="0" borderId="47" xfId="10" applyNumberFormat="1" applyFont="1" applyFill="1" applyBorder="1" applyAlignment="1" applyProtection="1">
      <alignment vertical="center"/>
    </xf>
    <xf numFmtId="173" fontId="9" fillId="0" borderId="48" xfId="10" applyNumberFormat="1" applyFont="1" applyBorder="1" applyAlignment="1">
      <alignment horizontal="right" vertical="center"/>
    </xf>
    <xf numFmtId="173" fontId="9" fillId="0" borderId="49" xfId="10" applyNumberFormat="1" applyFont="1" applyFill="1" applyBorder="1" applyAlignment="1" applyProtection="1">
      <alignment vertical="center"/>
    </xf>
    <xf numFmtId="173" fontId="9" fillId="0" borderId="14" xfId="10" applyNumberFormat="1" applyFont="1" applyFill="1" applyBorder="1" applyAlignment="1" applyProtection="1">
      <alignment vertical="center"/>
    </xf>
    <xf numFmtId="173" fontId="9" fillId="0" borderId="10" xfId="10" applyNumberFormat="1" applyFont="1" applyFill="1" applyBorder="1" applyAlignment="1" applyProtection="1">
      <alignment vertical="center"/>
    </xf>
    <xf numFmtId="167" fontId="20" fillId="0" borderId="39" xfId="10" applyNumberFormat="1" applyFont="1" applyFill="1" applyBorder="1" applyAlignment="1" applyProtection="1">
      <alignment horizontal="left" vertical="center"/>
    </xf>
    <xf numFmtId="178" fontId="1" fillId="0" borderId="49" xfId="10" applyNumberFormat="1" applyFont="1" applyFill="1" applyBorder="1" applyAlignment="1">
      <alignment vertical="center"/>
    </xf>
    <xf numFmtId="178" fontId="9" fillId="0" borderId="53" xfId="10" applyNumberFormat="1" applyFont="1" applyFill="1" applyBorder="1" applyAlignment="1">
      <alignment vertical="center"/>
    </xf>
    <xf numFmtId="178" fontId="9" fillId="0" borderId="49" xfId="10" applyNumberFormat="1" applyFont="1" applyFill="1" applyBorder="1" applyAlignment="1">
      <alignment vertical="center"/>
    </xf>
    <xf numFmtId="173" fontId="9" fillId="0" borderId="3" xfId="10" applyNumberFormat="1" applyFont="1" applyFill="1" applyBorder="1" applyAlignment="1" applyProtection="1">
      <alignment vertical="center"/>
    </xf>
    <xf numFmtId="173" fontId="9" fillId="0" borderId="23" xfId="10" applyNumberFormat="1" applyFont="1" applyFill="1" applyBorder="1" applyAlignment="1" applyProtection="1">
      <alignment horizontal="center" vertical="center"/>
    </xf>
    <xf numFmtId="173" fontId="9" fillId="0" borderId="21" xfId="10" applyNumberFormat="1" applyFont="1" applyFill="1" applyBorder="1" applyAlignment="1" applyProtection="1">
      <alignment vertical="center"/>
    </xf>
    <xf numFmtId="175" fontId="9" fillId="0" borderId="35" xfId="10" applyNumberFormat="1" applyFont="1" applyFill="1" applyBorder="1" applyAlignment="1" applyProtection="1">
      <alignment horizontal="center" vertical="center"/>
    </xf>
    <xf numFmtId="173" fontId="9" fillId="0" borderId="48" xfId="10" applyNumberFormat="1" applyFont="1" applyFill="1" applyBorder="1" applyAlignment="1" applyProtection="1">
      <alignment vertical="center"/>
    </xf>
    <xf numFmtId="173" fontId="9" fillId="0" borderId="15" xfId="10" applyNumberFormat="1" applyFont="1" applyFill="1" applyBorder="1" applyAlignment="1" applyProtection="1">
      <alignment horizontal="center" vertical="center"/>
    </xf>
    <xf numFmtId="173" fontId="9" fillId="0" borderId="47" xfId="10" applyNumberFormat="1" applyFont="1" applyFill="1" applyBorder="1" applyAlignment="1" applyProtection="1">
      <alignment vertical="center"/>
      <protection locked="0"/>
    </xf>
    <xf numFmtId="173" fontId="9" fillId="0" borderId="53" xfId="10" applyNumberFormat="1" applyFont="1" applyFill="1" applyBorder="1" applyAlignment="1" applyProtection="1">
      <alignment vertical="center"/>
      <protection locked="0"/>
    </xf>
    <xf numFmtId="173" fontId="9" fillId="0" borderId="23" xfId="10" applyNumberFormat="1" applyFont="1" applyFill="1" applyBorder="1" applyAlignment="1" applyProtection="1">
      <alignment vertical="center"/>
      <protection locked="0"/>
    </xf>
    <xf numFmtId="175" fontId="9" fillId="0" borderId="56" xfId="10" applyNumberFormat="1" applyFont="1" applyFill="1" applyBorder="1" applyAlignment="1" applyProtection="1">
      <alignment horizontal="center" vertical="center"/>
    </xf>
    <xf numFmtId="173" fontId="9" fillId="0" borderId="23" xfId="10" applyNumberFormat="1" applyFont="1" applyBorder="1" applyAlignment="1">
      <alignment horizontal="right" vertical="center"/>
    </xf>
    <xf numFmtId="173" fontId="9" fillId="0" borderId="3" xfId="10" applyNumberFormat="1" applyFont="1" applyBorder="1" applyAlignment="1">
      <alignment horizontal="right" vertical="center"/>
    </xf>
    <xf numFmtId="173" fontId="1" fillId="0" borderId="53" xfId="10" applyNumberFormat="1" applyFont="1" applyBorder="1" applyAlignment="1">
      <alignment horizontal="right" vertical="center"/>
    </xf>
    <xf numFmtId="173" fontId="1" fillId="0" borderId="23" xfId="10" applyNumberFormat="1" applyFont="1" applyBorder="1" applyAlignment="1">
      <alignment horizontal="right" vertical="center"/>
    </xf>
    <xf numFmtId="175" fontId="1" fillId="0" borderId="56" xfId="10" applyNumberFormat="1" applyFont="1" applyFill="1" applyBorder="1" applyAlignment="1" applyProtection="1">
      <alignment horizontal="center" vertical="center"/>
    </xf>
    <xf numFmtId="178" fontId="1" fillId="0" borderId="53" xfId="10" applyNumberFormat="1" applyFont="1" applyFill="1" applyBorder="1" applyAlignment="1">
      <alignment vertical="center"/>
    </xf>
    <xf numFmtId="173" fontId="1" fillId="0" borderId="23" xfId="10" applyNumberFormat="1" applyFont="1" applyFill="1" applyBorder="1" applyAlignment="1" applyProtection="1">
      <alignment horizontal="center" vertical="center"/>
    </xf>
    <xf numFmtId="173" fontId="1" fillId="0" borderId="49" xfId="10" applyNumberFormat="1" applyFont="1" applyBorder="1" applyAlignment="1">
      <alignment horizontal="right" vertical="center"/>
    </xf>
    <xf numFmtId="173" fontId="1" fillId="0" borderId="3" xfId="10" applyNumberFormat="1" applyFont="1" applyBorder="1" applyAlignment="1">
      <alignment horizontal="right" vertical="center"/>
    </xf>
    <xf numFmtId="175" fontId="1" fillId="0" borderId="50" xfId="10" applyNumberFormat="1" applyFont="1" applyFill="1" applyBorder="1" applyAlignment="1" applyProtection="1">
      <alignment horizontal="center" vertical="center"/>
    </xf>
    <xf numFmtId="178" fontId="1" fillId="0" borderId="48" xfId="10" applyNumberFormat="1" applyFont="1" applyFill="1" applyBorder="1" applyAlignment="1">
      <alignment vertical="center"/>
    </xf>
    <xf numFmtId="173" fontId="1" fillId="0" borderId="48" xfId="10" applyNumberFormat="1" applyFont="1" applyBorder="1" applyAlignment="1">
      <alignment horizontal="right" vertical="center"/>
    </xf>
    <xf numFmtId="173" fontId="1" fillId="0" borderId="15" xfId="10" applyNumberFormat="1" applyFont="1" applyBorder="1" applyAlignment="1">
      <alignment horizontal="right" vertical="center"/>
    </xf>
    <xf numFmtId="175" fontId="1" fillId="0" borderId="46" xfId="10" applyNumberFormat="1" applyFont="1" applyFill="1" applyBorder="1" applyAlignment="1" applyProtection="1">
      <alignment horizontal="center" vertical="center"/>
    </xf>
    <xf numFmtId="173" fontId="1" fillId="0" borderId="47" xfId="10" applyNumberFormat="1" applyFont="1" applyFill="1" applyBorder="1" applyAlignment="1" applyProtection="1">
      <alignment vertical="center"/>
    </xf>
    <xf numFmtId="173" fontId="1" fillId="0" borderId="49" xfId="10" applyNumberFormat="1" applyFont="1" applyFill="1" applyBorder="1" applyAlignment="1" applyProtection="1">
      <alignment vertical="center"/>
    </xf>
    <xf numFmtId="173" fontId="1" fillId="0" borderId="15" xfId="10" applyNumberFormat="1" applyFont="1" applyFill="1" applyBorder="1" applyAlignment="1" applyProtection="1">
      <alignment horizontal="center" vertical="center"/>
    </xf>
    <xf numFmtId="173" fontId="1" fillId="0" borderId="11" xfId="10" applyNumberFormat="1" applyFont="1" applyBorder="1" applyAlignment="1">
      <alignment horizontal="right" vertical="center"/>
    </xf>
    <xf numFmtId="173" fontId="1" fillId="0" borderId="13" xfId="10" applyNumberFormat="1" applyFont="1" applyFill="1" applyBorder="1" applyAlignment="1" applyProtection="1">
      <alignment horizontal="center" vertical="center"/>
    </xf>
    <xf numFmtId="3" fontId="5" fillId="20" borderId="0" xfId="0" applyNumberFormat="1" applyFont="1" applyFill="1" applyBorder="1"/>
    <xf numFmtId="168" fontId="1" fillId="2" borderId="3" xfId="10" quotePrefix="1" applyNumberFormat="1" applyFont="1" applyFill="1" applyBorder="1" applyAlignment="1">
      <alignment horizontal="right"/>
    </xf>
    <xf numFmtId="168" fontId="1" fillId="0" borderId="17" xfId="10" applyNumberFormat="1" applyFont="1" applyFill="1" applyBorder="1"/>
    <xf numFmtId="168" fontId="1" fillId="0" borderId="9" xfId="10" applyNumberFormat="1" applyFont="1" applyFill="1" applyBorder="1"/>
    <xf numFmtId="168" fontId="1" fillId="2" borderId="3" xfId="10" applyNumberFormat="1" applyFont="1" applyFill="1" applyBorder="1"/>
    <xf numFmtId="0" fontId="1" fillId="9" borderId="16" xfId="0" applyFont="1" applyFill="1" applyBorder="1"/>
    <xf numFmtId="168" fontId="1" fillId="9" borderId="0" xfId="10" applyNumberFormat="1" applyFont="1" applyFill="1" applyBorder="1" applyAlignment="1">
      <alignment horizontal="right"/>
    </xf>
    <xf numFmtId="168" fontId="1" fillId="9" borderId="6" xfId="10" applyNumberFormat="1" applyFont="1" applyFill="1" applyBorder="1" applyAlignment="1">
      <alignment horizontal="center"/>
    </xf>
    <xf numFmtId="0" fontId="1" fillId="9" borderId="17" xfId="0" applyFont="1" applyFill="1" applyBorder="1"/>
    <xf numFmtId="168" fontId="1" fillId="9" borderId="9" xfId="10" applyNumberFormat="1" applyFont="1" applyFill="1" applyBorder="1" applyAlignment="1">
      <alignment horizontal="center"/>
    </xf>
    <xf numFmtId="168" fontId="1" fillId="9" borderId="9" xfId="10" applyNumberFormat="1" applyFont="1" applyFill="1" applyBorder="1" applyAlignment="1">
      <alignment horizontal="right"/>
    </xf>
    <xf numFmtId="168" fontId="1" fillId="9" borderId="0" xfId="10" applyNumberFormat="1" applyFont="1" applyFill="1"/>
    <xf numFmtId="168" fontId="1" fillId="9" borderId="12" xfId="10" applyNumberFormat="1" applyFont="1" applyFill="1" applyBorder="1" applyAlignment="1">
      <alignment horizontal="right"/>
    </xf>
    <xf numFmtId="168" fontId="1" fillId="9" borderId="11" xfId="10" applyNumberFormat="1" applyFont="1" applyFill="1" applyBorder="1" applyAlignment="1">
      <alignment horizontal="right"/>
    </xf>
    <xf numFmtId="0" fontId="1" fillId="9" borderId="3" xfId="0" applyFont="1" applyFill="1" applyBorder="1"/>
    <xf numFmtId="168" fontId="1" fillId="9" borderId="10" xfId="10" applyNumberFormat="1" applyFont="1" applyFill="1" applyBorder="1" applyAlignment="1">
      <alignment horizontal="center"/>
    </xf>
    <xf numFmtId="168" fontId="1" fillId="9" borderId="13" xfId="10" applyNumberFormat="1" applyFont="1" applyFill="1" applyBorder="1" applyAlignment="1">
      <alignment horizontal="center"/>
    </xf>
    <xf numFmtId="168" fontId="1" fillId="9" borderId="0" xfId="10" applyNumberFormat="1" applyFont="1" applyFill="1" applyAlignment="1">
      <alignment horizontal="right"/>
    </xf>
    <xf numFmtId="168" fontId="1" fillId="9" borderId="11" xfId="10" applyNumberFormat="1" applyFont="1" applyFill="1" applyBorder="1" applyAlignment="1">
      <alignment horizontal="center"/>
    </xf>
    <xf numFmtId="168" fontId="1" fillId="9" borderId="17" xfId="10" applyNumberFormat="1" applyFont="1" applyFill="1" applyBorder="1"/>
    <xf numFmtId="0" fontId="1" fillId="9" borderId="9" xfId="0" quotePrefix="1" applyFont="1" applyFill="1" applyBorder="1" applyAlignment="1">
      <alignment horizontal="center"/>
    </xf>
    <xf numFmtId="166" fontId="1" fillId="9" borderId="9" xfId="10" applyNumberFormat="1" applyFont="1" applyFill="1" applyBorder="1" applyAlignment="1">
      <alignment horizontal="center"/>
    </xf>
    <xf numFmtId="168" fontId="1" fillId="9" borderId="9" xfId="10" applyNumberFormat="1" applyFont="1" applyFill="1" applyBorder="1" applyAlignment="1">
      <alignment vertical="center"/>
    </xf>
    <xf numFmtId="0" fontId="1" fillId="9" borderId="29" xfId="0" quotePrefix="1" applyFont="1" applyFill="1" applyBorder="1" applyAlignment="1">
      <alignment horizontal="center"/>
    </xf>
    <xf numFmtId="168" fontId="1" fillId="9" borderId="29" xfId="10" applyNumberFormat="1" applyFont="1" applyFill="1" applyBorder="1"/>
    <xf numFmtId="166" fontId="1" fillId="9" borderId="17" xfId="10" applyNumberFormat="1" applyFont="1" applyFill="1" applyBorder="1" applyAlignment="1">
      <alignment horizontal="center"/>
    </xf>
    <xf numFmtId="168" fontId="1" fillId="9" borderId="17" xfId="10" applyNumberFormat="1" applyFont="1" applyFill="1" applyBorder="1" applyAlignment="1">
      <alignment vertical="center"/>
    </xf>
    <xf numFmtId="168" fontId="1" fillId="9" borderId="17" xfId="10" applyNumberFormat="1" applyFont="1" applyFill="1" applyBorder="1" applyAlignment="1">
      <alignment horizontal="right"/>
    </xf>
    <xf numFmtId="168" fontId="1" fillId="9" borderId="17" xfId="10" applyNumberFormat="1" applyFont="1" applyFill="1" applyBorder="1" applyAlignment="1">
      <alignment horizontal="center"/>
    </xf>
    <xf numFmtId="166" fontId="1" fillId="9" borderId="15" xfId="10" applyNumberFormat="1" applyFont="1" applyFill="1" applyBorder="1" applyAlignment="1">
      <alignment horizontal="center"/>
    </xf>
    <xf numFmtId="168" fontId="1" fillId="9" borderId="15" xfId="10" applyNumberFormat="1" applyFont="1" applyFill="1" applyBorder="1" applyAlignment="1">
      <alignment vertical="center"/>
    </xf>
    <xf numFmtId="168" fontId="1" fillId="9" borderId="3" xfId="10" applyNumberFormat="1" applyFont="1" applyFill="1" applyBorder="1" applyAlignment="1">
      <alignment horizontal="right"/>
    </xf>
    <xf numFmtId="168" fontId="1" fillId="0" borderId="27" xfId="10" applyNumberFormat="1" applyFont="1" applyBorder="1" applyAlignment="1">
      <alignment horizontal="left" vertical="center"/>
    </xf>
    <xf numFmtId="0" fontId="1" fillId="8" borderId="0" xfId="0" applyFont="1" applyFill="1" applyAlignment="1"/>
    <xf numFmtId="173" fontId="9" fillId="0" borderId="15" xfId="10" applyNumberFormat="1" applyFont="1" applyBorder="1" applyAlignment="1">
      <alignment horizontal="right" vertical="center"/>
    </xf>
    <xf numFmtId="176" fontId="9" fillId="0" borderId="19" xfId="0" applyNumberFormat="1" applyFont="1" applyBorder="1"/>
    <xf numFmtId="49" fontId="20" fillId="9" borderId="0" xfId="8" applyNumberFormat="1" applyFont="1" applyFill="1" applyBorder="1" applyAlignment="1">
      <alignment horizontal="center" vertical="center"/>
    </xf>
    <xf numFmtId="49" fontId="20" fillId="9" borderId="9" xfId="8" applyNumberFormat="1" applyFont="1" applyFill="1" applyBorder="1" applyAlignment="1">
      <alignment horizontal="center" vertical="center"/>
    </xf>
    <xf numFmtId="168" fontId="6" fillId="9" borderId="3" xfId="10" applyNumberFormat="1" applyFont="1" applyFill="1" applyBorder="1" applyAlignment="1">
      <alignment horizontal="right"/>
    </xf>
    <xf numFmtId="4" fontId="9" fillId="9" borderId="0" xfId="0" applyNumberFormat="1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165" fontId="5" fillId="12" borderId="9" xfId="0" applyNumberFormat="1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/>
    </xf>
    <xf numFmtId="166" fontId="9" fillId="9" borderId="3" xfId="10" applyNumberFormat="1" applyFont="1" applyFill="1" applyBorder="1" applyAlignment="1">
      <alignment horizontal="center"/>
    </xf>
    <xf numFmtId="168" fontId="9" fillId="9" borderId="12" xfId="10" applyNumberFormat="1" applyFont="1" applyFill="1" applyBorder="1" applyAlignment="1">
      <alignment horizontal="right"/>
    </xf>
    <xf numFmtId="166" fontId="9" fillId="9" borderId="15" xfId="10" applyNumberFormat="1" applyFont="1" applyFill="1" applyBorder="1" applyAlignment="1">
      <alignment horizontal="center"/>
    </xf>
    <xf numFmtId="168" fontId="9" fillId="9" borderId="11" xfId="10" applyNumberFormat="1" applyFont="1" applyFill="1" applyBorder="1" applyAlignment="1">
      <alignment horizontal="right"/>
    </xf>
    <xf numFmtId="168" fontId="9" fillId="9" borderId="15" xfId="10" applyNumberFormat="1" applyFont="1" applyFill="1" applyBorder="1" applyAlignment="1">
      <alignment horizontal="center"/>
    </xf>
    <xf numFmtId="168" fontId="9" fillId="9" borderId="3" xfId="10" applyNumberFormat="1" applyFont="1" applyFill="1" applyBorder="1" applyAlignment="1">
      <alignment horizontal="right"/>
    </xf>
    <xf numFmtId="168" fontId="9" fillId="9" borderId="10" xfId="10" applyNumberFormat="1" applyFont="1" applyFill="1" applyBorder="1" applyAlignment="1">
      <alignment horizontal="right"/>
    </xf>
    <xf numFmtId="164" fontId="9" fillId="9" borderId="13" xfId="10" applyNumberFormat="1" applyFont="1" applyFill="1" applyBorder="1" applyAlignment="1">
      <alignment vertical="center"/>
    </xf>
    <xf numFmtId="165" fontId="5" fillId="13" borderId="9" xfId="0" applyNumberFormat="1" applyFont="1" applyFill="1" applyBorder="1" applyAlignment="1">
      <alignment horizontal="center"/>
    </xf>
    <xf numFmtId="2" fontId="5" fillId="13" borderId="9" xfId="0" applyNumberFormat="1" applyFont="1" applyFill="1" applyBorder="1" applyAlignment="1">
      <alignment horizontal="center"/>
    </xf>
    <xf numFmtId="3" fontId="5" fillId="13" borderId="9" xfId="0" applyNumberFormat="1" applyFont="1" applyFill="1" applyBorder="1" applyAlignment="1">
      <alignment horizontal="center"/>
    </xf>
    <xf numFmtId="3" fontId="5" fillId="12" borderId="9" xfId="0" applyNumberFormat="1" applyFont="1" applyFill="1" applyBorder="1" applyAlignment="1">
      <alignment horizontal="center"/>
    </xf>
    <xf numFmtId="0" fontId="5" fillId="13" borderId="9" xfId="0" applyFont="1" applyFill="1" applyBorder="1" applyAlignment="1">
      <alignment horizontal="center"/>
    </xf>
    <xf numFmtId="164" fontId="9" fillId="9" borderId="10" xfId="10" applyNumberFormat="1" applyFont="1" applyFill="1" applyBorder="1" applyAlignment="1">
      <alignment horizontal="center"/>
    </xf>
    <xf numFmtId="0" fontId="10" fillId="9" borderId="5" xfId="0" applyFont="1" applyFill="1" applyBorder="1"/>
    <xf numFmtId="0" fontId="10" fillId="9" borderId="7" xfId="0" applyFont="1" applyFill="1" applyBorder="1"/>
    <xf numFmtId="0" fontId="10" fillId="9" borderId="6" xfId="0" applyFont="1" applyFill="1" applyBorder="1"/>
    <xf numFmtId="0" fontId="1" fillId="9" borderId="0" xfId="0" applyFont="1" applyFill="1" applyBorder="1"/>
    <xf numFmtId="49" fontId="1" fillId="9" borderId="0" xfId="0" applyNumberFormat="1" applyFont="1" applyFill="1" applyBorder="1" applyAlignment="1">
      <alignment vertical="center"/>
    </xf>
    <xf numFmtId="0" fontId="33" fillId="9" borderId="11" xfId="0" applyFont="1" applyFill="1" applyBorder="1" applyAlignment="1">
      <alignment vertical="center"/>
    </xf>
    <xf numFmtId="0" fontId="1" fillId="9" borderId="17" xfId="6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61" fillId="9" borderId="0" xfId="0" applyFont="1" applyFill="1" applyBorder="1" applyAlignment="1">
      <alignment horizontal="center"/>
    </xf>
    <xf numFmtId="166" fontId="5" fillId="7" borderId="31" xfId="10" applyNumberFormat="1" applyFont="1" applyFill="1" applyBorder="1"/>
    <xf numFmtId="166" fontId="9" fillId="21" borderId="19" xfId="10" applyNumberFormat="1" applyFont="1" applyFill="1" applyBorder="1"/>
    <xf numFmtId="16" fontId="16" fillId="9" borderId="17" xfId="0" applyNumberFormat="1" applyFont="1" applyFill="1" applyBorder="1" applyAlignment="1">
      <alignment horizontal="center"/>
    </xf>
    <xf numFmtId="0" fontId="8" fillId="9" borderId="0" xfId="0" applyFont="1" applyFill="1" applyBorder="1"/>
    <xf numFmtId="164" fontId="0" fillId="0" borderId="0" xfId="10" applyFont="1" applyBorder="1"/>
    <xf numFmtId="164" fontId="1" fillId="0" borderId="0" xfId="10" applyFont="1" applyBorder="1"/>
    <xf numFmtId="0" fontId="0" fillId="0" borderId="6" xfId="0" applyBorder="1"/>
    <xf numFmtId="2" fontId="13" fillId="9" borderId="0" xfId="0" applyNumberFormat="1" applyFont="1" applyFill="1" applyAlignment="1">
      <alignment horizontal="left"/>
    </xf>
    <xf numFmtId="0" fontId="14" fillId="9" borderId="11" xfId="0" applyFont="1" applyFill="1" applyBorder="1" applyAlignment="1">
      <alignment vertical="center"/>
    </xf>
    <xf numFmtId="2" fontId="0" fillId="0" borderId="6" xfId="0" applyNumberFormat="1" applyBorder="1"/>
    <xf numFmtId="0" fontId="1" fillId="9" borderId="0" xfId="0" applyFont="1" applyFill="1"/>
    <xf numFmtId="0" fontId="5" fillId="20" borderId="0" xfId="0" applyFont="1" applyFill="1" applyBorder="1"/>
    <xf numFmtId="168" fontId="0" fillId="0" borderId="15" xfId="10" applyNumberFormat="1" applyFont="1" applyBorder="1"/>
    <xf numFmtId="168" fontId="0" fillId="0" borderId="3" xfId="10" applyNumberFormat="1" applyFont="1" applyBorder="1"/>
    <xf numFmtId="168" fontId="0" fillId="0" borderId="26" xfId="10" applyNumberFormat="1" applyFont="1" applyBorder="1"/>
    <xf numFmtId="168" fontId="9" fillId="17" borderId="3" xfId="10" applyNumberFormat="1" applyFont="1" applyFill="1" applyBorder="1"/>
    <xf numFmtId="171" fontId="25" fillId="0" borderId="16" xfId="9" applyNumberFormat="1" applyFont="1" applyFill="1" applyBorder="1" applyAlignment="1">
      <alignment horizontal="right" vertical="center"/>
    </xf>
    <xf numFmtId="171" fontId="25" fillId="0" borderId="17" xfId="9" applyNumberFormat="1" applyFont="1" applyFill="1" applyBorder="1" applyAlignment="1">
      <alignment horizontal="right" vertical="center"/>
    </xf>
    <xf numFmtId="171" fontId="25" fillId="0" borderId="15" xfId="9" applyNumberFormat="1" applyFont="1" applyFill="1" applyBorder="1" applyAlignment="1">
      <alignment horizontal="right" vertical="center"/>
    </xf>
    <xf numFmtId="168" fontId="0" fillId="0" borderId="17" xfId="10" applyNumberFormat="1" applyFont="1" applyBorder="1"/>
    <xf numFmtId="171" fontId="26" fillId="17" borderId="10" xfId="9" applyNumberFormat="1" applyFont="1" applyFill="1" applyBorder="1" applyAlignment="1">
      <alignment horizontal="right" vertical="center"/>
    </xf>
    <xf numFmtId="171" fontId="26" fillId="17" borderId="3" xfId="9" applyNumberFormat="1" applyFont="1" applyFill="1" applyBorder="1" applyAlignment="1">
      <alignment horizontal="right" vertical="center"/>
    </xf>
    <xf numFmtId="165" fontId="9" fillId="17" borderId="14" xfId="0" applyNumberFormat="1" applyFont="1" applyFill="1" applyBorder="1"/>
    <xf numFmtId="165" fontId="0" fillId="0" borderId="12" xfId="0" applyNumberFormat="1" applyBorder="1"/>
    <xf numFmtId="165" fontId="9" fillId="17" borderId="4" xfId="0" applyNumberFormat="1" applyFont="1" applyFill="1" applyBorder="1"/>
    <xf numFmtId="165" fontId="5" fillId="13" borderId="9" xfId="0" applyNumberFormat="1" applyFont="1" applyFill="1" applyBorder="1" applyAlignment="1">
      <alignment horizontal="center" vertical="center" wrapText="1"/>
    </xf>
    <xf numFmtId="0" fontId="1" fillId="20" borderId="0" xfId="0" applyFont="1" applyFill="1"/>
    <xf numFmtId="2" fontId="5" fillId="12" borderId="9" xfId="0" applyNumberFormat="1" applyFont="1" applyFill="1" applyBorder="1" applyAlignment="1">
      <alignment horizontal="center"/>
    </xf>
    <xf numFmtId="2" fontId="5" fillId="12" borderId="0" xfId="0" applyNumberFormat="1" applyFont="1" applyFill="1" applyBorder="1" applyAlignment="1">
      <alignment horizontal="center"/>
    </xf>
    <xf numFmtId="0" fontId="1" fillId="20" borderId="0" xfId="0" applyFont="1" applyFill="1" applyAlignment="1"/>
    <xf numFmtId="171" fontId="32" fillId="17" borderId="3" xfId="9" applyNumberFormat="1" applyFont="1" applyFill="1" applyBorder="1" applyAlignment="1">
      <alignment horizontal="right" vertical="center"/>
    </xf>
    <xf numFmtId="2" fontId="0" fillId="0" borderId="0" xfId="0" applyNumberFormat="1"/>
    <xf numFmtId="0" fontId="9" fillId="7" borderId="0" xfId="0" applyFont="1" applyFill="1" applyBorder="1" applyAlignment="1">
      <alignment horizontal="left"/>
    </xf>
    <xf numFmtId="2" fontId="0" fillId="0" borderId="0" xfId="0" applyNumberFormat="1" applyBorder="1"/>
    <xf numFmtId="0" fontId="5" fillId="9" borderId="20" xfId="0" applyFont="1" applyFill="1" applyBorder="1" applyAlignment="1">
      <alignment horizontal="center"/>
    </xf>
    <xf numFmtId="168" fontId="1" fillId="9" borderId="20" xfId="10" applyNumberFormat="1" applyFont="1" applyFill="1" applyBorder="1"/>
    <xf numFmtId="168" fontId="5" fillId="9" borderId="20" xfId="10" applyNumberFormat="1" applyFont="1" applyFill="1" applyBorder="1"/>
    <xf numFmtId="166" fontId="5" fillId="9" borderId="20" xfId="10" applyNumberFormat="1" applyFont="1" applyFill="1" applyBorder="1"/>
    <xf numFmtId="0" fontId="1" fillId="13" borderId="20" xfId="0" applyFont="1" applyFill="1" applyBorder="1" applyAlignment="1">
      <alignment horizontal="center"/>
    </xf>
    <xf numFmtId="2" fontId="0" fillId="0" borderId="1" xfId="0" applyNumberFormat="1" applyBorder="1"/>
    <xf numFmtId="0" fontId="9" fillId="2" borderId="1" xfId="0" applyFont="1" applyFill="1" applyBorder="1" applyAlignment="1"/>
    <xf numFmtId="0" fontId="9" fillId="13" borderId="1" xfId="0" applyFont="1" applyFill="1" applyBorder="1" applyAlignment="1">
      <alignment horizontal="left"/>
    </xf>
    <xf numFmtId="168" fontId="0" fillId="0" borderId="9" xfId="10" applyNumberFormat="1" applyFont="1" applyBorder="1"/>
    <xf numFmtId="168" fontId="0" fillId="2" borderId="24" xfId="10" applyNumberFormat="1" applyFont="1" applyFill="1" applyBorder="1"/>
    <xf numFmtId="0" fontId="0" fillId="13" borderId="18" xfId="0" applyFill="1" applyBorder="1" applyAlignment="1">
      <alignment horizontal="center"/>
    </xf>
    <xf numFmtId="168" fontId="0" fillId="0" borderId="17" xfId="10" applyNumberFormat="1" applyFont="1" applyBorder="1" applyAlignment="1"/>
    <xf numFmtId="168" fontId="0" fillId="0" borderId="17" xfId="10" applyNumberFormat="1" applyFont="1" applyBorder="1" applyAlignment="1">
      <alignment horizontal="center"/>
    </xf>
    <xf numFmtId="168" fontId="0" fillId="2" borderId="25" xfId="10" applyNumberFormat="1" applyFont="1" applyFill="1" applyBorder="1"/>
    <xf numFmtId="170" fontId="0" fillId="0" borderId="17" xfId="10" applyNumberFormat="1" applyFont="1" applyBorder="1"/>
    <xf numFmtId="168" fontId="9" fillId="13" borderId="24" xfId="10" applyNumberFormat="1" applyFont="1" applyFill="1" applyBorder="1"/>
    <xf numFmtId="170" fontId="9" fillId="13" borderId="25" xfId="0" applyNumberFormat="1" applyFont="1" applyFill="1" applyBorder="1"/>
    <xf numFmtId="2" fontId="9" fillId="13" borderId="1" xfId="0" applyNumberFormat="1" applyFont="1" applyFill="1" applyBorder="1"/>
    <xf numFmtId="0" fontId="1" fillId="13" borderId="18" xfId="0" applyFont="1" applyFill="1" applyBorder="1" applyAlignment="1">
      <alignment horizontal="center"/>
    </xf>
    <xf numFmtId="0" fontId="6" fillId="9" borderId="15" xfId="0" applyFont="1" applyFill="1" applyBorder="1"/>
    <xf numFmtId="168" fontId="44" fillId="9" borderId="14" xfId="10" applyNumberFormat="1" applyFont="1" applyFill="1" applyBorder="1"/>
    <xf numFmtId="0" fontId="6" fillId="9" borderId="9" xfId="0" applyFont="1" applyFill="1" applyBorder="1" applyAlignment="1">
      <alignment horizontal="right"/>
    </xf>
    <xf numFmtId="0" fontId="5" fillId="20" borderId="9" xfId="0" applyFont="1" applyFill="1" applyBorder="1"/>
    <xf numFmtId="3" fontId="9" fillId="7" borderId="0" xfId="0" applyNumberFormat="1" applyFont="1" applyFill="1" applyBorder="1" applyAlignment="1">
      <alignment horizontal="right" vertical="top" wrapText="1"/>
    </xf>
    <xf numFmtId="164" fontId="9" fillId="7" borderId="0" xfId="10" quotePrefix="1" applyNumberFormat="1" applyFont="1" applyFill="1" applyBorder="1" applyAlignment="1">
      <alignment horizontal="right"/>
    </xf>
    <xf numFmtId="4" fontId="9" fillId="7" borderId="0" xfId="0" applyNumberFormat="1" applyFont="1" applyFill="1" applyBorder="1"/>
    <xf numFmtId="4" fontId="54" fillId="7" borderId="0" xfId="0" applyNumberFormat="1" applyFont="1" applyFill="1" applyBorder="1"/>
    <xf numFmtId="164" fontId="9" fillId="9" borderId="15" xfId="1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0" fontId="1" fillId="0" borderId="30" xfId="0" applyFont="1" applyBorder="1"/>
    <xf numFmtId="168" fontId="5" fillId="0" borderId="0" xfId="10" applyNumberFormat="1" applyFont="1"/>
    <xf numFmtId="0" fontId="1" fillId="0" borderId="9" xfId="0" applyFont="1" applyBorder="1"/>
    <xf numFmtId="168" fontId="1" fillId="7" borderId="24" xfId="10" applyNumberFormat="1" applyFont="1" applyFill="1" applyBorder="1" applyAlignment="1">
      <alignment horizontal="left"/>
    </xf>
    <xf numFmtId="168" fontId="5" fillId="0" borderId="24" xfId="10" applyNumberFormat="1" applyFont="1" applyBorder="1"/>
    <xf numFmtId="166" fontId="9" fillId="21" borderId="25" xfId="10" applyNumberFormat="1" applyFont="1" applyFill="1" applyBorder="1"/>
    <xf numFmtId="165" fontId="60" fillId="13" borderId="9" xfId="0" applyNumberFormat="1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 vertical="center" wrapText="1"/>
    </xf>
    <xf numFmtId="167" fontId="6" fillId="0" borderId="3" xfId="0" applyNumberFormat="1" applyFont="1" applyBorder="1"/>
    <xf numFmtId="167" fontId="6" fillId="0" borderId="4" xfId="0" applyNumberFormat="1" applyFont="1" applyBorder="1"/>
    <xf numFmtId="167" fontId="1" fillId="0" borderId="3" xfId="0" applyNumberFormat="1" applyFont="1" applyBorder="1"/>
    <xf numFmtId="167" fontId="1" fillId="0" borderId="4" xfId="0" applyNumberFormat="1" applyFont="1" applyBorder="1"/>
    <xf numFmtId="167" fontId="9" fillId="4" borderId="3" xfId="0" applyNumberFormat="1" applyFont="1" applyFill="1" applyBorder="1"/>
    <xf numFmtId="167" fontId="1" fillId="17" borderId="3" xfId="0" applyNumberFormat="1" applyFont="1" applyFill="1" applyBorder="1"/>
    <xf numFmtId="167" fontId="9" fillId="17" borderId="4" xfId="0" applyNumberFormat="1" applyFont="1" applyFill="1" applyBorder="1"/>
    <xf numFmtId="167" fontId="9" fillId="0" borderId="3" xfId="0" applyNumberFormat="1" applyFont="1" applyBorder="1"/>
    <xf numFmtId="167" fontId="9" fillId="0" borderId="4" xfId="0" applyNumberFormat="1" applyFont="1" applyBorder="1"/>
    <xf numFmtId="167" fontId="9" fillId="4" borderId="4" xfId="0" applyNumberFormat="1" applyFont="1" applyFill="1" applyBorder="1"/>
    <xf numFmtId="167" fontId="6" fillId="2" borderId="3" xfId="10" quotePrefix="1" applyNumberFormat="1" applyFont="1" applyFill="1" applyBorder="1" applyAlignment="1">
      <alignment horizontal="right"/>
    </xf>
    <xf numFmtId="167" fontId="6" fillId="2" borderId="4" xfId="10" quotePrefix="1" applyNumberFormat="1" applyFont="1" applyFill="1" applyBorder="1" applyAlignment="1">
      <alignment horizontal="right"/>
    </xf>
    <xf numFmtId="168" fontId="9" fillId="17" borderId="3" xfId="10" quotePrefix="1" applyNumberFormat="1" applyFont="1" applyFill="1" applyBorder="1" applyAlignment="1">
      <alignment horizontal="right"/>
    </xf>
    <xf numFmtId="167" fontId="1" fillId="0" borderId="3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7" fontId="9" fillId="4" borderId="18" xfId="0" applyNumberFormat="1" applyFont="1" applyFill="1" applyBorder="1" applyAlignment="1">
      <alignment horizontal="center" vertical="center"/>
    </xf>
    <xf numFmtId="167" fontId="9" fillId="4" borderId="19" xfId="10" quotePrefix="1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9" fillId="4" borderId="18" xfId="0" applyNumberFormat="1" applyFont="1" applyFill="1" applyBorder="1" applyAlignment="1">
      <alignment horizontal="center" vertical="center"/>
    </xf>
    <xf numFmtId="0" fontId="32" fillId="7" borderId="22" xfId="13" applyFont="1" applyFill="1" applyBorder="1" applyAlignment="1">
      <alignment horizontal="center" vertical="center"/>
    </xf>
    <xf numFmtId="167" fontId="9" fillId="7" borderId="13" xfId="10" applyNumberFormat="1" applyFont="1" applyFill="1" applyBorder="1" applyAlignment="1" applyProtection="1">
      <alignment horizontal="center" vertical="center"/>
    </xf>
    <xf numFmtId="167" fontId="9" fillId="7" borderId="10" xfId="10" applyNumberFormat="1" applyFont="1" applyFill="1" applyBorder="1" applyAlignment="1" applyProtection="1">
      <alignment horizontal="center" vertical="center"/>
    </xf>
    <xf numFmtId="0" fontId="32" fillId="7" borderId="10" xfId="13" applyFont="1" applyFill="1" applyBorder="1" applyAlignment="1">
      <alignment horizontal="center" vertical="center" wrapText="1"/>
    </xf>
    <xf numFmtId="0" fontId="32" fillId="0" borderId="13" xfId="13" applyFont="1" applyBorder="1" applyAlignment="1">
      <alignment horizontal="center" vertical="center" wrapText="1"/>
    </xf>
    <xf numFmtId="167" fontId="9" fillId="0" borderId="9" xfId="10" applyNumberFormat="1" applyFont="1" applyFill="1" applyBorder="1" applyAlignment="1" applyProtection="1">
      <alignment horizontal="center" vertical="center"/>
    </xf>
    <xf numFmtId="0" fontId="32" fillId="0" borderId="10" xfId="13" applyFont="1" applyBorder="1" applyAlignment="1">
      <alignment horizontal="center" vertical="center" wrapText="1"/>
    </xf>
    <xf numFmtId="0" fontId="9" fillId="23" borderId="43" xfId="0" applyFont="1" applyFill="1" applyBorder="1" applyAlignment="1">
      <alignment horizontal="center" vertical="center"/>
    </xf>
    <xf numFmtId="0" fontId="9" fillId="23" borderId="25" xfId="0" applyFont="1" applyFill="1" applyBorder="1" applyAlignment="1">
      <alignment horizontal="center" vertical="center"/>
    </xf>
    <xf numFmtId="0" fontId="9" fillId="23" borderId="44" xfId="0" applyFont="1" applyFill="1" applyBorder="1" applyAlignment="1">
      <alignment horizontal="center" vertical="center"/>
    </xf>
    <xf numFmtId="0" fontId="9" fillId="23" borderId="24" xfId="0" applyFont="1" applyFill="1" applyBorder="1" applyAlignment="1">
      <alignment horizontal="center" vertical="center"/>
    </xf>
    <xf numFmtId="0" fontId="9" fillId="23" borderId="31" xfId="0" applyFont="1" applyFill="1" applyBorder="1" applyAlignment="1">
      <alignment horizontal="center" vertical="center"/>
    </xf>
    <xf numFmtId="0" fontId="9" fillId="23" borderId="37" xfId="0" applyFont="1" applyFill="1" applyBorder="1" applyAlignment="1">
      <alignment horizontal="left" vertical="center"/>
    </xf>
    <xf numFmtId="173" fontId="9" fillId="23" borderId="43" xfId="10" applyNumberFormat="1" applyFont="1" applyFill="1" applyBorder="1" applyAlignment="1" applyProtection="1">
      <alignment horizontal="center" vertical="center"/>
    </xf>
    <xf numFmtId="173" fontId="9" fillId="23" borderId="1" xfId="10" applyNumberFormat="1" applyFont="1" applyFill="1" applyBorder="1" applyAlignment="1" applyProtection="1">
      <alignment horizontal="center" vertical="center"/>
    </xf>
    <xf numFmtId="173" fontId="9" fillId="23" borderId="24" xfId="10" applyNumberFormat="1" applyFont="1" applyFill="1" applyBorder="1" applyAlignment="1" applyProtection="1">
      <alignment horizontal="center" vertical="center"/>
    </xf>
    <xf numFmtId="175" fontId="9" fillId="23" borderId="31" xfId="10" applyNumberFormat="1" applyFont="1" applyFill="1" applyBorder="1" applyAlignment="1" applyProtection="1">
      <alignment horizontal="center" vertical="center"/>
    </xf>
    <xf numFmtId="173" fontId="9" fillId="7" borderId="22" xfId="10" applyNumberFormat="1" applyFont="1" applyFill="1" applyBorder="1" applyAlignment="1" applyProtection="1">
      <alignment vertical="center"/>
      <protection locked="0"/>
    </xf>
    <xf numFmtId="173" fontId="9" fillId="7" borderId="23" xfId="10" applyNumberFormat="1" applyFont="1" applyFill="1" applyBorder="1" applyAlignment="1">
      <alignment horizontal="right" vertical="center"/>
    </xf>
    <xf numFmtId="175" fontId="9" fillId="7" borderId="56" xfId="10" applyNumberFormat="1" applyFont="1" applyFill="1" applyBorder="1" applyAlignment="1" applyProtection="1">
      <alignment horizontal="center" vertical="center"/>
    </xf>
    <xf numFmtId="178" fontId="9" fillId="7" borderId="53" xfId="10" applyNumberFormat="1" applyFont="1" applyFill="1" applyBorder="1" applyAlignment="1">
      <alignment vertical="center"/>
    </xf>
    <xf numFmtId="173" fontId="9" fillId="7" borderId="23" xfId="10" applyNumberFormat="1" applyFont="1" applyFill="1" applyBorder="1" applyAlignment="1" applyProtection="1">
      <alignment horizontal="center" vertical="center"/>
    </xf>
    <xf numFmtId="173" fontId="9" fillId="7" borderId="21" xfId="10" applyNumberFormat="1" applyFont="1" applyFill="1" applyBorder="1" applyAlignment="1" applyProtection="1">
      <alignment vertical="center"/>
    </xf>
    <xf numFmtId="175" fontId="9" fillId="7" borderId="35" xfId="10" applyNumberFormat="1" applyFont="1" applyFill="1" applyBorder="1" applyAlignment="1" applyProtection="1">
      <alignment horizontal="center" vertical="center"/>
    </xf>
    <xf numFmtId="173" fontId="9" fillId="7" borderId="3" xfId="10" applyNumberFormat="1" applyFont="1" applyFill="1" applyBorder="1" applyAlignment="1" applyProtection="1">
      <alignment vertical="center"/>
      <protection locked="0"/>
    </xf>
    <xf numFmtId="173" fontId="9" fillId="7" borderId="10" xfId="10" applyNumberFormat="1" applyFont="1" applyFill="1" applyBorder="1" applyAlignment="1" applyProtection="1">
      <alignment vertical="center"/>
      <protection locked="0"/>
    </xf>
    <xf numFmtId="173" fontId="9" fillId="7" borderId="3" xfId="10" applyNumberFormat="1" applyFont="1" applyFill="1" applyBorder="1" applyAlignment="1">
      <alignment horizontal="right" vertical="center"/>
    </xf>
    <xf numFmtId="175" fontId="9" fillId="7" borderId="50" xfId="10" applyNumberFormat="1" applyFont="1" applyFill="1" applyBorder="1" applyAlignment="1" applyProtection="1">
      <alignment horizontal="center" vertical="center"/>
    </xf>
    <xf numFmtId="178" fontId="9" fillId="7" borderId="49" xfId="10" applyNumberFormat="1" applyFont="1" applyFill="1" applyBorder="1" applyAlignment="1">
      <alignment vertical="center"/>
    </xf>
    <xf numFmtId="173" fontId="9" fillId="7" borderId="15" xfId="10" applyNumberFormat="1" applyFont="1" applyFill="1" applyBorder="1" applyAlignment="1" applyProtection="1">
      <alignment horizontal="center" vertical="center"/>
    </xf>
    <xf numFmtId="173" fontId="9" fillId="7" borderId="48" xfId="10" applyNumberFormat="1" applyFont="1" applyFill="1" applyBorder="1" applyAlignment="1" applyProtection="1">
      <alignment vertical="center"/>
    </xf>
    <xf numFmtId="175" fontId="9" fillId="7" borderId="12" xfId="10" applyNumberFormat="1" applyFont="1" applyFill="1" applyBorder="1" applyAlignment="1" applyProtection="1">
      <alignment horizontal="center" vertical="center"/>
    </xf>
    <xf numFmtId="173" fontId="1" fillId="7" borderId="48" xfId="10" applyNumberFormat="1" applyFont="1" applyFill="1" applyBorder="1" applyAlignment="1">
      <alignment horizontal="right" vertical="center"/>
    </xf>
    <xf numFmtId="173" fontId="1" fillId="7" borderId="15" xfId="10" applyNumberFormat="1" applyFont="1" applyFill="1" applyBorder="1" applyAlignment="1">
      <alignment horizontal="right" vertical="center"/>
    </xf>
    <xf numFmtId="175" fontId="1" fillId="7" borderId="46" xfId="10" applyNumberFormat="1" applyFont="1" applyFill="1" applyBorder="1" applyAlignment="1" applyProtection="1">
      <alignment horizontal="center" vertical="center"/>
    </xf>
    <xf numFmtId="178" fontId="1" fillId="7" borderId="48" xfId="10" applyNumberFormat="1" applyFont="1" applyFill="1" applyBorder="1" applyAlignment="1">
      <alignment vertical="center"/>
    </xf>
    <xf numFmtId="173" fontId="1" fillId="7" borderId="13" xfId="10" applyNumberFormat="1" applyFont="1" applyFill="1" applyBorder="1" applyAlignment="1" applyProtection="1">
      <alignment horizontal="center" vertical="center"/>
    </xf>
    <xf numFmtId="173" fontId="6" fillId="7" borderId="47" xfId="10" applyNumberFormat="1" applyFont="1" applyFill="1" applyBorder="1" applyAlignment="1" applyProtection="1">
      <alignment vertical="center"/>
    </xf>
    <xf numFmtId="175" fontId="6" fillId="7" borderId="12" xfId="10" applyNumberFormat="1" applyFont="1" applyFill="1" applyBorder="1" applyAlignment="1" applyProtection="1">
      <alignment horizontal="center" vertical="center"/>
    </xf>
    <xf numFmtId="173" fontId="9" fillId="7" borderId="49" xfId="10" applyNumberFormat="1" applyFont="1" applyFill="1" applyBorder="1" applyAlignment="1" applyProtection="1">
      <alignment vertical="center"/>
    </xf>
    <xf numFmtId="173" fontId="9" fillId="7" borderId="14" xfId="10" applyNumberFormat="1" applyFont="1" applyFill="1" applyBorder="1" applyAlignment="1" applyProtection="1">
      <alignment vertical="center"/>
    </xf>
    <xf numFmtId="178" fontId="9" fillId="7" borderId="10" xfId="10" applyNumberFormat="1" applyFont="1" applyFill="1" applyBorder="1" applyAlignment="1">
      <alignment vertical="center"/>
    </xf>
    <xf numFmtId="175" fontId="9" fillId="7" borderId="4" xfId="10" applyNumberFormat="1" applyFont="1" applyFill="1" applyBorder="1" applyAlignment="1" applyProtection="1">
      <alignment horizontal="center" vertical="center"/>
    </xf>
    <xf numFmtId="173" fontId="9" fillId="7" borderId="3" xfId="10" applyNumberFormat="1" applyFont="1" applyFill="1" applyBorder="1" applyAlignment="1" applyProtection="1">
      <alignment horizontal="center" vertical="center"/>
    </xf>
    <xf numFmtId="173" fontId="1" fillId="7" borderId="11" xfId="10" applyNumberFormat="1" applyFont="1" applyFill="1" applyBorder="1" applyAlignment="1">
      <alignment horizontal="right" vertical="center"/>
    </xf>
    <xf numFmtId="173" fontId="9" fillId="7" borderId="3" xfId="10" applyNumberFormat="1" applyFont="1" applyFill="1" applyBorder="1" applyAlignment="1" applyProtection="1">
      <alignment vertical="center"/>
    </xf>
    <xf numFmtId="173" fontId="1" fillId="7" borderId="12" xfId="10" applyNumberFormat="1" applyFont="1" applyFill="1" applyBorder="1" applyAlignment="1">
      <alignment horizontal="right" vertical="center"/>
    </xf>
    <xf numFmtId="173" fontId="9" fillId="7" borderId="13" xfId="10" applyNumberFormat="1" applyFont="1" applyFill="1" applyBorder="1" applyAlignment="1" applyProtection="1">
      <alignment vertical="center"/>
      <protection locked="0"/>
    </xf>
    <xf numFmtId="175" fontId="9" fillId="7" borderId="46" xfId="10" applyNumberFormat="1" applyFont="1" applyFill="1" applyBorder="1" applyAlignment="1" applyProtection="1">
      <alignment horizontal="center" vertical="center"/>
    </xf>
    <xf numFmtId="173" fontId="9" fillId="7" borderId="11" xfId="10" applyNumberFormat="1" applyFont="1" applyFill="1" applyBorder="1" applyAlignment="1">
      <alignment horizontal="right" vertical="center"/>
    </xf>
    <xf numFmtId="173" fontId="1" fillId="7" borderId="15" xfId="10" applyNumberFormat="1" applyFont="1" applyFill="1" applyBorder="1" applyAlignment="1" applyProtection="1">
      <alignment horizontal="center" vertical="center"/>
    </xf>
    <xf numFmtId="0" fontId="4" fillId="23" borderId="30" xfId="0" applyFont="1" applyFill="1" applyBorder="1"/>
    <xf numFmtId="0" fontId="9" fillId="23" borderId="9" xfId="0" applyFont="1" applyFill="1" applyBorder="1" applyAlignment="1">
      <alignment horizontal="left" vertical="center"/>
    </xf>
    <xf numFmtId="0" fontId="9" fillId="23" borderId="24" xfId="0" applyFont="1" applyFill="1" applyBorder="1" applyAlignment="1">
      <alignment horizontal="left" vertical="center"/>
    </xf>
    <xf numFmtId="173" fontId="9" fillId="23" borderId="51" xfId="10" applyNumberFormat="1" applyFont="1" applyFill="1" applyBorder="1" applyAlignment="1" applyProtection="1">
      <alignment horizontal="center" vertical="center"/>
    </xf>
    <xf numFmtId="173" fontId="9" fillId="23" borderId="36" xfId="10" applyNumberFormat="1" applyFont="1" applyFill="1" applyBorder="1" applyAlignment="1" applyProtection="1">
      <alignment horizontal="center" vertical="center"/>
    </xf>
    <xf numFmtId="175" fontId="9" fillId="23" borderId="44" xfId="10" applyNumberFormat="1" applyFont="1" applyFill="1" applyBorder="1" applyAlignment="1" applyProtection="1">
      <alignment horizontal="center" vertical="center"/>
    </xf>
    <xf numFmtId="173" fontId="9" fillId="23" borderId="31" xfId="10" applyNumberFormat="1" applyFont="1" applyFill="1" applyBorder="1" applyAlignment="1" applyProtection="1">
      <alignment horizontal="center" vertical="center"/>
    </xf>
    <xf numFmtId="0" fontId="33" fillId="0" borderId="11" xfId="13" applyFont="1" applyBorder="1" applyAlignment="1">
      <alignment horizontal="left" vertical="center" wrapText="1"/>
    </xf>
    <xf numFmtId="173" fontId="6" fillId="0" borderId="17" xfId="10" applyNumberFormat="1" applyFont="1" applyFill="1" applyBorder="1" applyAlignment="1" applyProtection="1">
      <alignment vertical="center"/>
      <protection locked="0"/>
    </xf>
    <xf numFmtId="0" fontId="32" fillId="0" borderId="22" xfId="13" applyFont="1" applyBorder="1" applyAlignment="1">
      <alignment horizontal="center" vertical="center"/>
    </xf>
    <xf numFmtId="178" fontId="1" fillId="0" borderId="47" xfId="10" applyNumberFormat="1" applyFont="1" applyFill="1" applyBorder="1" applyAlignment="1">
      <alignment vertical="center"/>
    </xf>
    <xf numFmtId="173" fontId="6" fillId="0" borderId="15" xfId="10" applyNumberFormat="1" applyFont="1" applyFill="1" applyBorder="1" applyAlignment="1" applyProtection="1">
      <alignment vertical="center"/>
      <protection locked="0"/>
    </xf>
    <xf numFmtId="0" fontId="32" fillId="0" borderId="11" xfId="13" applyFont="1" applyBorder="1" applyAlignment="1">
      <alignment horizontal="left" vertical="center" wrapText="1"/>
    </xf>
    <xf numFmtId="167" fontId="14" fillId="0" borderId="11" xfId="10" applyNumberFormat="1" applyFont="1" applyFill="1" applyBorder="1" applyAlignment="1" applyProtection="1">
      <alignment horizontal="left" vertical="center"/>
    </xf>
    <xf numFmtId="173" fontId="6" fillId="0" borderId="48" xfId="10" applyNumberFormat="1" applyFont="1" applyFill="1" applyBorder="1" applyAlignment="1" applyProtection="1">
      <alignment vertical="center"/>
      <protection locked="0"/>
    </xf>
    <xf numFmtId="178" fontId="1" fillId="7" borderId="47" xfId="10" applyNumberFormat="1" applyFont="1" applyFill="1" applyBorder="1" applyAlignment="1">
      <alignment vertical="center"/>
    </xf>
    <xf numFmtId="178" fontId="9" fillId="7" borderId="48" xfId="10" applyNumberFormat="1" applyFont="1" applyFill="1" applyBorder="1" applyAlignment="1">
      <alignment vertical="center"/>
    </xf>
    <xf numFmtId="173" fontId="9" fillId="7" borderId="48" xfId="10" applyNumberFormat="1" applyFont="1" applyFill="1" applyBorder="1" applyAlignment="1" applyProtection="1">
      <alignment horizontal="center" vertical="center"/>
    </xf>
    <xf numFmtId="173" fontId="9" fillId="7" borderId="11" xfId="10" applyNumberFormat="1" applyFont="1" applyFill="1" applyBorder="1" applyAlignment="1" applyProtection="1">
      <alignment horizontal="center" vertical="center"/>
    </xf>
    <xf numFmtId="175" fontId="1" fillId="7" borderId="0" xfId="10" applyNumberFormat="1" applyFont="1" applyFill="1" applyBorder="1" applyAlignment="1" applyProtection="1">
      <alignment horizontal="center" vertical="center"/>
    </xf>
    <xf numFmtId="0" fontId="32" fillId="7" borderId="11" xfId="13" applyFont="1" applyFill="1" applyBorder="1" applyAlignment="1">
      <alignment horizontal="left" vertical="center" wrapText="1"/>
    </xf>
    <xf numFmtId="173" fontId="9" fillId="7" borderId="22" xfId="10" applyNumberFormat="1" applyFont="1" applyFill="1" applyBorder="1" applyAlignment="1">
      <alignment horizontal="right" vertical="center"/>
    </xf>
    <xf numFmtId="173" fontId="9" fillId="7" borderId="10" xfId="10" applyNumberFormat="1" applyFont="1" applyFill="1" applyBorder="1" applyAlignment="1">
      <alignment horizontal="right" vertical="center"/>
    </xf>
    <xf numFmtId="173" fontId="1" fillId="7" borderId="13" xfId="10" applyNumberFormat="1" applyFont="1" applyFill="1" applyBorder="1" applyAlignment="1">
      <alignment horizontal="right" vertical="center"/>
    </xf>
    <xf numFmtId="173" fontId="9" fillId="7" borderId="53" xfId="10" applyNumberFormat="1" applyFont="1" applyFill="1" applyBorder="1" applyAlignment="1" applyProtection="1">
      <alignment vertical="center"/>
      <protection locked="0"/>
    </xf>
    <xf numFmtId="173" fontId="9" fillId="7" borderId="49" xfId="10" applyNumberFormat="1" applyFont="1" applyFill="1" applyBorder="1" applyAlignment="1" applyProtection="1">
      <alignment vertical="center"/>
      <protection locked="0"/>
    </xf>
    <xf numFmtId="173" fontId="9" fillId="7" borderId="48" xfId="10" applyNumberFormat="1" applyFont="1" applyFill="1" applyBorder="1" applyAlignment="1" applyProtection="1">
      <alignment vertical="center"/>
      <protection locked="0"/>
    </xf>
    <xf numFmtId="173" fontId="9" fillId="7" borderId="43" xfId="10" applyNumberFormat="1" applyFont="1" applyFill="1" applyBorder="1" applyAlignment="1" applyProtection="1">
      <alignment vertical="center"/>
      <protection locked="0"/>
    </xf>
    <xf numFmtId="173" fontId="9" fillId="7" borderId="10" xfId="10" applyNumberFormat="1" applyFont="1" applyFill="1" applyBorder="1" applyAlignment="1" applyProtection="1">
      <alignment vertical="center"/>
    </xf>
    <xf numFmtId="175" fontId="1" fillId="7" borderId="60" xfId="10" applyNumberFormat="1" applyFont="1" applyFill="1" applyBorder="1" applyAlignment="1" applyProtection="1">
      <alignment horizontal="center" vertical="center"/>
    </xf>
    <xf numFmtId="173" fontId="9" fillId="7" borderId="22" xfId="10" applyNumberFormat="1" applyFont="1" applyFill="1" applyBorder="1" applyAlignment="1" applyProtection="1">
      <alignment vertical="center"/>
    </xf>
    <xf numFmtId="173" fontId="6" fillId="7" borderId="9" xfId="10" applyNumberFormat="1" applyFont="1" applyFill="1" applyBorder="1" applyAlignment="1" applyProtection="1">
      <alignment vertical="center"/>
    </xf>
    <xf numFmtId="173" fontId="9" fillId="7" borderId="13" xfId="10" applyNumberFormat="1" applyFont="1" applyFill="1" applyBorder="1" applyAlignment="1">
      <alignment horizontal="right" vertical="center"/>
    </xf>
    <xf numFmtId="173" fontId="9" fillId="7" borderId="13" xfId="10" applyNumberFormat="1" applyFont="1" applyFill="1" applyBorder="1" applyAlignment="1" applyProtection="1">
      <alignment horizontal="center" vertical="center"/>
    </xf>
    <xf numFmtId="173" fontId="1" fillId="7" borderId="58" xfId="10" applyNumberFormat="1" applyFont="1" applyFill="1" applyBorder="1" applyAlignment="1" applyProtection="1">
      <alignment vertical="center"/>
      <protection locked="0"/>
    </xf>
    <xf numFmtId="173" fontId="1" fillId="7" borderId="16" xfId="10" applyNumberFormat="1" applyFont="1" applyFill="1" applyBorder="1" applyAlignment="1" applyProtection="1">
      <alignment vertical="center"/>
      <protection locked="0"/>
    </xf>
    <xf numFmtId="173" fontId="1" fillId="7" borderId="17" xfId="10" applyNumberFormat="1" applyFont="1" applyFill="1" applyBorder="1" applyAlignment="1" applyProtection="1">
      <alignment vertical="center"/>
      <protection locked="0"/>
    </xf>
    <xf numFmtId="173" fontId="9" fillId="7" borderId="25" xfId="10" applyNumberFormat="1" applyFont="1" applyFill="1" applyBorder="1" applyAlignment="1" applyProtection="1">
      <alignment vertical="center"/>
      <protection locked="0"/>
    </xf>
    <xf numFmtId="178" fontId="1" fillId="7" borderId="58" xfId="10" applyNumberFormat="1" applyFont="1" applyFill="1" applyBorder="1" applyAlignment="1">
      <alignment vertical="center"/>
    </xf>
    <xf numFmtId="173" fontId="1" fillId="7" borderId="47" xfId="10" applyNumberFormat="1" applyFont="1" applyFill="1" applyBorder="1" applyAlignment="1">
      <alignment horizontal="right" vertical="center"/>
    </xf>
    <xf numFmtId="173" fontId="1" fillId="7" borderId="16" xfId="10" applyNumberFormat="1" applyFont="1" applyFill="1" applyBorder="1" applyAlignment="1" applyProtection="1">
      <alignment vertical="center"/>
    </xf>
    <xf numFmtId="173" fontId="1" fillId="7" borderId="17" xfId="10" applyNumberFormat="1" applyFont="1" applyFill="1" applyBorder="1" applyAlignment="1">
      <alignment horizontal="right" vertical="center"/>
    </xf>
    <xf numFmtId="173" fontId="1" fillId="7" borderId="58" xfId="10" applyNumberFormat="1" applyFont="1" applyFill="1" applyBorder="1" applyAlignment="1" applyProtection="1">
      <alignment horizontal="center" vertical="center"/>
    </xf>
    <xf numFmtId="173" fontId="1" fillId="7" borderId="17" xfId="10" applyNumberFormat="1" applyFont="1" applyFill="1" applyBorder="1" applyAlignment="1" applyProtection="1">
      <alignment horizontal="center" vertical="center"/>
    </xf>
    <xf numFmtId="173" fontId="1" fillId="7" borderId="16" xfId="10" applyNumberFormat="1" applyFont="1" applyFill="1" applyBorder="1" applyAlignment="1">
      <alignment horizontal="right" vertical="center"/>
    </xf>
    <xf numFmtId="173" fontId="1" fillId="7" borderId="48" xfId="10" applyNumberFormat="1" applyFont="1" applyFill="1" applyBorder="1" applyAlignment="1" applyProtection="1">
      <alignment vertical="center"/>
      <protection locked="0"/>
    </xf>
    <xf numFmtId="173" fontId="1" fillId="7" borderId="15" xfId="10" applyNumberFormat="1" applyFont="1" applyFill="1" applyBorder="1" applyAlignment="1" applyProtection="1">
      <alignment vertical="center"/>
      <protection locked="0"/>
    </xf>
    <xf numFmtId="175" fontId="1" fillId="7" borderId="39" xfId="10" applyNumberFormat="1" applyFont="1" applyFill="1" applyBorder="1" applyAlignment="1" applyProtection="1">
      <alignment horizontal="center" vertical="center"/>
    </xf>
    <xf numFmtId="175" fontId="1" fillId="7" borderId="11" xfId="10" applyNumberFormat="1" applyFont="1" applyFill="1" applyBorder="1" applyAlignment="1" applyProtection="1">
      <alignment horizontal="center" vertical="center"/>
    </xf>
    <xf numFmtId="173" fontId="6" fillId="7" borderId="48" xfId="10" applyNumberFormat="1" applyFont="1" applyFill="1" applyBorder="1" applyAlignment="1" applyProtection="1">
      <alignment vertical="center"/>
      <protection locked="0"/>
    </xf>
    <xf numFmtId="173" fontId="6" fillId="7" borderId="13" xfId="10" applyNumberFormat="1" applyFont="1" applyFill="1" applyBorder="1" applyAlignment="1" applyProtection="1">
      <alignment vertical="center"/>
      <protection locked="0"/>
    </xf>
    <xf numFmtId="173" fontId="6" fillId="7" borderId="13" xfId="10" applyNumberFormat="1" applyFont="1" applyFill="1" applyBorder="1" applyAlignment="1" applyProtection="1">
      <alignment vertical="center"/>
    </xf>
    <xf numFmtId="173" fontId="6" fillId="7" borderId="11" xfId="10" applyNumberFormat="1" applyFont="1" applyFill="1" applyBorder="1" applyAlignment="1" applyProtection="1">
      <alignment vertical="center"/>
    </xf>
    <xf numFmtId="175" fontId="6" fillId="7" borderId="0" xfId="10" applyNumberFormat="1" applyFont="1" applyFill="1" applyBorder="1" applyAlignment="1" applyProtection="1">
      <alignment horizontal="center" vertical="center"/>
    </xf>
    <xf numFmtId="173" fontId="6" fillId="7" borderId="9" xfId="10" applyNumberFormat="1" applyFont="1" applyFill="1" applyBorder="1" applyAlignment="1" applyProtection="1">
      <alignment vertical="center"/>
      <protection locked="0"/>
    </xf>
    <xf numFmtId="173" fontId="6" fillId="7" borderId="17" xfId="10" applyNumberFormat="1" applyFont="1" applyFill="1" applyBorder="1" applyAlignment="1" applyProtection="1">
      <alignment vertical="center"/>
      <protection locked="0"/>
    </xf>
    <xf numFmtId="178" fontId="1" fillId="7" borderId="9" xfId="10" applyNumberFormat="1" applyFont="1" applyFill="1" applyBorder="1" applyAlignment="1">
      <alignment vertical="center"/>
    </xf>
    <xf numFmtId="173" fontId="1" fillId="7" borderId="17" xfId="10" applyNumberFormat="1" applyFont="1" applyFill="1" applyBorder="1" applyAlignment="1" applyProtection="1">
      <alignment vertical="center"/>
    </xf>
    <xf numFmtId="173" fontId="6" fillId="7" borderId="17" xfId="10" applyNumberFormat="1" applyFont="1" applyFill="1" applyBorder="1" applyAlignment="1" applyProtection="1">
      <alignment vertical="center"/>
    </xf>
    <xf numFmtId="167" fontId="14" fillId="7" borderId="0" xfId="10" applyNumberFormat="1" applyFont="1" applyFill="1" applyBorder="1" applyAlignment="1" applyProtection="1">
      <alignment horizontal="left" vertical="center"/>
    </xf>
    <xf numFmtId="167" fontId="14" fillId="7" borderId="0" xfId="10" applyNumberFormat="1" applyFont="1" applyFill="1" applyBorder="1" applyAlignment="1" applyProtection="1">
      <alignment horizontal="left" vertical="center" wrapText="1"/>
    </xf>
    <xf numFmtId="0" fontId="33" fillId="7" borderId="0" xfId="13" applyFont="1" applyFill="1" applyBorder="1" applyAlignment="1">
      <alignment horizontal="left" vertical="center" wrapText="1"/>
    </xf>
    <xf numFmtId="167" fontId="14" fillId="7" borderId="11" xfId="10" applyNumberFormat="1" applyFont="1" applyFill="1" applyBorder="1" applyAlignment="1" applyProtection="1">
      <alignment horizontal="left" vertical="center"/>
    </xf>
    <xf numFmtId="175" fontId="6" fillId="7" borderId="11" xfId="10" applyNumberFormat="1" applyFont="1" applyFill="1" applyBorder="1" applyAlignment="1" applyProtection="1">
      <alignment horizontal="center" vertical="center"/>
    </xf>
    <xf numFmtId="178" fontId="1" fillId="7" borderId="6" xfId="10" applyNumberFormat="1" applyFont="1" applyFill="1" applyBorder="1" applyAlignment="1">
      <alignment vertical="center"/>
    </xf>
    <xf numFmtId="173" fontId="6" fillId="7" borderId="47" xfId="10" applyNumberFormat="1" applyFont="1" applyFill="1" applyBorder="1" applyAlignment="1" applyProtection="1">
      <alignment vertical="center"/>
      <protection locked="0"/>
    </xf>
    <xf numFmtId="175" fontId="1" fillId="7" borderId="12" xfId="10" applyNumberFormat="1" applyFont="1" applyFill="1" applyBorder="1" applyAlignment="1" applyProtection="1">
      <alignment horizontal="center" vertical="center"/>
    </xf>
    <xf numFmtId="173" fontId="1" fillId="7" borderId="6" xfId="10" applyNumberFormat="1" applyFont="1" applyFill="1" applyBorder="1" applyAlignment="1">
      <alignment horizontal="right" vertical="center"/>
    </xf>
    <xf numFmtId="173" fontId="1" fillId="7" borderId="47" xfId="10" applyNumberFormat="1" applyFont="1" applyFill="1" applyBorder="1" applyAlignment="1" applyProtection="1">
      <alignment vertical="center"/>
    </xf>
    <xf numFmtId="0" fontId="32" fillId="7" borderId="14" xfId="13" applyFont="1" applyFill="1" applyBorder="1" applyAlignment="1">
      <alignment horizontal="left" vertical="center" wrapText="1"/>
    </xf>
    <xf numFmtId="173" fontId="6" fillId="7" borderId="58" xfId="10" applyNumberFormat="1" applyFont="1" applyFill="1" applyBorder="1" applyAlignment="1" applyProtection="1">
      <alignment vertical="center"/>
      <protection locked="0"/>
    </xf>
    <xf numFmtId="173" fontId="6" fillId="7" borderId="16" xfId="10" applyNumberFormat="1" applyFont="1" applyFill="1" applyBorder="1" applyAlignment="1" applyProtection="1">
      <alignment vertical="center"/>
      <protection locked="0"/>
    </xf>
    <xf numFmtId="173" fontId="9" fillId="7" borderId="15" xfId="10" applyNumberFormat="1" applyFont="1" applyFill="1" applyBorder="1" applyAlignment="1" applyProtection="1">
      <alignment vertical="center"/>
    </xf>
    <xf numFmtId="173" fontId="6" fillId="7" borderId="15" xfId="10" applyNumberFormat="1" applyFont="1" applyFill="1" applyBorder="1" applyAlignment="1" applyProtection="1">
      <alignment vertical="center"/>
      <protection locked="0"/>
    </xf>
    <xf numFmtId="175" fontId="9" fillId="7" borderId="11" xfId="10" applyNumberFormat="1" applyFont="1" applyFill="1" applyBorder="1" applyAlignment="1" applyProtection="1">
      <alignment horizontal="center" vertical="center"/>
    </xf>
    <xf numFmtId="175" fontId="9" fillId="7" borderId="14" xfId="10" applyNumberFormat="1" applyFont="1" applyFill="1" applyBorder="1" applyAlignment="1" applyProtection="1">
      <alignment horizontal="center" vertical="center"/>
    </xf>
    <xf numFmtId="178" fontId="9" fillId="7" borderId="15" xfId="10" applyNumberFormat="1" applyFont="1" applyFill="1" applyBorder="1" applyAlignment="1">
      <alignment vertical="center"/>
    </xf>
    <xf numFmtId="173" fontId="1" fillId="7" borderId="58" xfId="10" applyNumberFormat="1" applyFont="1" applyFill="1" applyBorder="1" applyAlignment="1" applyProtection="1">
      <alignment vertical="center"/>
    </xf>
    <xf numFmtId="175" fontId="9" fillId="7" borderId="39" xfId="10" applyNumberFormat="1" applyFont="1" applyFill="1" applyBorder="1" applyAlignment="1" applyProtection="1">
      <alignment horizontal="center" vertical="center"/>
    </xf>
    <xf numFmtId="175" fontId="9" fillId="7" borderId="40" xfId="10" applyNumberFormat="1" applyFont="1" applyFill="1" applyBorder="1" applyAlignment="1" applyProtection="1">
      <alignment horizontal="center" vertical="center"/>
    </xf>
    <xf numFmtId="173" fontId="6" fillId="7" borderId="58" xfId="10" applyNumberFormat="1" applyFont="1" applyFill="1" applyBorder="1" applyAlignment="1" applyProtection="1">
      <alignment vertical="center"/>
    </xf>
    <xf numFmtId="173" fontId="6" fillId="7" borderId="48" xfId="10" applyNumberFormat="1" applyFont="1" applyFill="1" applyBorder="1" applyAlignment="1" applyProtection="1">
      <alignment vertical="center"/>
    </xf>
    <xf numFmtId="173" fontId="6" fillId="7" borderId="16" xfId="10" applyNumberFormat="1" applyFont="1" applyFill="1" applyBorder="1" applyAlignment="1" applyProtection="1">
      <alignment vertical="center"/>
    </xf>
    <xf numFmtId="173" fontId="6" fillId="7" borderId="15" xfId="10" applyNumberFormat="1" applyFont="1" applyFill="1" applyBorder="1" applyAlignment="1" applyProtection="1">
      <alignment vertical="center"/>
    </xf>
    <xf numFmtId="167" fontId="14" fillId="7" borderId="21" xfId="10" applyNumberFormat="1" applyFont="1" applyFill="1" applyBorder="1" applyAlignment="1" applyProtection="1">
      <alignment horizontal="left" vertical="center"/>
    </xf>
    <xf numFmtId="167" fontId="14" fillId="7" borderId="4" xfId="10" applyNumberFormat="1" applyFont="1" applyFill="1" applyBorder="1" applyAlignment="1" applyProtection="1">
      <alignment horizontal="left" vertical="center"/>
    </xf>
    <xf numFmtId="0" fontId="1" fillId="7" borderId="0" xfId="0" applyFont="1" applyFill="1" applyBorder="1" applyAlignment="1">
      <alignment vertical="center"/>
    </xf>
    <xf numFmtId="0" fontId="1" fillId="7" borderId="14" xfId="0" applyFont="1" applyFill="1" applyBorder="1" applyAlignment="1">
      <alignment vertical="center"/>
    </xf>
    <xf numFmtId="167" fontId="14" fillId="7" borderId="12" xfId="10" applyNumberFormat="1" applyFont="1" applyFill="1" applyBorder="1" applyAlignment="1" applyProtection="1">
      <alignment horizontal="left" vertical="center"/>
    </xf>
    <xf numFmtId="0" fontId="33" fillId="7" borderId="12" xfId="13" applyFont="1" applyFill="1" applyBorder="1" applyAlignment="1">
      <alignment horizontal="left" vertical="center" wrapText="1"/>
    </xf>
    <xf numFmtId="0" fontId="1" fillId="0" borderId="14" xfId="0" applyFont="1" applyBorder="1" applyAlignment="1">
      <alignment vertical="center"/>
    </xf>
    <xf numFmtId="175" fontId="6" fillId="0" borderId="8" xfId="10" applyNumberFormat="1" applyFont="1" applyFill="1" applyBorder="1" applyAlignment="1" applyProtection="1">
      <alignment horizontal="center" vertical="center"/>
    </xf>
    <xf numFmtId="173" fontId="9" fillId="0" borderId="48" xfId="10" applyNumberFormat="1" applyFont="1" applyFill="1" applyBorder="1" applyAlignment="1" applyProtection="1">
      <alignment horizontal="center" vertical="center"/>
    </xf>
    <xf numFmtId="173" fontId="1" fillId="0" borderId="48" xfId="10" applyNumberFormat="1" applyFont="1" applyFill="1" applyBorder="1" applyAlignment="1" applyProtection="1">
      <alignment vertical="center"/>
      <protection locked="0"/>
    </xf>
    <xf numFmtId="178" fontId="1" fillId="0" borderId="58" xfId="10" applyNumberFormat="1" applyFont="1" applyFill="1" applyBorder="1" applyAlignment="1">
      <alignment vertical="center"/>
    </xf>
    <xf numFmtId="173" fontId="1" fillId="0" borderId="9" xfId="10" applyNumberFormat="1" applyFont="1" applyFill="1" applyBorder="1" applyAlignment="1" applyProtection="1">
      <alignment vertical="center"/>
      <protection locked="0"/>
    </xf>
    <xf numFmtId="175" fontId="1" fillId="0" borderId="61" xfId="10" applyNumberFormat="1" applyFont="1" applyFill="1" applyBorder="1" applyAlignment="1" applyProtection="1">
      <alignment horizontal="center" vertical="center"/>
    </xf>
    <xf numFmtId="173" fontId="6" fillId="0" borderId="17" xfId="10" applyNumberFormat="1" applyFont="1" applyBorder="1" applyAlignment="1">
      <alignment horizontal="right" vertical="center"/>
    </xf>
    <xf numFmtId="0" fontId="33" fillId="0" borderId="0" xfId="13" applyFont="1" applyBorder="1" applyAlignment="1">
      <alignment horizontal="left" vertical="center" wrapText="1"/>
    </xf>
    <xf numFmtId="175" fontId="6" fillId="0" borderId="0" xfId="10" applyNumberFormat="1" applyFont="1" applyFill="1" applyBorder="1" applyAlignment="1" applyProtection="1">
      <alignment horizontal="center" vertical="center"/>
    </xf>
    <xf numFmtId="175" fontId="1" fillId="0" borderId="0" xfId="1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173" fontId="1" fillId="0" borderId="58" xfId="10" applyNumberFormat="1" applyFont="1" applyFill="1" applyBorder="1" applyAlignment="1" applyProtection="1">
      <alignment vertical="center"/>
    </xf>
    <xf numFmtId="178" fontId="9" fillId="0" borderId="48" xfId="10" applyNumberFormat="1" applyFont="1" applyFill="1" applyBorder="1" applyAlignment="1">
      <alignment vertical="center"/>
    </xf>
    <xf numFmtId="173" fontId="9" fillId="0" borderId="13" xfId="10" applyNumberFormat="1" applyFont="1" applyFill="1" applyBorder="1" applyAlignment="1" applyProtection="1">
      <alignment horizontal="center" vertical="center"/>
    </xf>
    <xf numFmtId="167" fontId="14" fillId="0" borderId="0" xfId="10" applyNumberFormat="1" applyFont="1" applyFill="1" applyBorder="1" applyAlignment="1" applyProtection="1">
      <alignment horizontal="left" vertical="center"/>
    </xf>
    <xf numFmtId="173" fontId="1" fillId="0" borderId="9" xfId="10" applyNumberFormat="1" applyFont="1" applyFill="1" applyBorder="1" applyAlignment="1" applyProtection="1">
      <alignment vertical="center"/>
    </xf>
    <xf numFmtId="167" fontId="14" fillId="0" borderId="0" xfId="10" applyNumberFormat="1" applyFont="1" applyFill="1" applyBorder="1" applyAlignment="1" applyProtection="1">
      <alignment horizontal="left" vertical="center" wrapText="1"/>
    </xf>
    <xf numFmtId="173" fontId="9" fillId="0" borderId="58" xfId="10" applyNumberFormat="1" applyFont="1" applyFill="1" applyBorder="1" applyAlignment="1" applyProtection="1">
      <alignment vertical="center"/>
    </xf>
    <xf numFmtId="167" fontId="14" fillId="0" borderId="21" xfId="10" applyNumberFormat="1" applyFont="1" applyFill="1" applyBorder="1" applyAlignment="1" applyProtection="1">
      <alignment horizontal="left" vertical="center"/>
    </xf>
    <xf numFmtId="167" fontId="14" fillId="0" borderId="14" xfId="10" applyNumberFormat="1" applyFont="1" applyFill="1" applyBorder="1" applyAlignment="1" applyProtection="1">
      <alignment horizontal="left" vertical="center"/>
    </xf>
    <xf numFmtId="173" fontId="9" fillId="0" borderId="22" xfId="10" quotePrefix="1" applyNumberFormat="1" applyFont="1" applyBorder="1" applyAlignment="1">
      <alignment horizontal="right" vertical="center"/>
    </xf>
    <xf numFmtId="173" fontId="9" fillId="0" borderId="10" xfId="10" applyNumberFormat="1" applyFont="1" applyBorder="1" applyAlignment="1">
      <alignment horizontal="right" vertical="center"/>
    </xf>
    <xf numFmtId="175" fontId="6" fillId="0" borderId="60" xfId="10" applyNumberFormat="1" applyFont="1" applyFill="1" applyBorder="1" applyAlignment="1" applyProtection="1">
      <alignment horizontal="center" vertical="center"/>
    </xf>
    <xf numFmtId="175" fontId="1" fillId="0" borderId="60" xfId="10" applyNumberFormat="1" applyFont="1" applyFill="1" applyBorder="1" applyAlignment="1" applyProtection="1">
      <alignment horizontal="center" vertical="center"/>
    </xf>
    <xf numFmtId="173" fontId="9" fillId="0" borderId="26" xfId="10" applyNumberFormat="1" applyFont="1" applyFill="1" applyBorder="1" applyAlignment="1" applyProtection="1">
      <alignment horizontal="center" vertical="center"/>
    </xf>
    <xf numFmtId="173" fontId="1" fillId="0" borderId="47" xfId="10" applyNumberFormat="1" applyFont="1" applyFill="1" applyBorder="1" applyAlignment="1" applyProtection="1">
      <alignment vertical="center"/>
      <protection locked="0"/>
    </xf>
    <xf numFmtId="175" fontId="6" fillId="0" borderId="39" xfId="10" applyNumberFormat="1" applyFont="1" applyFill="1" applyBorder="1" applyAlignment="1" applyProtection="1">
      <alignment horizontal="center" vertical="center"/>
    </xf>
    <xf numFmtId="175" fontId="9" fillId="0" borderId="40" xfId="10" applyNumberFormat="1" applyFont="1" applyFill="1" applyBorder="1" applyAlignment="1" applyProtection="1">
      <alignment horizontal="center" vertical="center"/>
    </xf>
    <xf numFmtId="175" fontId="9" fillId="0" borderId="39" xfId="10" applyNumberFormat="1" applyFont="1" applyFill="1" applyBorder="1" applyAlignment="1" applyProtection="1">
      <alignment horizontal="center" vertical="center"/>
    </xf>
    <xf numFmtId="175" fontId="1" fillId="0" borderId="39" xfId="10" applyNumberFormat="1" applyFont="1" applyFill="1" applyBorder="1" applyAlignment="1" applyProtection="1">
      <alignment horizontal="center" vertical="center"/>
    </xf>
    <xf numFmtId="173" fontId="6" fillId="0" borderId="16" xfId="10" applyNumberFormat="1" applyFont="1" applyFill="1" applyBorder="1" applyAlignment="1" applyProtection="1">
      <alignment vertical="center"/>
      <protection locked="0"/>
    </xf>
    <xf numFmtId="173" fontId="1" fillId="0" borderId="17" xfId="10" applyNumberFormat="1" applyFont="1" applyFill="1" applyBorder="1" applyAlignment="1" applyProtection="1">
      <alignment vertical="center"/>
      <protection locked="0"/>
    </xf>
    <xf numFmtId="173" fontId="1" fillId="0" borderId="15" xfId="10" applyNumberFormat="1" applyFont="1" applyFill="1" applyBorder="1" applyAlignment="1" applyProtection="1">
      <alignment vertical="center"/>
      <protection locked="0"/>
    </xf>
    <xf numFmtId="173" fontId="9" fillId="0" borderId="25" xfId="10" applyNumberFormat="1" applyFont="1" applyFill="1" applyBorder="1" applyAlignment="1" applyProtection="1">
      <alignment vertical="center"/>
      <protection locked="0"/>
    </xf>
    <xf numFmtId="173" fontId="1" fillId="0" borderId="47" xfId="10" applyNumberFormat="1" applyFont="1" applyBorder="1" applyAlignment="1">
      <alignment horizontal="right" vertical="center"/>
    </xf>
    <xf numFmtId="175" fontId="9" fillId="0" borderId="14" xfId="10" applyNumberFormat="1" applyFont="1" applyFill="1" applyBorder="1" applyAlignment="1" applyProtection="1">
      <alignment horizontal="center" vertical="center"/>
    </xf>
    <xf numFmtId="175" fontId="1" fillId="0" borderId="7" xfId="10" applyNumberFormat="1" applyFont="1" applyFill="1" applyBorder="1" applyAlignment="1" applyProtection="1">
      <alignment horizontal="center" vertical="center"/>
    </xf>
    <xf numFmtId="175" fontId="1" fillId="0" borderId="11" xfId="10" applyNumberFormat="1" applyFont="1" applyFill="1" applyBorder="1" applyAlignment="1" applyProtection="1">
      <alignment horizontal="center" vertical="center"/>
    </xf>
    <xf numFmtId="175" fontId="9" fillId="0" borderId="11" xfId="10" applyNumberFormat="1" applyFont="1" applyFill="1" applyBorder="1" applyAlignment="1" applyProtection="1">
      <alignment horizontal="center" vertical="center"/>
    </xf>
    <xf numFmtId="173" fontId="1" fillId="0" borderId="16" xfId="10" applyNumberFormat="1" applyFont="1" applyFill="1" applyBorder="1" applyAlignment="1" applyProtection="1">
      <alignment vertical="center"/>
    </xf>
    <xf numFmtId="173" fontId="1" fillId="0" borderId="17" xfId="10" applyNumberFormat="1" applyFont="1" applyFill="1" applyBorder="1" applyAlignment="1" applyProtection="1">
      <alignment vertical="center"/>
    </xf>
    <xf numFmtId="178" fontId="9" fillId="0" borderId="3" xfId="10" applyNumberFormat="1" applyFont="1" applyFill="1" applyBorder="1" applyAlignment="1">
      <alignment vertical="center"/>
    </xf>
    <xf numFmtId="173" fontId="1" fillId="0" borderId="17" xfId="10" applyNumberFormat="1" applyFont="1" applyBorder="1" applyAlignment="1">
      <alignment horizontal="right" vertical="center"/>
    </xf>
    <xf numFmtId="178" fontId="9" fillId="0" borderId="15" xfId="10" applyNumberFormat="1" applyFont="1" applyFill="1" applyBorder="1" applyAlignment="1">
      <alignment vertical="center"/>
    </xf>
    <xf numFmtId="173" fontId="1" fillId="0" borderId="47" xfId="10" applyNumberFormat="1" applyFont="1" applyFill="1" applyBorder="1" applyAlignment="1" applyProtection="1">
      <alignment horizontal="center" vertical="center"/>
    </xf>
    <xf numFmtId="173" fontId="1" fillId="0" borderId="16" xfId="10" applyNumberFormat="1" applyFont="1" applyFill="1" applyBorder="1" applyAlignment="1" applyProtection="1">
      <alignment vertical="center"/>
      <protection locked="0"/>
    </xf>
    <xf numFmtId="173" fontId="1" fillId="0" borderId="17" xfId="10" applyNumberFormat="1" applyFont="1" applyFill="1" applyBorder="1" applyAlignment="1" applyProtection="1">
      <alignment horizontal="center" vertical="center"/>
    </xf>
    <xf numFmtId="173" fontId="6" fillId="0" borderId="58" xfId="10" applyNumberFormat="1" applyFont="1" applyFill="1" applyBorder="1" applyAlignment="1" applyProtection="1">
      <alignment vertical="center"/>
    </xf>
    <xf numFmtId="173" fontId="6" fillId="0" borderId="48" xfId="10" applyNumberFormat="1" applyFont="1" applyFill="1" applyBorder="1" applyAlignment="1" applyProtection="1">
      <alignment vertical="center"/>
    </xf>
    <xf numFmtId="173" fontId="1" fillId="0" borderId="48" xfId="10" applyNumberFormat="1" applyFont="1" applyFill="1" applyBorder="1" applyAlignment="1" applyProtection="1">
      <alignment horizontal="center" vertical="center"/>
    </xf>
    <xf numFmtId="175" fontId="6" fillId="0" borderId="11" xfId="10" applyNumberFormat="1" applyFont="1" applyFill="1" applyBorder="1" applyAlignment="1" applyProtection="1">
      <alignment horizontal="center" vertical="center"/>
    </xf>
    <xf numFmtId="173" fontId="6" fillId="0" borderId="16" xfId="10" applyNumberFormat="1" applyFont="1" applyBorder="1" applyAlignment="1">
      <alignment horizontal="right" vertical="center"/>
    </xf>
    <xf numFmtId="167" fontId="9" fillId="0" borderId="13" xfId="10" applyNumberFormat="1" applyFont="1" applyFill="1" applyBorder="1" applyAlignment="1" applyProtection="1">
      <alignment horizontal="center" vertical="center"/>
    </xf>
    <xf numFmtId="167" fontId="9" fillId="0" borderId="10" xfId="10" applyNumberFormat="1" applyFont="1" applyFill="1" applyBorder="1" applyAlignment="1" applyProtection="1">
      <alignment horizontal="center" vertical="center"/>
    </xf>
    <xf numFmtId="0" fontId="32" fillId="0" borderId="4" xfId="13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7" fontId="14" fillId="0" borderId="12" xfId="10" applyNumberFormat="1" applyFont="1" applyFill="1" applyBorder="1" applyAlignment="1" applyProtection="1">
      <alignment horizontal="left" vertical="center"/>
    </xf>
    <xf numFmtId="178" fontId="9" fillId="7" borderId="62" xfId="10" applyNumberFormat="1" applyFont="1" applyFill="1" applyBorder="1" applyAlignment="1">
      <alignment vertical="center"/>
    </xf>
    <xf numFmtId="173" fontId="9" fillId="7" borderId="32" xfId="10" applyNumberFormat="1" applyFont="1" applyFill="1" applyBorder="1" applyAlignment="1" applyProtection="1">
      <alignment vertical="center"/>
    </xf>
    <xf numFmtId="175" fontId="9" fillId="7" borderId="28" xfId="10" applyNumberFormat="1" applyFont="1" applyFill="1" applyBorder="1" applyAlignment="1" applyProtection="1">
      <alignment horizontal="center" vertical="center"/>
    </xf>
    <xf numFmtId="178" fontId="9" fillId="7" borderId="27" xfId="10" applyNumberFormat="1" applyFont="1" applyFill="1" applyBorder="1" applyAlignment="1">
      <alignment vertical="center"/>
    </xf>
    <xf numFmtId="175" fontId="9" fillId="7" borderId="63" xfId="10" applyNumberFormat="1" applyFont="1" applyFill="1" applyBorder="1" applyAlignment="1" applyProtection="1">
      <alignment horizontal="center" vertical="center"/>
    </xf>
    <xf numFmtId="178" fontId="1" fillId="0" borderId="62" xfId="10" applyNumberFormat="1" applyFont="1" applyFill="1" applyBorder="1" applyAlignment="1">
      <alignment vertical="center"/>
    </xf>
    <xf numFmtId="173" fontId="1" fillId="0" borderId="26" xfId="10" applyNumberFormat="1" applyFont="1" applyFill="1" applyBorder="1" applyAlignment="1" applyProtection="1">
      <alignment vertical="center"/>
    </xf>
    <xf numFmtId="175" fontId="1" fillId="0" borderId="32" xfId="10" applyNumberFormat="1" applyFont="1" applyFill="1" applyBorder="1" applyAlignment="1" applyProtection="1">
      <alignment horizontal="center" vertical="center"/>
    </xf>
    <xf numFmtId="178" fontId="1" fillId="0" borderId="27" xfId="10" applyNumberFormat="1" applyFont="1" applyFill="1" applyBorder="1" applyAlignment="1">
      <alignment vertical="center"/>
    </xf>
    <xf numFmtId="175" fontId="1" fillId="0" borderId="63" xfId="10" applyNumberFormat="1" applyFont="1" applyFill="1" applyBorder="1" applyAlignment="1" applyProtection="1">
      <alignment horizontal="center" vertical="center"/>
    </xf>
    <xf numFmtId="0" fontId="9" fillId="23" borderId="66" xfId="0" applyFont="1" applyFill="1" applyBorder="1" applyAlignment="1">
      <alignment horizontal="left" vertical="center"/>
    </xf>
    <xf numFmtId="0" fontId="9" fillId="23" borderId="35" xfId="0" applyFont="1" applyFill="1" applyBorder="1" applyAlignment="1">
      <alignment horizontal="left" vertical="center"/>
    </xf>
    <xf numFmtId="173" fontId="9" fillId="23" borderId="53" xfId="10" applyNumberFormat="1" applyFont="1" applyFill="1" applyBorder="1" applyAlignment="1" applyProtection="1">
      <alignment horizontal="center" vertical="center"/>
    </xf>
    <xf numFmtId="173" fontId="9" fillId="23" borderId="22" xfId="0" applyNumberFormat="1" applyFont="1" applyFill="1" applyBorder="1" applyAlignment="1">
      <alignment vertical="center"/>
    </xf>
    <xf numFmtId="173" fontId="9" fillId="23" borderId="22" xfId="10" applyNumberFormat="1" applyFont="1" applyFill="1" applyBorder="1" applyAlignment="1" applyProtection="1">
      <alignment horizontal="center" vertical="center"/>
    </xf>
    <xf numFmtId="175" fontId="9" fillId="23" borderId="35" xfId="10" applyNumberFormat="1" applyFont="1" applyFill="1" applyBorder="1" applyAlignment="1" applyProtection="1">
      <alignment horizontal="center" vertical="center"/>
    </xf>
    <xf numFmtId="175" fontId="9" fillId="23" borderId="56" xfId="10" applyNumberFormat="1" applyFont="1" applyFill="1" applyBorder="1" applyAlignment="1" applyProtection="1">
      <alignment horizontal="center" vertical="center"/>
    </xf>
    <xf numFmtId="173" fontId="9" fillId="23" borderId="21" xfId="10" applyNumberFormat="1" applyFont="1" applyFill="1" applyBorder="1" applyAlignment="1" applyProtection="1">
      <alignment horizontal="center" vertical="center"/>
    </xf>
    <xf numFmtId="173" fontId="9" fillId="23" borderId="62" xfId="10" applyNumberFormat="1" applyFont="1" applyFill="1" applyBorder="1" applyAlignment="1" applyProtection="1">
      <alignment horizontal="center" vertical="center"/>
    </xf>
    <xf numFmtId="167" fontId="20" fillId="0" borderId="1" xfId="10" applyNumberFormat="1" applyFont="1" applyFill="1" applyBorder="1" applyAlignment="1" applyProtection="1">
      <alignment horizontal="left" vertical="center"/>
    </xf>
    <xf numFmtId="173" fontId="6" fillId="0" borderId="58" xfId="10" applyNumberFormat="1" applyFont="1" applyFill="1" applyBorder="1" applyAlignment="1" applyProtection="1">
      <alignment vertical="center"/>
      <protection locked="0"/>
    </xf>
    <xf numFmtId="173" fontId="1" fillId="0" borderId="48" xfId="10" applyNumberFormat="1" applyFont="1" applyFill="1" applyBorder="1" applyAlignment="1" applyProtection="1">
      <alignment vertical="center"/>
    </xf>
    <xf numFmtId="175" fontId="9" fillId="0" borderId="42" xfId="10" applyNumberFormat="1" applyFont="1" applyFill="1" applyBorder="1" applyAlignment="1" applyProtection="1">
      <alignment horizontal="center" vertical="center"/>
    </xf>
    <xf numFmtId="175" fontId="6" fillId="0" borderId="59" xfId="10" applyNumberFormat="1" applyFont="1" applyFill="1" applyBorder="1" applyAlignment="1" applyProtection="1">
      <alignment horizontal="center" vertical="center"/>
    </xf>
    <xf numFmtId="175" fontId="9" fillId="0" borderId="60" xfId="10" applyNumberFormat="1" applyFont="1" applyFill="1" applyBorder="1" applyAlignment="1" applyProtection="1">
      <alignment horizontal="center" vertical="center"/>
    </xf>
    <xf numFmtId="175" fontId="9" fillId="0" borderId="38" xfId="10" applyNumberFormat="1" applyFont="1" applyFill="1" applyBorder="1" applyAlignment="1" applyProtection="1">
      <alignment horizontal="center" vertical="center"/>
    </xf>
    <xf numFmtId="173" fontId="9" fillId="0" borderId="22" xfId="10" applyNumberFormat="1" applyFont="1" applyFill="1" applyBorder="1" applyAlignment="1" applyProtection="1">
      <alignment vertical="center"/>
    </xf>
    <xf numFmtId="173" fontId="9" fillId="0" borderId="13" xfId="10" applyNumberFormat="1" applyFont="1" applyFill="1" applyBorder="1" applyAlignment="1" applyProtection="1">
      <alignment vertical="center"/>
    </xf>
    <xf numFmtId="0" fontId="1" fillId="0" borderId="11" xfId="0" applyFont="1" applyBorder="1" applyAlignment="1">
      <alignment vertical="center"/>
    </xf>
    <xf numFmtId="167" fontId="20" fillId="0" borderId="40" xfId="10" applyNumberFormat="1" applyFont="1" applyFill="1" applyBorder="1" applyAlignment="1" applyProtection="1">
      <alignment horizontal="left" vertical="center"/>
    </xf>
    <xf numFmtId="167" fontId="6" fillId="0" borderId="9" xfId="10" applyNumberFormat="1" applyFont="1" applyFill="1" applyBorder="1" applyAlignment="1" applyProtection="1">
      <alignment horizontal="center" vertical="center"/>
    </xf>
    <xf numFmtId="167" fontId="6" fillId="0" borderId="13" xfId="10" applyNumberFormat="1" applyFont="1" applyFill="1" applyBorder="1" applyAlignment="1" applyProtection="1">
      <alignment horizontal="center" vertical="center"/>
    </xf>
    <xf numFmtId="175" fontId="1" fillId="0" borderId="40" xfId="10" applyNumberFormat="1" applyFont="1" applyFill="1" applyBorder="1" applyAlignment="1" applyProtection="1">
      <alignment horizontal="center" vertical="center"/>
    </xf>
    <xf numFmtId="175" fontId="1" fillId="0" borderId="59" xfId="10" applyNumberFormat="1" applyFont="1" applyFill="1" applyBorder="1" applyAlignment="1" applyProtection="1">
      <alignment horizontal="center" vertical="center"/>
    </xf>
    <xf numFmtId="178" fontId="1" fillId="0" borderId="3" xfId="10" applyNumberFormat="1" applyFont="1" applyFill="1" applyBorder="1" applyAlignment="1">
      <alignment vertical="center"/>
    </xf>
    <xf numFmtId="178" fontId="1" fillId="0" borderId="15" xfId="10" applyNumberFormat="1" applyFont="1" applyFill="1" applyBorder="1" applyAlignment="1">
      <alignment vertical="center"/>
    </xf>
    <xf numFmtId="173" fontId="1" fillId="0" borderId="15" xfId="10" applyNumberFormat="1" applyFont="1" applyFill="1" applyBorder="1" applyAlignment="1" applyProtection="1">
      <alignment vertical="center"/>
    </xf>
    <xf numFmtId="178" fontId="1" fillId="0" borderId="16" xfId="10" applyNumberFormat="1" applyFont="1" applyFill="1" applyBorder="1" applyAlignment="1">
      <alignment vertical="center"/>
    </xf>
    <xf numFmtId="173" fontId="1" fillId="0" borderId="3" xfId="10" applyNumberFormat="1" applyFont="1" applyFill="1" applyBorder="1" applyAlignment="1" applyProtection="1">
      <alignment vertical="center"/>
    </xf>
    <xf numFmtId="173" fontId="1" fillId="0" borderId="3" xfId="10" applyNumberFormat="1" applyFont="1" applyFill="1" applyBorder="1" applyAlignment="1" applyProtection="1">
      <alignment vertical="center"/>
      <protection locked="0"/>
    </xf>
    <xf numFmtId="175" fontId="6" fillId="0" borderId="7" xfId="10" applyNumberFormat="1" applyFont="1" applyFill="1" applyBorder="1" applyAlignment="1" applyProtection="1">
      <alignment horizontal="center" vertical="center"/>
    </xf>
    <xf numFmtId="175" fontId="9" fillId="0" borderId="0" xfId="10" applyNumberFormat="1" applyFont="1" applyFill="1" applyBorder="1" applyAlignment="1" applyProtection="1">
      <alignment horizontal="center" vertical="center"/>
    </xf>
    <xf numFmtId="173" fontId="6" fillId="0" borderId="17" xfId="10" applyNumberFormat="1" applyFont="1" applyFill="1" applyBorder="1" applyAlignment="1" applyProtection="1">
      <alignment vertical="center"/>
    </xf>
    <xf numFmtId="173" fontId="6" fillId="0" borderId="16" xfId="10" applyNumberFormat="1" applyFont="1" applyFill="1" applyBorder="1" applyAlignment="1" applyProtection="1">
      <alignment vertical="center"/>
    </xf>
    <xf numFmtId="173" fontId="6" fillId="0" borderId="15" xfId="10" applyNumberFormat="1" applyFont="1" applyFill="1" applyBorder="1" applyAlignment="1" applyProtection="1">
      <alignment vertical="center"/>
    </xf>
    <xf numFmtId="173" fontId="9" fillId="0" borderId="17" xfId="10" applyNumberFormat="1" applyFont="1" applyBorder="1" applyAlignment="1">
      <alignment horizontal="right" vertical="center"/>
    </xf>
    <xf numFmtId="173" fontId="6" fillId="0" borderId="3" xfId="10" applyNumberFormat="1" applyFont="1" applyFill="1" applyBorder="1" applyAlignment="1" applyProtection="1">
      <alignment vertical="center"/>
    </xf>
    <xf numFmtId="173" fontId="9" fillId="0" borderId="43" xfId="10" applyNumberFormat="1" applyFont="1" applyFill="1" applyBorder="1" applyAlignment="1" applyProtection="1">
      <alignment vertical="center"/>
      <protection locked="0"/>
    </xf>
    <xf numFmtId="173" fontId="6" fillId="0" borderId="3" xfId="10" applyNumberFormat="1" applyFont="1" applyFill="1" applyBorder="1" applyAlignment="1" applyProtection="1">
      <alignment vertical="center"/>
      <protection locked="0"/>
    </xf>
    <xf numFmtId="173" fontId="1" fillId="0" borderId="32" xfId="10" applyNumberFormat="1" applyFont="1" applyFill="1" applyBorder="1" applyAlignment="1" applyProtection="1">
      <alignment vertical="center"/>
    </xf>
    <xf numFmtId="0" fontId="9" fillId="23" borderId="47" xfId="0" applyFont="1" applyFill="1" applyBorder="1" applyAlignment="1">
      <alignment horizontal="center" vertical="center"/>
    </xf>
    <xf numFmtId="0" fontId="9" fillId="23" borderId="17" xfId="0" applyFont="1" applyFill="1" applyBorder="1" applyAlignment="1">
      <alignment horizontal="center" vertical="center"/>
    </xf>
    <xf numFmtId="0" fontId="9" fillId="23" borderId="61" xfId="0" applyFont="1" applyFill="1" applyBorder="1" applyAlignment="1">
      <alignment horizontal="center" vertical="center"/>
    </xf>
    <xf numFmtId="175" fontId="9" fillId="7" borderId="56" xfId="10" applyNumberFormat="1" applyFont="1" applyFill="1" applyBorder="1" applyAlignment="1" applyProtection="1">
      <alignment vertical="center"/>
    </xf>
    <xf numFmtId="175" fontId="9" fillId="7" borderId="50" xfId="10" applyNumberFormat="1" applyFont="1" applyFill="1" applyBorder="1" applyAlignment="1" applyProtection="1">
      <alignment vertical="center"/>
    </xf>
    <xf numFmtId="175" fontId="6" fillId="7" borderId="60" xfId="10" applyNumberFormat="1" applyFont="1" applyFill="1" applyBorder="1" applyAlignment="1" applyProtection="1">
      <alignment vertical="center"/>
    </xf>
    <xf numFmtId="175" fontId="6" fillId="7" borderId="39" xfId="10" applyNumberFormat="1" applyFont="1" applyFill="1" applyBorder="1" applyAlignment="1" applyProtection="1">
      <alignment vertical="center"/>
    </xf>
    <xf numFmtId="175" fontId="9" fillId="7" borderId="39" xfId="10" applyNumberFormat="1" applyFont="1" applyFill="1" applyBorder="1" applyAlignment="1" applyProtection="1">
      <alignment vertical="center"/>
    </xf>
    <xf numFmtId="175" fontId="9" fillId="7" borderId="40" xfId="10" applyNumberFormat="1" applyFont="1" applyFill="1" applyBorder="1" applyAlignment="1" applyProtection="1">
      <alignment vertical="center"/>
    </xf>
    <xf numFmtId="175" fontId="6" fillId="7" borderId="46" xfId="10" applyNumberFormat="1" applyFont="1" applyFill="1" applyBorder="1" applyAlignment="1" applyProtection="1">
      <alignment vertical="center"/>
    </xf>
    <xf numFmtId="175" fontId="9" fillId="7" borderId="46" xfId="10" applyNumberFormat="1" applyFont="1" applyFill="1" applyBorder="1" applyAlignment="1" applyProtection="1">
      <alignment vertical="center"/>
    </xf>
    <xf numFmtId="175" fontId="1" fillId="7" borderId="60" xfId="10" applyNumberFormat="1" applyFont="1" applyFill="1" applyBorder="1" applyAlignment="1" applyProtection="1">
      <alignment vertical="center"/>
    </xf>
    <xf numFmtId="175" fontId="1" fillId="7" borderId="39" xfId="10" applyNumberFormat="1" applyFont="1" applyFill="1" applyBorder="1" applyAlignment="1" applyProtection="1">
      <alignment vertical="center"/>
    </xf>
    <xf numFmtId="175" fontId="9" fillId="7" borderId="38" xfId="10" applyNumberFormat="1" applyFont="1" applyFill="1" applyBorder="1" applyAlignment="1" applyProtection="1">
      <alignment vertical="center"/>
    </xf>
    <xf numFmtId="175" fontId="9" fillId="23" borderId="56" xfId="10" applyNumberFormat="1" applyFont="1" applyFill="1" applyBorder="1" applyAlignment="1" applyProtection="1">
      <alignment vertical="center"/>
    </xf>
    <xf numFmtId="175" fontId="9" fillId="23" borderId="31" xfId="10" applyNumberFormat="1" applyFont="1" applyFill="1" applyBorder="1" applyAlignment="1" applyProtection="1">
      <alignment vertical="center"/>
    </xf>
    <xf numFmtId="164" fontId="63" fillId="7" borderId="17" xfId="10" applyFont="1" applyFill="1" applyBorder="1"/>
    <xf numFmtId="164" fontId="63" fillId="7" borderId="15" xfId="10" applyFont="1" applyFill="1" applyBorder="1"/>
    <xf numFmtId="2" fontId="0" fillId="0" borderId="9" xfId="0" applyNumberFormat="1" applyBorder="1"/>
    <xf numFmtId="168" fontId="1" fillId="9" borderId="15" xfId="10" applyNumberFormat="1" applyFont="1" applyFill="1" applyBorder="1" applyAlignment="1">
      <alignment horizontal="center"/>
    </xf>
    <xf numFmtId="168" fontId="6" fillId="9" borderId="6" xfId="10" applyNumberFormat="1" applyFont="1" applyFill="1" applyBorder="1" applyAlignment="1">
      <alignment horizontal="right"/>
    </xf>
    <xf numFmtId="0" fontId="5" fillId="13" borderId="9" xfId="0" applyFont="1" applyFill="1" applyBorder="1" applyAlignment="1">
      <alignment horizontal="center" vertical="center" wrapText="1"/>
    </xf>
    <xf numFmtId="49" fontId="25" fillId="0" borderId="11" xfId="8" applyNumberFormat="1" applyFont="1" applyFill="1" applyBorder="1" applyAlignment="1">
      <alignment horizontal="left" vertical="center" indent="1"/>
    </xf>
    <xf numFmtId="168" fontId="25" fillId="0" borderId="15" xfId="10" applyNumberFormat="1" applyFont="1" applyBorder="1"/>
    <xf numFmtId="165" fontId="0" fillId="0" borderId="11" xfId="0" applyNumberFormat="1" applyBorder="1"/>
    <xf numFmtId="49" fontId="26" fillId="0" borderId="11" xfId="8" applyNumberFormat="1" applyFont="1" applyFill="1" applyBorder="1" applyAlignment="1">
      <alignment horizontal="left" vertical="center" indent="1"/>
    </xf>
    <xf numFmtId="49" fontId="26" fillId="0" borderId="13" xfId="8" applyNumberFormat="1" applyFont="1" applyFill="1" applyBorder="1" applyAlignment="1">
      <alignment vertical="center"/>
    </xf>
    <xf numFmtId="168" fontId="20" fillId="0" borderId="15" xfId="10" applyNumberFormat="1" applyFont="1" applyBorder="1"/>
    <xf numFmtId="168" fontId="14" fillId="0" borderId="15" xfId="10" applyNumberFormat="1" applyFont="1" applyBorder="1"/>
    <xf numFmtId="49" fontId="26" fillId="0" borderId="13" xfId="8" applyNumberFormat="1" applyFont="1" applyFill="1" applyBorder="1" applyAlignment="1">
      <alignment horizontal="left" vertical="center" indent="1"/>
    </xf>
    <xf numFmtId="168" fontId="20" fillId="0" borderId="15" xfId="10" applyNumberFormat="1" applyFont="1" applyFill="1" applyBorder="1" applyAlignment="1">
      <alignment horizontal="right" vertical="center"/>
    </xf>
    <xf numFmtId="171" fontId="26" fillId="0" borderId="13" xfId="9" applyNumberFormat="1" applyFont="1" applyFill="1" applyBorder="1" applyAlignment="1">
      <alignment horizontal="right" vertical="center"/>
    </xf>
    <xf numFmtId="168" fontId="26" fillId="0" borderId="15" xfId="10" applyNumberFormat="1" applyFont="1" applyFill="1" applyBorder="1" applyAlignment="1">
      <alignment horizontal="right" vertical="center"/>
    </xf>
    <xf numFmtId="0" fontId="65" fillId="0" borderId="0" xfId="0" applyFont="1"/>
    <xf numFmtId="0" fontId="66" fillId="0" borderId="0" xfId="0" applyFont="1"/>
    <xf numFmtId="168" fontId="64" fillId="9" borderId="9" xfId="10" applyNumberFormat="1" applyFont="1" applyFill="1" applyBorder="1" applyAlignment="1">
      <alignment horizontal="right"/>
    </xf>
    <xf numFmtId="0" fontId="67" fillId="0" borderId="0" xfId="0" applyFont="1"/>
    <xf numFmtId="172" fontId="32" fillId="4" borderId="3" xfId="8" applyNumberFormat="1" applyFont="1" applyFill="1" applyBorder="1" applyAlignment="1">
      <alignment vertical="center"/>
    </xf>
    <xf numFmtId="172" fontId="26" fillId="4" borderId="3" xfId="8" applyNumberFormat="1" applyFont="1" applyFill="1" applyBorder="1" applyAlignment="1">
      <alignment vertical="center"/>
    </xf>
    <xf numFmtId="0" fontId="45" fillId="6" borderId="17" xfId="0" applyFont="1" applyFill="1" applyBorder="1" applyAlignment="1">
      <alignment horizontal="center" vertical="center"/>
    </xf>
    <xf numFmtId="0" fontId="64" fillId="8" borderId="0" xfId="0" applyFont="1" applyFill="1" applyBorder="1" applyAlignment="1">
      <alignment horizontal="center"/>
    </xf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 vertical="center" wrapText="1"/>
    </xf>
    <xf numFmtId="0" fontId="64" fillId="8" borderId="0" xfId="0" applyFont="1" applyFill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6" fillId="13" borderId="35" xfId="0" applyFont="1" applyFill="1" applyBorder="1" applyAlignment="1">
      <alignment horizontal="center"/>
    </xf>
    <xf numFmtId="0" fontId="6" fillId="13" borderId="21" xfId="0" applyFont="1" applyFill="1" applyBorder="1" applyAlignment="1">
      <alignment horizontal="center"/>
    </xf>
    <xf numFmtId="0" fontId="6" fillId="13" borderId="22" xfId="0" applyFont="1" applyFill="1" applyBorder="1" applyAlignment="1">
      <alignment horizontal="center"/>
    </xf>
    <xf numFmtId="0" fontId="6" fillId="13" borderId="33" xfId="0" applyFont="1" applyFill="1" applyBorder="1" applyAlignment="1">
      <alignment horizontal="center" vertical="center"/>
    </xf>
    <xf numFmtId="0" fontId="6" fillId="13" borderId="1" xfId="0" quotePrefix="1" applyFont="1" applyFill="1" applyBorder="1" applyAlignment="1">
      <alignment horizontal="center" vertical="center"/>
    </xf>
    <xf numFmtId="2" fontId="5" fillId="13" borderId="0" xfId="0" applyNumberFormat="1" applyFont="1" applyFill="1" applyBorder="1" applyAlignment="1">
      <alignment horizontal="center" vertical="center"/>
    </xf>
    <xf numFmtId="2" fontId="5" fillId="13" borderId="11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2" fontId="8" fillId="13" borderId="8" xfId="0" applyNumberFormat="1" applyFont="1" applyFill="1" applyBorder="1" applyAlignment="1">
      <alignment horizontal="left" vertical="top" wrapText="1"/>
    </xf>
    <xf numFmtId="2" fontId="8" fillId="13" borderId="0" xfId="0" applyNumberFormat="1" applyFont="1" applyFill="1" applyBorder="1" applyAlignment="1">
      <alignment horizontal="left" vertical="top" wrapText="1"/>
    </xf>
    <xf numFmtId="2" fontId="8" fillId="13" borderId="9" xfId="0" applyNumberFormat="1" applyFont="1" applyFill="1" applyBorder="1" applyAlignment="1">
      <alignment horizontal="left" vertical="top" wrapText="1"/>
    </xf>
    <xf numFmtId="2" fontId="8" fillId="13" borderId="12" xfId="0" applyNumberFormat="1" applyFont="1" applyFill="1" applyBorder="1" applyAlignment="1">
      <alignment horizontal="left" vertical="top" wrapText="1"/>
    </xf>
    <xf numFmtId="2" fontId="8" fillId="13" borderId="11" xfId="0" applyNumberFormat="1" applyFont="1" applyFill="1" applyBorder="1" applyAlignment="1">
      <alignment horizontal="left" vertical="top" wrapText="1"/>
    </xf>
    <xf numFmtId="2" fontId="8" fillId="13" borderId="13" xfId="0" applyNumberFormat="1" applyFont="1" applyFill="1" applyBorder="1" applyAlignment="1">
      <alignment horizontal="left" vertical="top" wrapText="1"/>
    </xf>
    <xf numFmtId="0" fontId="5" fillId="13" borderId="8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3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4" borderId="6" xfId="5" applyFont="1" applyFill="1" applyBorder="1" applyAlignment="1">
      <alignment horizontal="center" vertical="center"/>
    </xf>
    <xf numFmtId="0" fontId="9" fillId="4" borderId="13" xfId="5" applyFont="1" applyFill="1" applyBorder="1" applyAlignment="1">
      <alignment horizontal="center" vertical="center"/>
    </xf>
    <xf numFmtId="0" fontId="9" fillId="4" borderId="4" xfId="5" applyFont="1" applyFill="1" applyBorder="1" applyAlignment="1">
      <alignment horizontal="center" vertical="center"/>
    </xf>
    <xf numFmtId="0" fontId="9" fillId="4" borderId="14" xfId="5" applyFont="1" applyFill="1" applyBorder="1" applyAlignment="1">
      <alignment horizontal="center" vertical="center"/>
    </xf>
    <xf numFmtId="0" fontId="9" fillId="4" borderId="10" xfId="5" applyFont="1" applyFill="1" applyBorder="1" applyAlignment="1">
      <alignment horizontal="center" vertical="center"/>
    </xf>
    <xf numFmtId="0" fontId="9" fillId="4" borderId="5" xfId="5" applyFont="1" applyFill="1" applyBorder="1" applyAlignment="1">
      <alignment horizontal="center" vertical="center" wrapText="1"/>
    </xf>
    <xf numFmtId="0" fontId="9" fillId="4" borderId="12" xfId="5" applyFont="1" applyFill="1" applyBorder="1" applyAlignment="1">
      <alignment horizontal="center" vertical="center" wrapText="1"/>
    </xf>
    <xf numFmtId="0" fontId="3" fillId="9" borderId="0" xfId="5" applyFont="1" applyFill="1" applyBorder="1" applyAlignment="1">
      <alignment horizontal="center"/>
    </xf>
    <xf numFmtId="0" fontId="9" fillId="9" borderId="11" xfId="5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17" fontId="4" fillId="9" borderId="0" xfId="0" applyNumberFormat="1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left"/>
    </xf>
    <xf numFmtId="0" fontId="15" fillId="9" borderId="14" xfId="0" applyFont="1" applyFill="1" applyBorder="1" applyAlignment="1">
      <alignment horizontal="left"/>
    </xf>
    <xf numFmtId="0" fontId="15" fillId="9" borderId="4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/>
    </xf>
    <xf numFmtId="0" fontId="15" fillId="9" borderId="17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2" fontId="20" fillId="17" borderId="8" xfId="0" applyNumberFormat="1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"/>
    </xf>
    <xf numFmtId="2" fontId="20" fillId="17" borderId="9" xfId="0" applyNumberFormat="1" applyFont="1" applyFill="1" applyBorder="1" applyAlignment="1">
      <alignment horizontal="center"/>
    </xf>
    <xf numFmtId="2" fontId="20" fillId="17" borderId="12" xfId="0" applyNumberFormat="1" applyFont="1" applyFill="1" applyBorder="1" applyAlignment="1">
      <alignment horizontal="center"/>
    </xf>
    <xf numFmtId="2" fontId="20" fillId="17" borderId="11" xfId="0" applyNumberFormat="1" applyFont="1" applyFill="1" applyBorder="1" applyAlignment="1">
      <alignment horizontal="center"/>
    </xf>
    <xf numFmtId="2" fontId="20" fillId="17" borderId="13" xfId="0" applyNumberFormat="1" applyFont="1" applyFill="1" applyBorder="1" applyAlignment="1">
      <alignment horizontal="center"/>
    </xf>
    <xf numFmtId="0" fontId="20" fillId="17" borderId="12" xfId="0" applyFont="1" applyFill="1" applyBorder="1" applyAlignment="1">
      <alignment horizontal="center"/>
    </xf>
    <xf numFmtId="0" fontId="20" fillId="17" borderId="11" xfId="0" applyFont="1" applyFill="1" applyBorder="1" applyAlignment="1">
      <alignment horizontal="center"/>
    </xf>
    <xf numFmtId="0" fontId="20" fillId="17" borderId="13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20" fillId="17" borderId="6" xfId="0" applyFont="1" applyFill="1" applyBorder="1" applyAlignment="1">
      <alignment horizontal="center" vertical="center"/>
    </xf>
    <xf numFmtId="0" fontId="20" fillId="17" borderId="9" xfId="0" applyFont="1" applyFill="1" applyBorder="1" applyAlignment="1">
      <alignment horizontal="center" vertical="center"/>
    </xf>
    <xf numFmtId="0" fontId="20" fillId="17" borderId="13" xfId="0" applyFont="1" applyFill="1" applyBorder="1" applyAlignment="1">
      <alignment horizontal="center" vertical="center"/>
    </xf>
    <xf numFmtId="0" fontId="13" fillId="9" borderId="11" xfId="2" applyFont="1" applyFill="1" applyBorder="1" applyAlignment="1" applyProtection="1">
      <alignment horizontal="left" vertical="center"/>
    </xf>
    <xf numFmtId="49" fontId="20" fillId="9" borderId="8" xfId="8" applyNumberFormat="1" applyFont="1" applyFill="1" applyBorder="1" applyAlignment="1">
      <alignment horizontal="center" vertical="center"/>
    </xf>
    <xf numFmtId="49" fontId="20" fillId="9" borderId="0" xfId="8" applyNumberFormat="1" applyFont="1" applyFill="1" applyBorder="1" applyAlignment="1">
      <alignment horizontal="center" vertical="center"/>
    </xf>
    <xf numFmtId="49" fontId="20" fillId="9" borderId="9" xfId="8" applyNumberFormat="1" applyFont="1" applyFill="1" applyBorder="1" applyAlignment="1">
      <alignment horizontal="center" vertical="center"/>
    </xf>
    <xf numFmtId="49" fontId="20" fillId="4" borderId="7" xfId="7" applyNumberFormat="1" applyFont="1" applyFill="1" applyBorder="1" applyAlignment="1">
      <alignment horizontal="center" vertical="center" wrapText="1"/>
    </xf>
    <xf numFmtId="49" fontId="20" fillId="4" borderId="6" xfId="7" applyNumberFormat="1" applyFont="1" applyFill="1" applyBorder="1" applyAlignment="1">
      <alignment horizontal="center" vertical="center" wrapText="1"/>
    </xf>
    <xf numFmtId="49" fontId="20" fillId="4" borderId="11" xfId="7" applyNumberFormat="1" applyFont="1" applyFill="1" applyBorder="1" applyAlignment="1">
      <alignment horizontal="center" vertical="center" wrapText="1"/>
    </xf>
    <xf numFmtId="49" fontId="20" fillId="4" borderId="13" xfId="7" applyNumberFormat="1" applyFont="1" applyFill="1" applyBorder="1" applyAlignment="1">
      <alignment horizontal="center" vertical="center" wrapText="1"/>
    </xf>
    <xf numFmtId="49" fontId="20" fillId="4" borderId="4" xfId="7" applyNumberFormat="1" applyFont="1" applyFill="1" applyBorder="1" applyAlignment="1">
      <alignment horizontal="center" vertical="center" wrapText="1"/>
    </xf>
    <xf numFmtId="49" fontId="20" fillId="4" borderId="10" xfId="7" applyNumberFormat="1" applyFont="1" applyFill="1" applyBorder="1" applyAlignment="1">
      <alignment horizontal="center" vertical="center" wrapText="1"/>
    </xf>
    <xf numFmtId="49" fontId="20" fillId="4" borderId="5" xfId="7" applyNumberFormat="1" applyFont="1" applyFill="1" applyBorder="1" applyAlignment="1">
      <alignment horizontal="center" vertical="center" wrapText="1"/>
    </xf>
    <xf numFmtId="49" fontId="20" fillId="4" borderId="12" xfId="7" applyNumberFormat="1" applyFont="1" applyFill="1" applyBorder="1" applyAlignment="1">
      <alignment horizontal="center" vertical="center" wrapText="1"/>
    </xf>
    <xf numFmtId="49" fontId="20" fillId="9" borderId="5" xfId="8" applyNumberFormat="1" applyFont="1" applyFill="1" applyBorder="1" applyAlignment="1">
      <alignment horizontal="center" vertical="center"/>
    </xf>
    <xf numFmtId="49" fontId="20" fillId="9" borderId="7" xfId="8" applyNumberFormat="1" applyFont="1" applyFill="1" applyBorder="1" applyAlignment="1">
      <alignment horizontal="center" vertical="center"/>
    </xf>
    <xf numFmtId="49" fontId="20" fillId="9" borderId="6" xfId="8" applyNumberFormat="1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7" fontId="9" fillId="3" borderId="35" xfId="0" quotePrefix="1" applyNumberFormat="1" applyFont="1" applyFill="1" applyBorder="1" applyAlignment="1">
      <alignment horizontal="center"/>
    </xf>
    <xf numFmtId="17" fontId="9" fillId="3" borderId="21" xfId="0" applyNumberFormat="1" applyFont="1" applyFill="1" applyBorder="1" applyAlignment="1">
      <alignment horizontal="center"/>
    </xf>
    <xf numFmtId="3" fontId="3" fillId="9" borderId="8" xfId="0" applyNumberFormat="1" applyFont="1" applyFill="1" applyBorder="1" applyAlignment="1">
      <alignment horizontal="center"/>
    </xf>
    <xf numFmtId="3" fontId="3" fillId="9" borderId="0" xfId="0" applyNumberFormat="1" applyFont="1" applyFill="1" applyBorder="1" applyAlignment="1">
      <alignment horizontal="center"/>
    </xf>
    <xf numFmtId="3" fontId="3" fillId="9" borderId="9" xfId="0" applyNumberFormat="1" applyFont="1" applyFill="1" applyBorder="1" applyAlignment="1">
      <alignment horizontal="center"/>
    </xf>
    <xf numFmtId="17" fontId="9" fillId="3" borderId="35" xfId="0" applyNumberFormat="1" applyFont="1" applyFill="1" applyBorder="1" applyAlignment="1">
      <alignment horizontal="center"/>
    </xf>
    <xf numFmtId="1" fontId="9" fillId="3" borderId="35" xfId="0" applyNumberFormat="1" applyFont="1" applyFill="1" applyBorder="1" applyAlignment="1">
      <alignment horizontal="center" vertical="center"/>
    </xf>
    <xf numFmtId="1" fontId="9" fillId="3" borderId="21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3" borderId="14" xfId="0" applyNumberFormat="1" applyFont="1" applyFill="1" applyBorder="1" applyAlignment="1">
      <alignment horizontal="center" vertical="center"/>
    </xf>
    <xf numFmtId="49" fontId="20" fillId="9" borderId="0" xfId="7" applyNumberFormat="1" applyFont="1" applyFill="1" applyBorder="1" applyAlignment="1">
      <alignment horizontal="center" vertical="center" wrapText="1"/>
    </xf>
    <xf numFmtId="49" fontId="9" fillId="3" borderId="35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  <xf numFmtId="0" fontId="0" fillId="0" borderId="21" xfId="0" applyBorder="1"/>
    <xf numFmtId="3" fontId="3" fillId="9" borderId="0" xfId="0" applyNumberFormat="1" applyFont="1" applyFill="1" applyAlignment="1">
      <alignment horizontal="center"/>
    </xf>
    <xf numFmtId="0" fontId="62" fillId="20" borderId="0" xfId="0" applyFont="1" applyFill="1" applyAlignment="1">
      <alignment horizontal="center"/>
    </xf>
    <xf numFmtId="0" fontId="29" fillId="9" borderId="5" xfId="0" applyFont="1" applyFill="1" applyBorder="1" applyAlignment="1">
      <alignment horizontal="center"/>
    </xf>
    <xf numFmtId="0" fontId="29" fillId="9" borderId="7" xfId="0" applyFont="1" applyFill="1" applyBorder="1" applyAlignment="1">
      <alignment horizontal="center"/>
    </xf>
    <xf numFmtId="0" fontId="29" fillId="9" borderId="6" xfId="0" applyFont="1" applyFill="1" applyBorder="1" applyAlignment="1">
      <alignment horizontal="center"/>
    </xf>
    <xf numFmtId="0" fontId="29" fillId="9" borderId="8" xfId="0" applyFont="1" applyFill="1" applyBorder="1" applyAlignment="1">
      <alignment horizontal="center"/>
    </xf>
    <xf numFmtId="0" fontId="29" fillId="9" borderId="0" xfId="0" applyFont="1" applyFill="1" applyBorder="1" applyAlignment="1">
      <alignment horizontal="center"/>
    </xf>
    <xf numFmtId="0" fontId="29" fillId="9" borderId="9" xfId="0" applyFont="1" applyFill="1" applyBorder="1" applyAlignment="1">
      <alignment horizontal="center"/>
    </xf>
    <xf numFmtId="0" fontId="47" fillId="9" borderId="5" xfId="0" applyFont="1" applyFill="1" applyBorder="1" applyAlignment="1">
      <alignment horizontal="center"/>
    </xf>
    <xf numFmtId="0" fontId="47" fillId="9" borderId="7" xfId="0" applyFont="1" applyFill="1" applyBorder="1" applyAlignment="1">
      <alignment horizontal="center"/>
    </xf>
    <xf numFmtId="0" fontId="47" fillId="9" borderId="6" xfId="0" applyFont="1" applyFill="1" applyBorder="1" applyAlignment="1">
      <alignment horizontal="center"/>
    </xf>
    <xf numFmtId="0" fontId="66" fillId="20" borderId="0" xfId="0" applyFont="1" applyFill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9" fillId="9" borderId="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9" fillId="9" borderId="21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  <xf numFmtId="0" fontId="6" fillId="9" borderId="29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0" fillId="4" borderId="9" xfId="0" applyFill="1" applyBorder="1"/>
    <xf numFmtId="49" fontId="9" fillId="4" borderId="3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 vertical="center"/>
    </xf>
    <xf numFmtId="1" fontId="9" fillId="4" borderId="3" xfId="0" applyNumberFormat="1" applyFont="1" applyFill="1" applyBorder="1" applyAlignment="1">
      <alignment horizontal="center"/>
    </xf>
    <xf numFmtId="1" fontId="9" fillId="4" borderId="4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4" borderId="9" xfId="0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/>
    </xf>
    <xf numFmtId="0" fontId="64" fillId="0" borderId="0" xfId="0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49" fontId="9" fillId="4" borderId="4" xfId="0" applyNumberFormat="1" applyFont="1" applyFill="1" applyBorder="1" applyAlignment="1">
      <alignment horizontal="center"/>
    </xf>
    <xf numFmtId="49" fontId="9" fillId="4" borderId="14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9" fillId="4" borderId="14" xfId="0" applyNumberFormat="1" applyFont="1" applyFill="1" applyBorder="1" applyAlignment="1">
      <alignment horizontal="center"/>
    </xf>
    <xf numFmtId="0" fontId="9" fillId="4" borderId="10" xfId="0" applyNumberFormat="1" applyFont="1" applyFill="1" applyBorder="1" applyAlignment="1">
      <alignment horizontal="center"/>
    </xf>
    <xf numFmtId="0" fontId="1" fillId="22" borderId="19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16" xfId="0" applyFont="1" applyFill="1" applyBorder="1" applyAlignment="1">
      <alignment horizontal="center" vertical="center"/>
    </xf>
    <xf numFmtId="0" fontId="1" fillId="22" borderId="25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22" borderId="30" xfId="0" applyFont="1" applyFill="1" applyBorder="1" applyAlignment="1">
      <alignment horizontal="center" vertical="center" wrapText="1"/>
    </xf>
    <xf numFmtId="0" fontId="1" fillId="22" borderId="9" xfId="0" applyFont="1" applyFill="1" applyBorder="1" applyAlignment="1">
      <alignment horizontal="center" vertical="center" wrapText="1"/>
    </xf>
    <xf numFmtId="0" fontId="1" fillId="22" borderId="24" xfId="0" applyFont="1" applyFill="1" applyBorder="1" applyAlignment="1">
      <alignment horizontal="center" vertical="center" wrapText="1"/>
    </xf>
    <xf numFmtId="0" fontId="1" fillId="22" borderId="20" xfId="0" applyFont="1" applyFill="1" applyBorder="1" applyAlignment="1">
      <alignment horizontal="center" vertical="center"/>
    </xf>
    <xf numFmtId="0" fontId="1" fillId="22" borderId="29" xfId="0" applyFont="1" applyFill="1" applyBorder="1" applyAlignment="1">
      <alignment horizontal="center" vertical="center" wrapText="1"/>
    </xf>
    <xf numFmtId="0" fontId="1" fillId="22" borderId="17" xfId="0" applyFont="1" applyFill="1" applyBorder="1" applyAlignment="1">
      <alignment horizontal="center" vertical="center" wrapText="1"/>
    </xf>
    <xf numFmtId="0" fontId="1" fillId="22" borderId="25" xfId="0" applyFont="1" applyFill="1" applyBorder="1" applyAlignment="1">
      <alignment horizontal="center" vertical="center" wrapText="1"/>
    </xf>
    <xf numFmtId="0" fontId="1" fillId="22" borderId="35" xfId="0" applyFont="1" applyFill="1" applyBorder="1" applyAlignment="1">
      <alignment horizontal="center" vertical="center"/>
    </xf>
    <xf numFmtId="0" fontId="1" fillId="2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4" fillId="20" borderId="0" xfId="0" applyFont="1" applyFill="1" applyAlignment="1">
      <alignment horizontal="center"/>
    </xf>
    <xf numFmtId="0" fontId="9" fillId="18" borderId="20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left" vertical="center" wrapText="1"/>
    </xf>
    <xf numFmtId="0" fontId="9" fillId="18" borderId="30" xfId="0" applyFont="1" applyFill="1" applyBorder="1" applyAlignment="1">
      <alignment horizontal="center" vertical="center" wrapText="1"/>
    </xf>
    <xf numFmtId="0" fontId="9" fillId="18" borderId="24" xfId="0" applyFont="1" applyFill="1" applyBorder="1" applyAlignment="1">
      <alignment horizontal="center" vertical="center" wrapText="1"/>
    </xf>
    <xf numFmtId="0" fontId="9" fillId="18" borderId="29" xfId="0" applyFont="1" applyFill="1" applyBorder="1" applyAlignment="1">
      <alignment horizontal="center" vertical="center" wrapText="1"/>
    </xf>
    <xf numFmtId="0" fontId="9" fillId="18" borderId="25" xfId="0" applyFont="1" applyFill="1" applyBorder="1" applyAlignment="1">
      <alignment horizontal="center" vertical="center" wrapText="1"/>
    </xf>
    <xf numFmtId="0" fontId="9" fillId="18" borderId="19" xfId="0" applyFont="1" applyFill="1" applyBorder="1" applyAlignment="1">
      <alignment horizontal="center"/>
    </xf>
    <xf numFmtId="0" fontId="9" fillId="18" borderId="2" xfId="0" applyFont="1" applyFill="1" applyBorder="1" applyAlignment="1">
      <alignment horizontal="center"/>
    </xf>
    <xf numFmtId="167" fontId="9" fillId="0" borderId="6" xfId="10" applyNumberFormat="1" applyFont="1" applyFill="1" applyBorder="1" applyAlignment="1" applyProtection="1">
      <alignment horizontal="center" vertical="center"/>
    </xf>
    <xf numFmtId="167" fontId="9" fillId="0" borderId="9" xfId="10" applyNumberFormat="1" applyFont="1" applyFill="1" applyBorder="1" applyAlignment="1" applyProtection="1">
      <alignment horizontal="center" vertical="center"/>
    </xf>
    <xf numFmtId="167" fontId="9" fillId="0" borderId="13" xfId="10" applyNumberFormat="1" applyFont="1" applyFill="1" applyBorder="1" applyAlignment="1" applyProtection="1">
      <alignment horizontal="center" vertical="center"/>
    </xf>
    <xf numFmtId="167" fontId="9" fillId="7" borderId="6" xfId="10" applyNumberFormat="1" applyFont="1" applyFill="1" applyBorder="1" applyAlignment="1" applyProtection="1">
      <alignment horizontal="center" vertical="center"/>
    </xf>
    <xf numFmtId="167" fontId="9" fillId="7" borderId="9" xfId="10" applyNumberFormat="1" applyFont="1" applyFill="1" applyBorder="1" applyAlignment="1" applyProtection="1">
      <alignment horizontal="center" vertical="center"/>
    </xf>
    <xf numFmtId="167" fontId="9" fillId="7" borderId="13" xfId="10" applyNumberFormat="1" applyFont="1" applyFill="1" applyBorder="1" applyAlignment="1" applyProtection="1">
      <alignment horizontal="center" vertical="center"/>
    </xf>
    <xf numFmtId="0" fontId="32" fillId="7" borderId="9" xfId="13" applyFont="1" applyFill="1" applyBorder="1" applyAlignment="1">
      <alignment horizontal="center" vertical="center" wrapText="1"/>
    </xf>
    <xf numFmtId="0" fontId="32" fillId="7" borderId="24" xfId="13" applyFont="1" applyFill="1" applyBorder="1" applyAlignment="1">
      <alignment horizontal="center" vertical="center" wrapText="1"/>
    </xf>
    <xf numFmtId="175" fontId="9" fillId="23" borderId="55" xfId="10" applyNumberFormat="1" applyFont="1" applyFill="1" applyBorder="1" applyAlignment="1" applyProtection="1">
      <alignment horizontal="center" vertical="center"/>
    </xf>
    <xf numFmtId="175" fontId="9" fillId="23" borderId="38" xfId="10" applyNumberFormat="1" applyFont="1" applyFill="1" applyBorder="1" applyAlignment="1" applyProtection="1">
      <alignment horizontal="center" vertical="center"/>
    </xf>
    <xf numFmtId="178" fontId="9" fillId="23" borderId="64" xfId="10" applyNumberFormat="1" applyFont="1" applyFill="1" applyBorder="1" applyAlignment="1">
      <alignment horizontal="center" vertical="center"/>
    </xf>
    <xf numFmtId="178" fontId="9" fillId="23" borderId="43" xfId="10" applyNumberFormat="1" applyFont="1" applyFill="1" applyBorder="1" applyAlignment="1">
      <alignment horizontal="center" vertical="center"/>
    </xf>
    <xf numFmtId="178" fontId="9" fillId="23" borderId="29" xfId="10" applyNumberFormat="1" applyFont="1" applyFill="1" applyBorder="1" applyAlignment="1">
      <alignment horizontal="center" vertical="center"/>
    </xf>
    <xf numFmtId="178" fontId="9" fillId="23" borderId="25" xfId="10" applyNumberFormat="1" applyFont="1" applyFill="1" applyBorder="1" applyAlignment="1">
      <alignment horizontal="center" vertical="center"/>
    </xf>
    <xf numFmtId="175" fontId="9" fillId="23" borderId="65" xfId="10" applyNumberFormat="1" applyFont="1" applyFill="1" applyBorder="1" applyAlignment="1" applyProtection="1">
      <alignment horizontal="center" vertical="center"/>
    </xf>
    <xf numFmtId="175" fontId="9" fillId="23" borderId="44" xfId="10" applyNumberFormat="1" applyFont="1" applyFill="1" applyBorder="1" applyAlignment="1" applyProtection="1">
      <alignment horizontal="center" vertical="center"/>
    </xf>
    <xf numFmtId="178" fontId="9" fillId="23" borderId="30" xfId="10" applyNumberFormat="1" applyFont="1" applyFill="1" applyBorder="1" applyAlignment="1">
      <alignment horizontal="center" vertical="center"/>
    </xf>
    <xf numFmtId="178" fontId="9" fillId="23" borderId="24" xfId="10" applyNumberFormat="1" applyFont="1" applyFill="1" applyBorder="1" applyAlignment="1">
      <alignment horizontal="center" vertical="center"/>
    </xf>
    <xf numFmtId="173" fontId="9" fillId="23" borderId="29" xfId="10" applyNumberFormat="1" applyFont="1" applyFill="1" applyBorder="1" applyAlignment="1" applyProtection="1">
      <alignment horizontal="center" vertical="center"/>
    </xf>
    <xf numFmtId="173" fontId="9" fillId="23" borderId="25" xfId="10" applyNumberFormat="1" applyFont="1" applyFill="1" applyBorder="1" applyAlignment="1" applyProtection="1">
      <alignment horizontal="center" vertical="center"/>
    </xf>
    <xf numFmtId="0" fontId="66" fillId="8" borderId="0" xfId="0" applyFont="1" applyFill="1" applyAlignment="1">
      <alignment horizontal="center"/>
    </xf>
    <xf numFmtId="2" fontId="9" fillId="23" borderId="51" xfId="10" applyNumberFormat="1" applyFont="1" applyFill="1" applyBorder="1" applyAlignment="1">
      <alignment horizontal="center" vertical="center"/>
    </xf>
    <xf numFmtId="2" fontId="9" fillId="23" borderId="38" xfId="10" applyNumberFormat="1" applyFont="1" applyFill="1" applyBorder="1" applyAlignment="1">
      <alignment horizontal="center" vertical="center"/>
    </xf>
    <xf numFmtId="2" fontId="9" fillId="23" borderId="51" xfId="10" applyNumberFormat="1" applyFont="1" applyFill="1" applyBorder="1" applyAlignment="1" applyProtection="1">
      <alignment horizontal="center" vertical="center"/>
    </xf>
    <xf numFmtId="2" fontId="9" fillId="23" borderId="38" xfId="10" applyNumberFormat="1" applyFont="1" applyFill="1" applyBorder="1" applyAlignment="1" applyProtection="1">
      <alignment horizontal="center" vertical="center"/>
    </xf>
    <xf numFmtId="0" fontId="9" fillId="23" borderId="57" xfId="0" applyFont="1" applyFill="1" applyBorder="1" applyAlignment="1">
      <alignment horizontal="center" vertical="center"/>
    </xf>
    <xf numFmtId="0" fontId="9" fillId="23" borderId="20" xfId="0" applyFont="1" applyFill="1" applyBorder="1" applyAlignment="1">
      <alignment horizontal="center" vertical="center"/>
    </xf>
    <xf numFmtId="0" fontId="9" fillId="23" borderId="41" xfId="0" applyFont="1" applyFill="1" applyBorder="1" applyAlignment="1">
      <alignment horizontal="center" vertical="center"/>
    </xf>
    <xf numFmtId="0" fontId="9" fillId="23" borderId="0" xfId="0" applyFont="1" applyFill="1" applyBorder="1" applyAlignment="1">
      <alignment horizontal="center" vertical="center"/>
    </xf>
    <xf numFmtId="3" fontId="3" fillId="9" borderId="0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 vertical="center"/>
    </xf>
    <xf numFmtId="0" fontId="9" fillId="23" borderId="54" xfId="0" applyFont="1" applyFill="1" applyBorder="1" applyAlignment="1">
      <alignment horizontal="center" vertical="center"/>
    </xf>
    <xf numFmtId="0" fontId="9" fillId="23" borderId="33" xfId="0" applyFont="1" applyFill="1" applyBorder="1" applyAlignment="1">
      <alignment horizontal="center" vertical="center"/>
    </xf>
    <xf numFmtId="0" fontId="9" fillId="23" borderId="55" xfId="0" applyFont="1" applyFill="1" applyBorder="1" applyAlignment="1">
      <alignment horizontal="center" vertical="center"/>
    </xf>
    <xf numFmtId="0" fontId="1" fillId="23" borderId="45" xfId="0" applyFont="1" applyFill="1" applyBorder="1" applyAlignment="1">
      <alignment horizontal="center" vertical="center"/>
    </xf>
    <xf numFmtId="0" fontId="1" fillId="23" borderId="11" xfId="0" applyFont="1" applyFill="1" applyBorder="1" applyAlignment="1">
      <alignment horizontal="center" vertical="center"/>
    </xf>
    <xf numFmtId="0" fontId="1" fillId="23" borderId="39" xfId="0" applyFont="1" applyFill="1" applyBorder="1" applyAlignment="1">
      <alignment horizontal="center" vertical="center"/>
    </xf>
    <xf numFmtId="0" fontId="32" fillId="0" borderId="6" xfId="13" applyFont="1" applyBorder="1" applyAlignment="1">
      <alignment horizontal="center" vertical="center" wrapText="1"/>
    </xf>
    <xf numFmtId="0" fontId="32" fillId="0" borderId="9" xfId="13" applyFont="1" applyBorder="1" applyAlignment="1">
      <alignment horizontal="center" vertical="center" wrapText="1"/>
    </xf>
    <xf numFmtId="0" fontId="32" fillId="0" borderId="13" xfId="13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2" fillId="0" borderId="6" xfId="13" applyFont="1" applyBorder="1" applyAlignment="1">
      <alignment horizontal="center" vertical="center"/>
    </xf>
    <xf numFmtId="0" fontId="32" fillId="0" borderId="9" xfId="13" applyFont="1" applyBorder="1" applyAlignment="1">
      <alignment horizontal="center" vertical="center"/>
    </xf>
    <xf numFmtId="0" fontId="32" fillId="0" borderId="24" xfId="13" applyFont="1" applyBorder="1" applyAlignment="1">
      <alignment horizontal="center" vertical="center"/>
    </xf>
    <xf numFmtId="0" fontId="62" fillId="8" borderId="0" xfId="0" applyFont="1" applyFill="1" applyBorder="1" applyAlignment="1">
      <alignment horizontal="center"/>
    </xf>
    <xf numFmtId="178" fontId="1" fillId="23" borderId="64" xfId="10" applyNumberFormat="1" applyFont="1" applyFill="1" applyBorder="1" applyAlignment="1">
      <alignment horizontal="center" vertical="center"/>
    </xf>
    <xf numFmtId="178" fontId="1" fillId="23" borderId="43" xfId="10" applyNumberFormat="1" applyFont="1" applyFill="1" applyBorder="1" applyAlignment="1">
      <alignment horizontal="center" vertical="center"/>
    </xf>
    <xf numFmtId="175" fontId="9" fillId="23" borderId="33" xfId="10" applyNumberFormat="1" applyFont="1" applyFill="1" applyBorder="1" applyAlignment="1" applyProtection="1">
      <alignment horizontal="center" vertical="center"/>
    </xf>
    <xf numFmtId="175" fontId="9" fillId="23" borderId="1" xfId="10" applyNumberFormat="1" applyFont="1" applyFill="1" applyBorder="1" applyAlignment="1" applyProtection="1">
      <alignment horizontal="center" vertical="center"/>
    </xf>
    <xf numFmtId="0" fontId="62" fillId="8" borderId="0" xfId="0" applyFont="1" applyFill="1" applyAlignment="1">
      <alignment horizontal="center"/>
    </xf>
    <xf numFmtId="0" fontId="1" fillId="23" borderId="5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23" borderId="38" xfId="0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/>
    </xf>
    <xf numFmtId="49" fontId="9" fillId="5" borderId="4" xfId="0" applyNumberFormat="1" applyFont="1" applyFill="1" applyBorder="1" applyAlignment="1">
      <alignment horizontal="center"/>
    </xf>
    <xf numFmtId="49" fontId="9" fillId="5" borderId="10" xfId="0" applyNumberFormat="1" applyFont="1" applyFill="1" applyBorder="1" applyAlignment="1">
      <alignment horizontal="center"/>
    </xf>
    <xf numFmtId="49" fontId="9" fillId="5" borderId="14" xfId="0" applyNumberFormat="1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/>
    </xf>
    <xf numFmtId="0" fontId="3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</cellXfs>
  <cellStyles count="14">
    <cellStyle name="Hyperlink" xfId="1" builtinId="8"/>
    <cellStyle name="Hyperlink_Ranking do Agronegócio-Valores" xfId="2"/>
    <cellStyle name="Normal" xfId="0" builtinId="0"/>
    <cellStyle name="Normal 2_Produção Brasiliera de Café-2015-2014-2013" xfId="3"/>
    <cellStyle name="Normal 2_Produção CONAB - 1999 a 2014" xfId="13"/>
    <cellStyle name="Normal_Balança Janeiro-02" xfId="4"/>
    <cellStyle name="Normal_Estoques privados e público-CONAB-04-13" xfId="5"/>
    <cellStyle name="Normal_Informe Café - Julho-02" xfId="6"/>
    <cellStyle name="Normal_Plan1_1" xfId="7"/>
    <cellStyle name="Normal_Ranking do Agronegócio-Valores" xfId="8"/>
    <cellStyle name="Porcentagem" xfId="9" builtinId="5"/>
    <cellStyle name="Separador de milhares" xfId="10" builtinId="3"/>
    <cellStyle name="Separador de milhares_Estoques privados e público-CONAB-04-13" xfId="11"/>
    <cellStyle name="Vírgula 2" xfId="12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1416465146475228E-2"/>
          <c:y val="0.13936351706036745"/>
          <c:w val="0.89500368888713056"/>
          <c:h val="0.64969305920095288"/>
        </c:manualLayout>
      </c:layout>
      <c:barChart>
        <c:barDir val="col"/>
        <c:grouping val="clustered"/>
        <c:ser>
          <c:idx val="0"/>
          <c:order val="0"/>
          <c:tx>
            <c:strRef>
              <c:f>Plan1!$A$6</c:f>
              <c:strCache>
                <c:ptCount val="1"/>
                <c:pt idx="0">
                  <c:v>ARÁBICA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Plan1!$B$6:$Q$6</c:f>
              <c:numCache>
                <c:formatCode>#,##0.0</c:formatCode>
                <c:ptCount val="16"/>
                <c:pt idx="0">
                  <c:v>22.5</c:v>
                </c:pt>
                <c:pt idx="1">
                  <c:v>37.9</c:v>
                </c:pt>
                <c:pt idx="2">
                  <c:v>20.100000000000001</c:v>
                </c:pt>
                <c:pt idx="3">
                  <c:v>31.7</c:v>
                </c:pt>
                <c:pt idx="4">
                  <c:v>23.8</c:v>
                </c:pt>
                <c:pt idx="5">
                  <c:v>33</c:v>
                </c:pt>
                <c:pt idx="6">
                  <c:v>25.1</c:v>
                </c:pt>
                <c:pt idx="7" formatCode="_(* #,##0.0_);_(* \(#,##0.0\);_(* &quot;-&quot;_);_(@_)">
                  <c:v>35.5</c:v>
                </c:pt>
                <c:pt idx="8" formatCode="_(* #,##0.0_);_(* \(#,##0.0\);_(* &quot;-&quot;_);_(@_)">
                  <c:v>28.8</c:v>
                </c:pt>
                <c:pt idx="9" formatCode="_(* #,##0.0_);_(* \(#,##0.0\);_(* &quot;-&quot;_);_(@_)">
                  <c:v>36.799999999999997</c:v>
                </c:pt>
                <c:pt idx="10" formatCode="_(* #,##0.0_);_(* \(#,##0.0\);_(* &quot;-&quot;_);_(@_)">
                  <c:v>32.200000000000003</c:v>
                </c:pt>
                <c:pt idx="11" formatCode="_(* #,##0.0_);_(* \(#,##0.0\);_(* &quot;-&quot;_);_(@_)">
                  <c:v>38.299999999999997</c:v>
                </c:pt>
                <c:pt idx="12" formatCode="_(* #,##0.0_);_(* \(#,##0.0\);_(* &quot;-&quot;_);_(@_)">
                  <c:v>38.299999999999997</c:v>
                </c:pt>
                <c:pt idx="13" formatCode="_(* #,##0.0_);_(* \(#,##0.0\);_(* &quot;-&quot;_);_(@_)">
                  <c:v>32.6</c:v>
                </c:pt>
                <c:pt idx="14" formatCode="_(* #,##0.0_);_(* \(#,##0.0\);_(* &quot;-&quot;_);_(@_)">
                  <c:v>32</c:v>
                </c:pt>
                <c:pt idx="15" formatCode="_(* #,##0.0_);_(* \(#,##0.0\);_(* &quot;-&quot;_);_(@_)">
                  <c:v>38.799999999999997</c:v>
                </c:pt>
              </c:numCache>
            </c:numRef>
          </c:val>
        </c:ser>
        <c:ser>
          <c:idx val="1"/>
          <c:order val="1"/>
          <c:tx>
            <c:strRef>
              <c:f>Plan1!$A$7</c:f>
              <c:strCache>
                <c:ptCount val="1"/>
                <c:pt idx="0">
                  <c:v>CONILON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Plan1!$B$7:$Q$7</c:f>
              <c:numCache>
                <c:formatCode>#,##0.0</c:formatCode>
                <c:ptCount val="16"/>
                <c:pt idx="0">
                  <c:v>8.8000000000000007</c:v>
                </c:pt>
                <c:pt idx="1">
                  <c:v>10.5</c:v>
                </c:pt>
                <c:pt idx="2">
                  <c:v>8.6999999999999993</c:v>
                </c:pt>
                <c:pt idx="3">
                  <c:v>7.5</c:v>
                </c:pt>
                <c:pt idx="4">
                  <c:v>9.1</c:v>
                </c:pt>
                <c:pt idx="5">
                  <c:v>9.5</c:v>
                </c:pt>
                <c:pt idx="6">
                  <c:v>10.9</c:v>
                </c:pt>
                <c:pt idx="7" formatCode="_(* #,##0.0_);_(* \(#,##0.0\);_(* &quot;-&quot;_);_(@_)">
                  <c:v>10.5</c:v>
                </c:pt>
                <c:pt idx="8" formatCode="_(* #,##0.0_);_(* \(#,##0.0\);_(* &quot;-&quot;_);_(@_)">
                  <c:v>10.6</c:v>
                </c:pt>
                <c:pt idx="9" formatCode="_(* #,##0.0_);_(* \(#,##0.0\);_(* &quot;-&quot;_);_(@_)">
                  <c:v>11.2</c:v>
                </c:pt>
                <c:pt idx="10" formatCode="_(* #,##0.0_);_(* \(#,##0.0\);_(* &quot;-&quot;_);_(@_)">
                  <c:v>11.3</c:v>
                </c:pt>
                <c:pt idx="11" formatCode="_(* #,##0.0_);_(* \(#,##0.0\);_(* &quot;-&quot;_);_(@_)">
                  <c:v>12.5</c:v>
                </c:pt>
                <c:pt idx="12" formatCode="_(* #,##0.0_);_(* \(#,##0.0\);_(* &quot;-&quot;_);_(@_)">
                  <c:v>10.9</c:v>
                </c:pt>
                <c:pt idx="13" formatCode="_(* #,##0.0_);_(* \(#,##0.0\);_(* &quot;-&quot;_);_(@_)">
                  <c:v>13</c:v>
                </c:pt>
                <c:pt idx="14" formatCode="_(* #,##0.0_);_(* \(#,##0.0\);_(* &quot;-&quot;_);_(@_)">
                  <c:v>11.2</c:v>
                </c:pt>
                <c:pt idx="15" formatCode="_(* #,##0.0_);_(* \(#,##0.0\);_(* &quot;-&quot;_);_(@_)">
                  <c:v>11.7</c:v>
                </c:pt>
              </c:numCache>
            </c:numRef>
          </c:val>
        </c:ser>
        <c:ser>
          <c:idx val="2"/>
          <c:order val="2"/>
          <c:tx>
            <c:strRef>
              <c:f>Plan1!$A$8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14"/>
              <c:tx>
                <c:rich>
                  <a:bodyPr/>
                  <a:lstStyle/>
                  <a:p>
                    <a:r>
                      <a:rPr lang="en-US" b="1"/>
                      <a:t> 43,2</a:t>
                    </a:r>
                  </a:p>
                  <a:p>
                    <a:r>
                      <a:rPr lang="en-US" b="1"/>
                      <a:t>BAIXA </a:t>
                    </a:r>
                  </a:p>
                </c:rich>
              </c:tx>
              <c:showVal val="1"/>
            </c:dLbl>
            <c:dLbl>
              <c:idx val="15"/>
              <c:layout>
                <c:manualLayout>
                  <c:x val="-3.0303030303030312E-3"/>
                  <c:y val="-2.2717622735501156E-17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 50,5</a:t>
                    </a:r>
                  </a:p>
                  <a:p>
                    <a:r>
                      <a:rPr lang="en-US" b="1"/>
                      <a:t>ALTA 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Plan1!$B$8:$Q$8</c:f>
              <c:numCache>
                <c:formatCode>#,##0.0</c:formatCode>
                <c:ptCount val="16"/>
                <c:pt idx="0">
                  <c:v>31.3</c:v>
                </c:pt>
                <c:pt idx="1">
                  <c:v>48.4</c:v>
                </c:pt>
                <c:pt idx="2">
                  <c:v>28.8</c:v>
                </c:pt>
                <c:pt idx="3">
                  <c:v>39.200000000000003</c:v>
                </c:pt>
                <c:pt idx="4">
                  <c:v>32.9</c:v>
                </c:pt>
                <c:pt idx="5">
                  <c:v>42.5</c:v>
                </c:pt>
                <c:pt idx="6">
                  <c:v>36</c:v>
                </c:pt>
                <c:pt idx="7" formatCode="_(* #,##0.0_);_(* \(#,##0.0\);_(* &quot;-&quot;_);_(@_)">
                  <c:v>46</c:v>
                </c:pt>
                <c:pt idx="8" formatCode="_(* #,##0.0_);_(* \(#,##0.0\);_(* &quot;-&quot;_);_(@_)">
                  <c:v>39.4</c:v>
                </c:pt>
                <c:pt idx="9" formatCode="_(* #,##0.0_);_(* \(#,##0.0\);_(* &quot;-&quot;_);_(@_)">
                  <c:v>48</c:v>
                </c:pt>
                <c:pt idx="10" formatCode="_(* #,##0.0_);_(* \(#,##0.0\);_(* &quot;-&quot;_);_(@_)">
                  <c:v>43.5</c:v>
                </c:pt>
                <c:pt idx="11" formatCode="_(* #,##0.0_);_(* \(#,##0.0\);_(* &quot;-&quot;_);_(@_)">
                  <c:v>50.8</c:v>
                </c:pt>
                <c:pt idx="12" formatCode="_(* #,##0.0_);_(* \(#,##0.0\);_(* &quot;-&quot;_);_(@_)">
                  <c:v>49.199999999999996</c:v>
                </c:pt>
                <c:pt idx="13" formatCode="_(* #,##0.0_);_(* \(#,##0.0\);_(* &quot;-&quot;_);_(@_)">
                  <c:v>45.6</c:v>
                </c:pt>
                <c:pt idx="14" formatCode="_(* #,##0.0_);_(* \(#,##0.0\);_(* &quot;-&quot;_);_(@_)">
                  <c:v>43.2</c:v>
                </c:pt>
                <c:pt idx="15" formatCode="_(* #,##0.0_);_(* \(#,##0.0\);_(* &quot;-&quot;_);_(@_)">
                  <c:v>50.5</c:v>
                </c:pt>
              </c:numCache>
            </c:numRef>
          </c:val>
        </c:ser>
        <c:dLbls>
          <c:showVal val="1"/>
        </c:dLbls>
        <c:gapWidth val="75"/>
        <c:axId val="80038528"/>
        <c:axId val="80056704"/>
      </c:barChart>
      <c:catAx>
        <c:axId val="80038528"/>
        <c:scaling>
          <c:orientation val="minMax"/>
        </c:scaling>
        <c:axPos val="b"/>
        <c:numFmt formatCode="General" sourceLinked="1"/>
        <c:majorTickMark val="none"/>
        <c:tickLblPos val="nextTo"/>
        <c:crossAx val="80056704"/>
        <c:crosses val="autoZero"/>
        <c:auto val="1"/>
        <c:lblAlgn val="ctr"/>
        <c:lblOffset val="100"/>
      </c:catAx>
      <c:valAx>
        <c:axId val="80056704"/>
        <c:scaling>
          <c:orientation val="minMax"/>
        </c:scaling>
        <c:axPos val="l"/>
        <c:numFmt formatCode="#,##0.0" sourceLinked="1"/>
        <c:maj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80038528"/>
        <c:crosses val="autoZero"/>
        <c:crossBetween val="between"/>
      </c:valAx>
      <c:spPr>
        <a:ln w="9525" cmpd="dbl"/>
      </c:spPr>
    </c:plotArea>
    <c:legend>
      <c:legendPos val="b"/>
    </c:legend>
    <c:plotVisOnly val="1"/>
    <c:dispBlanksAs val="gap"/>
  </c:chart>
  <c:printSettings>
    <c:headerFooter/>
    <c:pageMargins b="0.78740157499999996" l="0.511811024" r="0.511811024" t="0.78740157499999996" header="0.31496062000001174" footer="0.3149606200000117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6343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1580911861823773"/>
          <c:w val="0.69132469552419773"/>
          <c:h val="0.62613834561002468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Extrato'!$C$7:$C$9</c:f>
              <c:numCache>
                <c:formatCode>_(* #,##0_);_(* \(#,##0\);_(* "-"??_);_(@_)</c:formatCode>
                <c:ptCount val="3"/>
                <c:pt idx="0">
                  <c:v>1704.2429999999999</c:v>
                </c:pt>
                <c:pt idx="1">
                  <c:v>2375.0749999999998</c:v>
                </c:pt>
                <c:pt idx="2">
                  <c:v>2992.078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Extrato'!$F$7:$F$9,'Exp. Extrato'!$F$11:$F$19)</c:f>
              <c:numCache>
                <c:formatCode>_(* #,##0_);_(* \(#,##0\);_(* "-"??_);_(@_)</c:formatCode>
                <c:ptCount val="12"/>
                <c:pt idx="0">
                  <c:v>2615</c:v>
                </c:pt>
                <c:pt idx="1">
                  <c:v>3503</c:v>
                </c:pt>
                <c:pt idx="2">
                  <c:v>3664</c:v>
                </c:pt>
                <c:pt idx="3">
                  <c:v>4108</c:v>
                </c:pt>
                <c:pt idx="4">
                  <c:v>4077</c:v>
                </c:pt>
                <c:pt idx="5">
                  <c:v>4392</c:v>
                </c:pt>
                <c:pt idx="6">
                  <c:v>3418</c:v>
                </c:pt>
                <c:pt idx="7">
                  <c:v>2052.8760000000002</c:v>
                </c:pt>
                <c:pt idx="8">
                  <c:v>1652</c:v>
                </c:pt>
                <c:pt idx="9">
                  <c:v>2708.9</c:v>
                </c:pt>
                <c:pt idx="10">
                  <c:v>2088</c:v>
                </c:pt>
                <c:pt idx="11">
                  <c:v>2475</c:v>
                </c:pt>
              </c:numCache>
            </c:numRef>
          </c:val>
        </c:ser>
        <c:axId val="83241216"/>
        <c:axId val="83247488"/>
      </c:barChart>
      <c:catAx>
        <c:axId val="83241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247488"/>
        <c:crosses val="autoZero"/>
        <c:auto val="1"/>
        <c:lblAlgn val="ctr"/>
        <c:lblOffset val="100"/>
        <c:tickLblSkip val="1"/>
        <c:tickMarkSkip val="1"/>
      </c:catAx>
      <c:valAx>
        <c:axId val="83247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241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16315256963847077"/>
          <c:w val="0.13752057691817124"/>
          <c:h val="0.63047963762595094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647" footer="0.49212598500001647"/>
    <c:pageSetup paperSize="9"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468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5166572178477689"/>
          <c:w val="0.64879408730625165"/>
          <c:h val="0.62270572178478423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Extrato'!$D$7:$D$9</c:f>
              <c:numCache>
                <c:formatCode>_(* #,##0_);_(* \(#,##0\);_(* "-"??_);_(@_)</c:formatCode>
                <c:ptCount val="3"/>
                <c:pt idx="0">
                  <c:v>17190.07</c:v>
                </c:pt>
                <c:pt idx="1">
                  <c:v>20005.36</c:v>
                </c:pt>
                <c:pt idx="2">
                  <c:v>22923.373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Extrato'!$G$7:$G$9,'Exp. Extrato'!$G$11:$G$19)</c:f>
              <c:numCache>
                <c:formatCode>_(* #,##0_);_(* \(#,##0\);_(* "-"??_);_(@_)</c:formatCode>
                <c:ptCount val="12"/>
                <c:pt idx="0">
                  <c:v>25696.666666666668</c:v>
                </c:pt>
                <c:pt idx="1">
                  <c:v>24613.333333333332</c:v>
                </c:pt>
                <c:pt idx="2">
                  <c:v>21926.666666666668</c:v>
                </c:pt>
                <c:pt idx="3">
                  <c:v>26433.333333333332</c:v>
                </c:pt>
                <c:pt idx="4">
                  <c:v>28123.333333333332</c:v>
                </c:pt>
                <c:pt idx="5">
                  <c:v>32890</c:v>
                </c:pt>
                <c:pt idx="6">
                  <c:v>29510</c:v>
                </c:pt>
                <c:pt idx="7">
                  <c:v>16504</c:v>
                </c:pt>
                <c:pt idx="8">
                  <c:v>14135.86</c:v>
                </c:pt>
                <c:pt idx="9">
                  <c:v>24522.54</c:v>
                </c:pt>
                <c:pt idx="10">
                  <c:v>18027</c:v>
                </c:pt>
                <c:pt idx="11">
                  <c:v>20540</c:v>
                </c:pt>
              </c:numCache>
            </c:numRef>
          </c:val>
        </c:ser>
        <c:axId val="83276544"/>
        <c:axId val="83278464"/>
      </c:barChart>
      <c:catAx>
        <c:axId val="83276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89016692913385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278464"/>
        <c:crosses val="autoZero"/>
        <c:auto val="1"/>
        <c:lblAlgn val="ctr"/>
        <c:lblOffset val="100"/>
        <c:tickLblSkip val="1"/>
        <c:tickMarkSkip val="1"/>
      </c:catAx>
      <c:valAx>
        <c:axId val="83278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276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5173123359580434"/>
          <c:w val="0.13161277170450617"/>
          <c:h val="0.62398950131233599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647" footer="0.49212598500001647"/>
    <c:pageSetup paperSize="9" orientation="landscape" horizontalDpi="-2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Receita Cambial Global 2016/15</a:t>
            </a:r>
          </a:p>
        </c:rich>
      </c:tx>
      <c:layout>
        <c:manualLayout>
          <c:xMode val="edge"/>
          <c:yMode val="edge"/>
          <c:x val="0.31537930331526409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19795"/>
          <c:h val="0.55824321959755063"/>
        </c:manualLayout>
      </c:layout>
      <c:barChart>
        <c:barDir val="col"/>
        <c:grouping val="clustered"/>
        <c:ser>
          <c:idx val="1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Total!$C$7:$C$9</c:f>
              <c:numCache>
                <c:formatCode>_(* #,##0_);_(* \(#,##0\);_(* "-"??_);_(@_)</c:formatCode>
                <c:ptCount val="3"/>
                <c:pt idx="0">
                  <c:v>403561.34</c:v>
                </c:pt>
                <c:pt idx="1">
                  <c:v>447537.25</c:v>
                </c:pt>
                <c:pt idx="2">
                  <c:v>454818.86099999998</c:v>
                </c:pt>
              </c:numCache>
            </c:numRef>
          </c:val>
        </c:ser>
        <c:ser>
          <c:idx val="0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Total!$L$7:$L$9</c:f>
              <c:numCache>
                <c:formatCode>_(* #,##0_);_(* \(#,##0\);_(* "-"??_);_(@_)</c:formatCode>
                <c:ptCount val="3"/>
                <c:pt idx="0">
                  <c:v>589036</c:v>
                </c:pt>
                <c:pt idx="1">
                  <c:v>540020</c:v>
                </c:pt>
                <c:pt idx="2">
                  <c:v>575297</c:v>
                </c:pt>
              </c:numCache>
            </c:numRef>
          </c:val>
        </c:ser>
        <c:axId val="89542016"/>
        <c:axId val="89560576"/>
      </c:barChart>
      <c:catAx>
        <c:axId val="89542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6392189954"/>
              <c:y val="0.873390326209223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9560576"/>
        <c:crosses val="autoZero"/>
        <c:auto val="1"/>
        <c:lblAlgn val="ctr"/>
        <c:lblOffset val="100"/>
        <c:tickLblSkip val="1"/>
        <c:tickMarkSkip val="1"/>
      </c:catAx>
      <c:valAx>
        <c:axId val="89560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9542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559"/>
          <c:w val="0.1375205769181711"/>
          <c:h val="0.56355705536807965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664" footer="0.49212598500001664"/>
    <c:pageSetup paperSize="9" orientation="landscape" horizontalDpi="-4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Volume Global 2016/15</a:t>
            </a:r>
          </a:p>
        </c:rich>
      </c:tx>
      <c:layout>
        <c:manualLayout>
          <c:xMode val="edge"/>
          <c:yMode val="edge"/>
          <c:x val="0.38582779094362518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5213972414522015"/>
          <c:h val="0.55870555791680065"/>
        </c:manualLayout>
      </c:layout>
      <c:barChart>
        <c:barDir val="col"/>
        <c:grouping val="clustered"/>
        <c:ser>
          <c:idx val="1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Total!$F$7:$F$9</c:f>
              <c:numCache>
                <c:formatCode>_(* #,##0_);_(* \(#,##0\);_(* "-"??_);_(@_)</c:formatCode>
                <c:ptCount val="3"/>
                <c:pt idx="0">
                  <c:v>2754948.07</c:v>
                </c:pt>
                <c:pt idx="1">
                  <c:v>3009104.4</c:v>
                </c:pt>
                <c:pt idx="2">
                  <c:v>3108436.9210000001</c:v>
                </c:pt>
              </c:numCache>
            </c:numRef>
          </c:val>
        </c:ser>
        <c:ser>
          <c:idx val="0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Total!$N$7:$N$9</c:f>
              <c:numCache>
                <c:formatCode>_(* #,##0_);_(* \(#,##0\);_(* "-"??_);_(@_)</c:formatCode>
                <c:ptCount val="3"/>
                <c:pt idx="0">
                  <c:v>2980332.3333333335</c:v>
                </c:pt>
                <c:pt idx="1">
                  <c:v>2776889.6700000004</c:v>
                </c:pt>
                <c:pt idx="2">
                  <c:v>3176070.166666667</c:v>
                </c:pt>
              </c:numCache>
            </c:numRef>
          </c:val>
        </c:ser>
        <c:axId val="89663360"/>
        <c:axId val="89669632"/>
      </c:barChart>
      <c:catAx>
        <c:axId val="89663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269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9669632"/>
        <c:crosses val="autoZero"/>
        <c:auto val="1"/>
        <c:lblAlgn val="ctr"/>
        <c:lblOffset val="100"/>
        <c:tickLblSkip val="1"/>
        <c:tickMarkSkip val="1"/>
      </c:catAx>
      <c:valAx>
        <c:axId val="89669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9663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8420179395051347"/>
          <c:y val="0.19973109493388788"/>
          <c:w val="0.14269320208321942"/>
          <c:h val="0.5546560689347797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664" footer="0.49212598500001664"/>
    <c:pageSetup paperSize="9" orientation="landscape" horizontalDpi="-2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1416465146475228E-2"/>
          <c:y val="0.13936351706036745"/>
          <c:w val="0.89500368888713056"/>
          <c:h val="0.64969305920095244"/>
        </c:manualLayout>
      </c:layout>
      <c:barChart>
        <c:barDir val="col"/>
        <c:grouping val="clustered"/>
        <c:ser>
          <c:idx val="0"/>
          <c:order val="0"/>
          <c:tx>
            <c:strRef>
              <c:f>Plan1!$A$6</c:f>
              <c:strCache>
                <c:ptCount val="1"/>
                <c:pt idx="0">
                  <c:v>ARÁBICA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Plan1!$B$6:$Q$6</c:f>
              <c:numCache>
                <c:formatCode>#,##0.0</c:formatCode>
                <c:ptCount val="16"/>
                <c:pt idx="0">
                  <c:v>22.5</c:v>
                </c:pt>
                <c:pt idx="1">
                  <c:v>37.9</c:v>
                </c:pt>
                <c:pt idx="2">
                  <c:v>20.100000000000001</c:v>
                </c:pt>
                <c:pt idx="3">
                  <c:v>31.7</c:v>
                </c:pt>
                <c:pt idx="4">
                  <c:v>23.8</c:v>
                </c:pt>
                <c:pt idx="5">
                  <c:v>33</c:v>
                </c:pt>
                <c:pt idx="6">
                  <c:v>25.1</c:v>
                </c:pt>
                <c:pt idx="7" formatCode="_(* #,##0.0_);_(* \(#,##0.0\);_(* &quot;-&quot;_);_(@_)">
                  <c:v>35.5</c:v>
                </c:pt>
                <c:pt idx="8" formatCode="_(* #,##0.0_);_(* \(#,##0.0\);_(* &quot;-&quot;_);_(@_)">
                  <c:v>28.8</c:v>
                </c:pt>
                <c:pt idx="9" formatCode="_(* #,##0.0_);_(* \(#,##0.0\);_(* &quot;-&quot;_);_(@_)">
                  <c:v>36.799999999999997</c:v>
                </c:pt>
                <c:pt idx="10" formatCode="_(* #,##0.0_);_(* \(#,##0.0\);_(* &quot;-&quot;_);_(@_)">
                  <c:v>32.200000000000003</c:v>
                </c:pt>
                <c:pt idx="11" formatCode="_(* #,##0.0_);_(* \(#,##0.0\);_(* &quot;-&quot;_);_(@_)">
                  <c:v>38.299999999999997</c:v>
                </c:pt>
                <c:pt idx="12" formatCode="_(* #,##0.0_);_(* \(#,##0.0\);_(* &quot;-&quot;_);_(@_)">
                  <c:v>38.299999999999997</c:v>
                </c:pt>
                <c:pt idx="13" formatCode="_(* #,##0.0_);_(* \(#,##0.0\);_(* &quot;-&quot;_);_(@_)">
                  <c:v>32.6</c:v>
                </c:pt>
                <c:pt idx="14" formatCode="_(* #,##0.0_);_(* \(#,##0.0\);_(* &quot;-&quot;_);_(@_)">
                  <c:v>32</c:v>
                </c:pt>
                <c:pt idx="15" formatCode="_(* #,##0.0_);_(* \(#,##0.0\);_(* &quot;-&quot;_);_(@_)">
                  <c:v>38.799999999999997</c:v>
                </c:pt>
              </c:numCache>
            </c:numRef>
          </c:val>
        </c:ser>
        <c:ser>
          <c:idx val="1"/>
          <c:order val="1"/>
          <c:tx>
            <c:strRef>
              <c:f>Plan1!$A$7</c:f>
              <c:strCache>
                <c:ptCount val="1"/>
                <c:pt idx="0">
                  <c:v>CONILON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Plan1!$B$7:$Q$7</c:f>
              <c:numCache>
                <c:formatCode>#,##0.0</c:formatCode>
                <c:ptCount val="16"/>
                <c:pt idx="0">
                  <c:v>8.8000000000000007</c:v>
                </c:pt>
                <c:pt idx="1">
                  <c:v>10.5</c:v>
                </c:pt>
                <c:pt idx="2">
                  <c:v>8.6999999999999993</c:v>
                </c:pt>
                <c:pt idx="3">
                  <c:v>7.5</c:v>
                </c:pt>
                <c:pt idx="4">
                  <c:v>9.1</c:v>
                </c:pt>
                <c:pt idx="5">
                  <c:v>9.5</c:v>
                </c:pt>
                <c:pt idx="6">
                  <c:v>10.9</c:v>
                </c:pt>
                <c:pt idx="7" formatCode="_(* #,##0.0_);_(* \(#,##0.0\);_(* &quot;-&quot;_);_(@_)">
                  <c:v>10.5</c:v>
                </c:pt>
                <c:pt idx="8" formatCode="_(* #,##0.0_);_(* \(#,##0.0\);_(* &quot;-&quot;_);_(@_)">
                  <c:v>10.6</c:v>
                </c:pt>
                <c:pt idx="9" formatCode="_(* #,##0.0_);_(* \(#,##0.0\);_(* &quot;-&quot;_);_(@_)">
                  <c:v>11.2</c:v>
                </c:pt>
                <c:pt idx="10" formatCode="_(* #,##0.0_);_(* \(#,##0.0\);_(* &quot;-&quot;_);_(@_)">
                  <c:v>11.3</c:v>
                </c:pt>
                <c:pt idx="11" formatCode="_(* #,##0.0_);_(* \(#,##0.0\);_(* &quot;-&quot;_);_(@_)">
                  <c:v>12.5</c:v>
                </c:pt>
                <c:pt idx="12" formatCode="_(* #,##0.0_);_(* \(#,##0.0\);_(* &quot;-&quot;_);_(@_)">
                  <c:v>10.9</c:v>
                </c:pt>
                <c:pt idx="13" formatCode="_(* #,##0.0_);_(* \(#,##0.0\);_(* &quot;-&quot;_);_(@_)">
                  <c:v>13</c:v>
                </c:pt>
                <c:pt idx="14" formatCode="_(* #,##0.0_);_(* \(#,##0.0\);_(* &quot;-&quot;_);_(@_)">
                  <c:v>11.2</c:v>
                </c:pt>
                <c:pt idx="15" formatCode="_(* #,##0.0_);_(* \(#,##0.0\);_(* &quot;-&quot;_);_(@_)">
                  <c:v>11.7</c:v>
                </c:pt>
              </c:numCache>
            </c:numRef>
          </c:val>
        </c:ser>
        <c:ser>
          <c:idx val="2"/>
          <c:order val="2"/>
          <c:tx>
            <c:strRef>
              <c:f>Plan1!$A$8</c:f>
              <c:strCache>
                <c:ptCount val="1"/>
                <c:pt idx="0">
                  <c:v>TOTAL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Plan1!$B$8:$Q$8</c:f>
              <c:numCache>
                <c:formatCode>#,##0.0</c:formatCode>
                <c:ptCount val="16"/>
                <c:pt idx="0">
                  <c:v>31.3</c:v>
                </c:pt>
                <c:pt idx="1">
                  <c:v>48.4</c:v>
                </c:pt>
                <c:pt idx="2">
                  <c:v>28.8</c:v>
                </c:pt>
                <c:pt idx="3">
                  <c:v>39.200000000000003</c:v>
                </c:pt>
                <c:pt idx="4">
                  <c:v>32.9</c:v>
                </c:pt>
                <c:pt idx="5">
                  <c:v>42.5</c:v>
                </c:pt>
                <c:pt idx="6">
                  <c:v>36</c:v>
                </c:pt>
                <c:pt idx="7" formatCode="_(* #,##0.0_);_(* \(#,##0.0\);_(* &quot;-&quot;_);_(@_)">
                  <c:v>46</c:v>
                </c:pt>
                <c:pt idx="8" formatCode="_(* #,##0.0_);_(* \(#,##0.0\);_(* &quot;-&quot;_);_(@_)">
                  <c:v>39.4</c:v>
                </c:pt>
                <c:pt idx="9" formatCode="_(* #,##0.0_);_(* \(#,##0.0\);_(* &quot;-&quot;_);_(@_)">
                  <c:v>48</c:v>
                </c:pt>
                <c:pt idx="10" formatCode="_(* #,##0.0_);_(* \(#,##0.0\);_(* &quot;-&quot;_);_(@_)">
                  <c:v>43.5</c:v>
                </c:pt>
                <c:pt idx="11" formatCode="_(* #,##0.0_);_(* \(#,##0.0\);_(* &quot;-&quot;_);_(@_)">
                  <c:v>50.8</c:v>
                </c:pt>
                <c:pt idx="12" formatCode="_(* #,##0.0_);_(* \(#,##0.0\);_(* &quot;-&quot;_);_(@_)">
                  <c:v>49.199999999999996</c:v>
                </c:pt>
                <c:pt idx="13" formatCode="_(* #,##0.0_);_(* \(#,##0.0\);_(* &quot;-&quot;_);_(@_)">
                  <c:v>45.6</c:v>
                </c:pt>
                <c:pt idx="14" formatCode="_(* #,##0.0_);_(* \(#,##0.0\);_(* &quot;-&quot;_);_(@_)">
                  <c:v>43.2</c:v>
                </c:pt>
                <c:pt idx="15" formatCode="_(* #,##0.0_);_(* \(#,##0.0\);_(* &quot;-&quot;_);_(@_)">
                  <c:v>50.5</c:v>
                </c:pt>
              </c:numCache>
            </c:numRef>
          </c:val>
        </c:ser>
        <c:dLbls>
          <c:showVal val="1"/>
        </c:dLbls>
        <c:gapWidth val="75"/>
        <c:axId val="89758720"/>
        <c:axId val="89768704"/>
      </c:barChart>
      <c:catAx>
        <c:axId val="89758720"/>
        <c:scaling>
          <c:orientation val="minMax"/>
        </c:scaling>
        <c:axPos val="b"/>
        <c:numFmt formatCode="General" sourceLinked="1"/>
        <c:majorTickMark val="none"/>
        <c:tickLblPos val="nextTo"/>
        <c:crossAx val="89768704"/>
        <c:crosses val="autoZero"/>
        <c:auto val="1"/>
        <c:lblAlgn val="ctr"/>
        <c:lblOffset val="100"/>
      </c:catAx>
      <c:valAx>
        <c:axId val="89768704"/>
        <c:scaling>
          <c:orientation val="minMax"/>
        </c:scaling>
        <c:axPos val="l"/>
        <c:numFmt formatCode="#,##0.0" sourceLinked="1"/>
        <c:maj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89758720"/>
        <c:crosses val="autoZero"/>
        <c:crossBetween val="between"/>
      </c:valAx>
      <c:spPr>
        <a:ln w="9525" cmpd="dbl"/>
      </c:spPr>
    </c:plotArea>
    <c:legend>
      <c:legendPos val="b"/>
    </c:legend>
    <c:plotVisOnly val="1"/>
    <c:dispBlanksAs val="gap"/>
  </c:chart>
  <c:printSettings>
    <c:headerFooter/>
    <c:pageMargins b="0.78740157499999996" l="0.511811024" r="0.511811024" t="0.78740157499999996" header="0.31496062000001146" footer="0.3149606200000114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6"/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Evolução dos Preços
Pagos ao Produtor -  </a:t>
            </a:r>
            <a:r>
              <a:rPr lang="pt-BR" sz="900" b="0"/>
              <a:t>Em R$/saca</a:t>
            </a:r>
          </a:p>
        </c:rich>
      </c:tx>
    </c:title>
    <c:plotArea>
      <c:layout>
        <c:manualLayout>
          <c:layoutTarget val="inner"/>
          <c:xMode val="edge"/>
          <c:yMode val="edge"/>
          <c:x val="0.1271884016755242"/>
          <c:y val="0.21130747545445724"/>
          <c:w val="0.69571603775261726"/>
          <c:h val="0.658296858800135"/>
        </c:manualLayout>
      </c:layout>
      <c:lineChart>
        <c:grouping val="standard"/>
        <c:ser>
          <c:idx val="0"/>
          <c:order val="0"/>
          <c:tx>
            <c:strRef>
              <c:f>Preço!$A$31</c:f>
              <c:strCache>
                <c:ptCount val="1"/>
                <c:pt idx="0">
                  <c:v>MG</c:v>
                </c:pt>
              </c:strCache>
            </c:strRef>
          </c:tx>
          <c:dLbls>
            <c:dLbl>
              <c:idx val="0"/>
              <c:layout>
                <c:manualLayout>
                  <c:x val="-6.5961219133322813E-2"/>
                  <c:y val="4.893285136510966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8.1179763243880224E-2"/>
                  <c:y val="7.568171416295382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4323657304033869E-2"/>
                  <c:y val="8.437458989501314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7947271516434033E-2"/>
                  <c:y val="6.90969488188991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Preço!$B$31:$E$31</c:f>
              <c:numCache>
                <c:formatCode>_-* #,##0.00_-;\-* #,##0.00_-;_-* "-"??_-;_-@_-</c:formatCode>
                <c:ptCount val="4"/>
                <c:pt idx="0">
                  <c:v>455.69</c:v>
                </c:pt>
                <c:pt idx="1">
                  <c:v>478.46</c:v>
                </c:pt>
                <c:pt idx="2">
                  <c:v>499.16</c:v>
                </c:pt>
                <c:pt idx="3">
                  <c:v>489.18</c:v>
                </c:pt>
              </c:numCache>
            </c:numRef>
          </c:val>
        </c:ser>
        <c:ser>
          <c:idx val="1"/>
          <c:order val="1"/>
          <c:tx>
            <c:strRef>
              <c:f>Preço!$A$33</c:f>
              <c:strCache>
                <c:ptCount val="1"/>
                <c:pt idx="0">
                  <c:v>ES</c:v>
                </c:pt>
              </c:strCache>
            </c:strRef>
          </c:tx>
          <c:dLbls>
            <c:dLbl>
              <c:idx val="0"/>
              <c:layout>
                <c:manualLayout>
                  <c:x val="-4.2997871534714883E-2"/>
                  <c:y val="6.562875370116101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7.192802392238283E-2"/>
                  <c:y val="7.881889763779552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192802392238283E-2"/>
                  <c:y val="7.847235892388451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524451234640446E-2"/>
                  <c:y val="6.84018208661418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Preço!$B$33:$E$33</c:f>
              <c:numCache>
                <c:formatCode>_-* #,##0.00_-;\-* #,##0.00_-;_-* "-"??_-;_-@_-</c:formatCode>
                <c:ptCount val="4"/>
                <c:pt idx="0">
                  <c:v>295.88</c:v>
                </c:pt>
                <c:pt idx="1">
                  <c:v>367.54</c:v>
                </c:pt>
                <c:pt idx="2">
                  <c:v>366.03</c:v>
                </c:pt>
                <c:pt idx="3">
                  <c:v>373.06</c:v>
                </c:pt>
              </c:numCache>
            </c:numRef>
          </c:val>
        </c:ser>
        <c:marker val="1"/>
        <c:axId val="80906496"/>
        <c:axId val="80920576"/>
      </c:lineChart>
      <c:catAx>
        <c:axId val="8090649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0920576"/>
        <c:crosses val="autoZero"/>
        <c:auto val="1"/>
        <c:lblAlgn val="ctr"/>
        <c:lblOffset val="100"/>
        <c:tickLblSkip val="1"/>
        <c:tickMarkSkip val="1"/>
      </c:catAx>
      <c:valAx>
        <c:axId val="80920576"/>
        <c:scaling>
          <c:orientation val="minMax"/>
          <c:min val="162"/>
        </c:scaling>
        <c:axPos val="l"/>
        <c:majorGridlines/>
        <c:numFmt formatCode="_-* #,##0_-;\-* #,##0_-;_-* &quot;-&quot;_-;_-@_-" sourceLinked="0"/>
        <c:maj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0906496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4821065277288465"/>
          <c:y val="0.24731171948702688"/>
          <c:w val="0.14878938640133677"/>
          <c:h val="0.57537964338090064"/>
        </c:manualLayout>
      </c:layout>
    </c:legend>
    <c:plotVisOnly val="1"/>
    <c:dispBlanksAs val="gap"/>
  </c:chart>
  <c:spPr>
    <a:solidFill>
      <a:schemeClr val="accent3">
        <a:lumMod val="60000"/>
        <a:lumOff val="40000"/>
      </a:schemeClr>
    </a:solidFill>
  </c:spPr>
  <c:printSettings>
    <c:headerFooter alignWithMargins="0"/>
    <c:pageMargins b="0.98425196899999956" l="0.78740157499999996" r="0.78740157499999996" t="0.98425196899999956" header="0.49212598500001276" footer="0.49212598500001276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6"/>
  <c:chart>
    <c:title>
      <c:tx>
        <c:rich>
          <a:bodyPr/>
          <a:lstStyle/>
          <a:p>
            <a:pPr>
              <a:defRPr/>
            </a:pPr>
            <a:r>
              <a:rPr lang="pt-BR" sz="1200"/>
              <a:t>Evolução dos Preços
Internacionais - </a:t>
            </a:r>
            <a:r>
              <a:rPr lang="pt-BR" sz="900" b="0"/>
              <a:t>NY US$(cents/LP)</a:t>
            </a:r>
            <a:r>
              <a:rPr lang="pt-BR" sz="900" b="0" baseline="0"/>
              <a:t> e LD (US$/Ton.)</a:t>
            </a:r>
            <a:endParaRPr lang="pt-BR" sz="900" b="0"/>
          </a:p>
        </c:rich>
      </c:tx>
      <c:layout>
        <c:manualLayout>
          <c:xMode val="edge"/>
          <c:yMode val="edge"/>
          <c:x val="0.16340739585770414"/>
          <c:y val="6.469191351081289E-3"/>
        </c:manualLayout>
      </c:layout>
    </c:title>
    <c:plotArea>
      <c:layout>
        <c:manualLayout>
          <c:layoutTarget val="inner"/>
          <c:xMode val="edge"/>
          <c:yMode val="edge"/>
          <c:x val="0.13724107285686898"/>
          <c:y val="0.18587383473617541"/>
          <c:w val="0.70504138449962372"/>
          <c:h val="0.66172187528285886"/>
        </c:manualLayout>
      </c:layout>
      <c:lineChart>
        <c:grouping val="standard"/>
        <c:ser>
          <c:idx val="0"/>
          <c:order val="0"/>
          <c:tx>
            <c:strRef>
              <c:f>Preço!$A$32</c:f>
              <c:strCache>
                <c:ptCount val="1"/>
                <c:pt idx="0">
                  <c:v>NY</c:v>
                </c:pt>
              </c:strCache>
            </c:strRef>
          </c:tx>
          <c:dLbls>
            <c:dLbl>
              <c:idx val="0"/>
              <c:layout>
                <c:manualLayout>
                  <c:x val="-7.4953873340089919E-2"/>
                  <c:y val="-0.1188304770727188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7.5244781761196325E-2"/>
                  <c:y val="-6.321839080459772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8254326561324306E-2"/>
                  <c:y val="-6.896551724137930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8254326561324306E-2"/>
                  <c:y val="-6.321839080459772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Preço!$B$32:$E$32</c:f>
              <c:numCache>
                <c:formatCode>_-* #,##0.00_-;\-* #,##0.00_-;_-* "-"??_-;_-@_-</c:formatCode>
                <c:ptCount val="4"/>
                <c:pt idx="0">
                  <c:v>127.29</c:v>
                </c:pt>
                <c:pt idx="1">
                  <c:v>122.58</c:v>
                </c:pt>
                <c:pt idx="2">
                  <c:v>133.09</c:v>
                </c:pt>
                <c:pt idx="3">
                  <c:v>129.65</c:v>
                </c:pt>
              </c:numCache>
            </c:numRef>
          </c:val>
        </c:ser>
        <c:ser>
          <c:idx val="1"/>
          <c:order val="1"/>
          <c:tx>
            <c:strRef>
              <c:f>Preço!$A$34</c:f>
              <c:strCache>
                <c:ptCount val="1"/>
                <c:pt idx="0">
                  <c:v>LD</c:v>
                </c:pt>
              </c:strCache>
            </c:strRef>
          </c:tx>
          <c:dLbls>
            <c:dLbl>
              <c:idx val="0"/>
              <c:layout>
                <c:manualLayout>
                  <c:x val="-8.2135859255216867E-2"/>
                  <c:y val="8.02906438165817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9.1390967511470245E-2"/>
                  <c:y val="4.3923081043441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8.0973467425482726E-2"/>
                  <c:y val="9.770071020534119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8254203373093217E-2"/>
                  <c:y val="0.10581480623745561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Preço!$B$34:$E$34</c:f>
              <c:numCache>
                <c:formatCode>_-* #,##0.00_-;\-* #,##0.00_-;_-* "-"??_-;_-@_-</c:formatCode>
                <c:ptCount val="4"/>
                <c:pt idx="0">
                  <c:v>1807.41</c:v>
                </c:pt>
                <c:pt idx="1">
                  <c:v>1389</c:v>
                </c:pt>
                <c:pt idx="2">
                  <c:v>1497</c:v>
                </c:pt>
                <c:pt idx="3">
                  <c:v>1498.25</c:v>
                </c:pt>
              </c:numCache>
            </c:numRef>
          </c:val>
        </c:ser>
        <c:marker val="1"/>
        <c:axId val="78733696"/>
        <c:axId val="78735232"/>
      </c:lineChart>
      <c:catAx>
        <c:axId val="7873369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8735232"/>
        <c:crosses val="autoZero"/>
        <c:auto val="1"/>
        <c:lblAlgn val="ctr"/>
        <c:lblOffset val="100"/>
        <c:tickLblSkip val="1"/>
        <c:tickMarkSkip val="1"/>
      </c:catAx>
      <c:valAx>
        <c:axId val="78735232"/>
        <c:scaling>
          <c:orientation val="minMax"/>
          <c:min val="12"/>
        </c:scaling>
        <c:axPos val="l"/>
        <c:majorGridlines/>
        <c:numFmt formatCode="_-* #,##0_-;\-* #,##0_-;_-* &quot;-&quot;_-;_-@_-" sourceLinked="0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8733696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4951092747069978"/>
          <c:y val="0.18821575874444849"/>
          <c:w val="0.13318286946804817"/>
          <c:h val="0.66631992429519693"/>
        </c:manualLayout>
      </c:layout>
    </c:legend>
    <c:plotVisOnly val="1"/>
    <c:dispBlanksAs val="gap"/>
  </c:chart>
  <c:spPr>
    <a:solidFill>
      <a:schemeClr val="accent3">
        <a:lumMod val="60000"/>
        <a:lumOff val="40000"/>
      </a:schemeClr>
    </a:solidFill>
  </c:spPr>
  <c:printSettings>
    <c:headerFooter alignWithMargins="0"/>
    <c:pageMargins b="0.98425196899999956" l="0.78740157499999996" r="0.78740157499999996" t="0.98425196899999956" header="0.49212598500001292" footer="0.4921259850000129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6376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19773"/>
          <c:h val="0.61538583190835361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Verde'!$C$7:$C$9</c:f>
              <c:numCache>
                <c:formatCode>_(* #,##0_);_(* \(#,##0\);_(* "-"??_);_(@_)</c:formatCode>
                <c:ptCount val="3"/>
                <c:pt idx="0">
                  <c:v>363398.93</c:v>
                </c:pt>
                <c:pt idx="1">
                  <c:v>396956.48499999999</c:v>
                </c:pt>
                <c:pt idx="2">
                  <c:v>405948.70199999999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Verde'!$F$7:$F$9,'Exp. Verde'!$F$11:$F$19)</c:f>
              <c:numCache>
                <c:formatCode>_(* #,##0_);_(* \(#,##0\);_(* "-"??_);_(@_)</c:formatCode>
                <c:ptCount val="12"/>
                <c:pt idx="0">
                  <c:v>546288</c:v>
                </c:pt>
                <c:pt idx="1">
                  <c:v>493482</c:v>
                </c:pt>
                <c:pt idx="2">
                  <c:v>519708</c:v>
                </c:pt>
                <c:pt idx="3">
                  <c:v>468848</c:v>
                </c:pt>
                <c:pt idx="4">
                  <c:v>434545</c:v>
                </c:pt>
                <c:pt idx="5">
                  <c:v>392821</c:v>
                </c:pt>
                <c:pt idx="6">
                  <c:v>405777</c:v>
                </c:pt>
                <c:pt idx="7">
                  <c:v>424162</c:v>
                </c:pt>
                <c:pt idx="8">
                  <c:v>456927.7</c:v>
                </c:pt>
                <c:pt idx="9">
                  <c:v>501694</c:v>
                </c:pt>
                <c:pt idx="10">
                  <c:v>461321</c:v>
                </c:pt>
                <c:pt idx="11">
                  <c:v>449840.8</c:v>
                </c:pt>
              </c:numCache>
            </c:numRef>
          </c:val>
        </c:ser>
        <c:axId val="81025664"/>
        <c:axId val="81031936"/>
      </c:barChart>
      <c:catAx>
        <c:axId val="81025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031936"/>
        <c:crosses val="autoZero"/>
        <c:auto val="1"/>
        <c:lblAlgn val="ctr"/>
        <c:lblOffset val="100"/>
        <c:tickLblSkip val="1"/>
        <c:tickMarkSkip val="1"/>
      </c:catAx>
      <c:valAx>
        <c:axId val="81031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025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554"/>
          <c:w val="0.13752057691817116"/>
          <c:h val="0.61435070616172971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647" footer="0.49212598500001647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496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4879408730625165"/>
          <c:h val="0.63033079542743109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Verde'!$D$7:$D$9</c:f>
              <c:numCache>
                <c:formatCode>_(* #,##0_);_(* \(#,##0\);_(* "-"??_);_(@_)</c:formatCode>
                <c:ptCount val="3"/>
                <c:pt idx="0">
                  <c:v>2485113.2999999998</c:v>
                </c:pt>
                <c:pt idx="1">
                  <c:v>2668755.58</c:v>
                </c:pt>
                <c:pt idx="2">
                  <c:v>2775268.8029999998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val>
            <c:numRef>
              <c:f>('Exp. Verde'!$G$7:$G$9,'Exp. Verde'!$G$11:$G$19)</c:f>
              <c:numCache>
                <c:formatCode>_(* #,##0_);_(* \(#,##0\);_(* "-"??_);_(@_)</c:formatCode>
                <c:ptCount val="12"/>
                <c:pt idx="0">
                  <c:v>2724750</c:v>
                </c:pt>
                <c:pt idx="1">
                  <c:v>2513466.67</c:v>
                </c:pt>
                <c:pt idx="2">
                  <c:v>2860383.3333333335</c:v>
                </c:pt>
                <c:pt idx="3">
                  <c:v>2815050</c:v>
                </c:pt>
                <c:pt idx="4">
                  <c:v>2630416.6666666665</c:v>
                </c:pt>
                <c:pt idx="5">
                  <c:v>2386266.6666666665</c:v>
                </c:pt>
                <c:pt idx="6">
                  <c:v>2499100</c:v>
                </c:pt>
                <c:pt idx="7">
                  <c:v>2669921</c:v>
                </c:pt>
                <c:pt idx="8">
                  <c:v>2918545.8</c:v>
                </c:pt>
                <c:pt idx="9">
                  <c:v>3306499</c:v>
                </c:pt>
                <c:pt idx="10">
                  <c:v>3116101</c:v>
                </c:pt>
                <c:pt idx="11">
                  <c:v>2976734</c:v>
                </c:pt>
              </c:numCache>
            </c:numRef>
          </c:val>
        </c:ser>
        <c:axId val="81065088"/>
        <c:axId val="81067008"/>
      </c:barChart>
      <c:catAx>
        <c:axId val="81065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5988289932"/>
              <c:y val="0.911936400511919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067008"/>
        <c:crosses val="autoZero"/>
        <c:auto val="1"/>
        <c:lblAlgn val="ctr"/>
        <c:lblOffset val="100"/>
        <c:tickLblSkip val="1"/>
        <c:tickMarkSkip val="1"/>
      </c:catAx>
      <c:valAx>
        <c:axId val="81067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065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9973109493388788"/>
          <c:w val="0.13161277170450617"/>
          <c:h val="0.62077178369233421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647" footer="0.49212598500001647"/>
    <c:pageSetup paperSize="9" orientation="landscape" horizontalDpi="-2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468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6233238845144596"/>
          <c:w val="0.64879408730625165"/>
          <c:h val="0.59070572178477687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Solúvel'!$D$7:$D$9</c:f>
              <c:numCache>
                <c:formatCode>_(* #,##0_);_(* \(#,##0\);_(* "-"??_);_(@_)</c:formatCode>
                <c:ptCount val="3"/>
                <c:pt idx="0">
                  <c:v>250387.41</c:v>
                </c:pt>
                <c:pt idx="1">
                  <c:v>318061.08</c:v>
                </c:pt>
                <c:pt idx="2">
                  <c:v>306639.14299999998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Solúvel'!$G$7:$G$9,'Exp. Solúvel'!$G$11:$G$19)</c:f>
              <c:numCache>
                <c:formatCode>_(* #,##0_);_(* \(#,##0\);_(* "-"??_);_(@_)</c:formatCode>
                <c:ptCount val="12"/>
                <c:pt idx="0">
                  <c:v>228973.33333333334</c:v>
                </c:pt>
                <c:pt idx="1">
                  <c:v>235993.33333333334</c:v>
                </c:pt>
                <c:pt idx="2">
                  <c:v>289813.33333333331</c:v>
                </c:pt>
                <c:pt idx="3">
                  <c:v>306626.66666666669</c:v>
                </c:pt>
                <c:pt idx="4">
                  <c:v>266023.33333333331</c:v>
                </c:pt>
                <c:pt idx="5">
                  <c:v>307406.66666666669</c:v>
                </c:pt>
                <c:pt idx="6">
                  <c:v>315553</c:v>
                </c:pt>
                <c:pt idx="7">
                  <c:v>306961.11300000001</c:v>
                </c:pt>
                <c:pt idx="8">
                  <c:v>297746.40000000002</c:v>
                </c:pt>
                <c:pt idx="9">
                  <c:v>298776.53000000003</c:v>
                </c:pt>
                <c:pt idx="10">
                  <c:v>224483</c:v>
                </c:pt>
                <c:pt idx="11">
                  <c:v>306532</c:v>
                </c:pt>
              </c:numCache>
            </c:numRef>
          </c:val>
        </c:ser>
        <c:axId val="80007168"/>
        <c:axId val="80009088"/>
      </c:barChart>
      <c:catAx>
        <c:axId val="80007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26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0009088"/>
        <c:crosses val="autoZero"/>
        <c:auto val="1"/>
        <c:lblAlgn val="ctr"/>
        <c:lblOffset val="100"/>
        <c:tickLblSkip val="1"/>
        <c:tickMarkSkip val="1"/>
      </c:catAx>
      <c:valAx>
        <c:axId val="80009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0007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6048587926509186"/>
          <c:w val="0.13856458476670999"/>
          <c:h val="0.59900598425195906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636" footer="0.49212598500001636"/>
    <c:pageSetup paperSize="9" orientation="landscape" horizontalDpi="-2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6409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1580911861823773"/>
          <c:w val="0.69132469552419795"/>
          <c:h val="0.66377275421218496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Solúvel'!$C$7:$C$9</c:f>
              <c:numCache>
                <c:formatCode>_(* #,##0_);_(* \(#,##0\);_(* "-"??_);_(@_)</c:formatCode>
                <c:ptCount val="3"/>
                <c:pt idx="0">
                  <c:v>37861.644</c:v>
                </c:pt>
                <c:pt idx="1">
                  <c:v>47089.56</c:v>
                </c:pt>
                <c:pt idx="2">
                  <c:v>45282.055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Solúvel'!$F$7:$F$9,'Exp. Solúvel'!$F$11:$F$19)</c:f>
              <c:numCache>
                <c:formatCode>_(* #,##0_);_(* \(#,##0\);_(* "-"??_);_(@_)</c:formatCode>
                <c:ptCount val="12"/>
                <c:pt idx="0">
                  <c:v>39831</c:v>
                </c:pt>
                <c:pt idx="1">
                  <c:v>42123</c:v>
                </c:pt>
                <c:pt idx="2">
                  <c:v>50779</c:v>
                </c:pt>
                <c:pt idx="3">
                  <c:v>51658</c:v>
                </c:pt>
                <c:pt idx="4">
                  <c:v>44442</c:v>
                </c:pt>
                <c:pt idx="5">
                  <c:v>51099</c:v>
                </c:pt>
                <c:pt idx="6">
                  <c:v>50698</c:v>
                </c:pt>
                <c:pt idx="7">
                  <c:v>50178.065000000002</c:v>
                </c:pt>
                <c:pt idx="8">
                  <c:v>47654.6</c:v>
                </c:pt>
                <c:pt idx="9">
                  <c:v>46968.487000000001</c:v>
                </c:pt>
                <c:pt idx="10">
                  <c:v>34466</c:v>
                </c:pt>
                <c:pt idx="11">
                  <c:v>46507.150999999998</c:v>
                </c:pt>
              </c:numCache>
            </c:numRef>
          </c:val>
        </c:ser>
        <c:axId val="83114240"/>
        <c:axId val="83124608"/>
      </c:barChart>
      <c:catAx>
        <c:axId val="83114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124608"/>
        <c:crosses val="autoZero"/>
        <c:auto val="1"/>
        <c:lblAlgn val="ctr"/>
        <c:lblOffset val="100"/>
        <c:tickLblSkip val="1"/>
        <c:tickMarkSkip val="1"/>
      </c:catAx>
      <c:valAx>
        <c:axId val="83124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114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16315256963847077"/>
          <c:w val="0.1375205769181711"/>
          <c:h val="0.65736135805604945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664" footer="0.49212598500001664"/>
    <c:pageSetup paperSize="9" orientation="landscape" horizont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6343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19729"/>
          <c:h val="0.61538583190835361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Torrado'!$C$7:$C$9</c:f>
              <c:numCache>
                <c:formatCode>_(* #,##0_);_(* \(#,##0\);_(* "-"??_);_(@_)</c:formatCode>
                <c:ptCount val="3"/>
                <c:pt idx="0">
                  <c:v>596.52300000000002</c:v>
                </c:pt>
                <c:pt idx="1">
                  <c:v>1116.1300000000001</c:v>
                </c:pt>
                <c:pt idx="2">
                  <c:v>596.02599999999995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Torrado'!$F$7:$F$9,'Exp. Torrado'!$F$11:$F$19)</c:f>
              <c:numCache>
                <c:formatCode>_(* #,##0_);_(* \(#,##0\);_(* "-"??_);_(@_)</c:formatCode>
                <c:ptCount val="12"/>
                <c:pt idx="0">
                  <c:v>302</c:v>
                </c:pt>
                <c:pt idx="1">
                  <c:v>912</c:v>
                </c:pt>
                <c:pt idx="2">
                  <c:v>1146</c:v>
                </c:pt>
                <c:pt idx="3">
                  <c:v>607</c:v>
                </c:pt>
                <c:pt idx="4">
                  <c:v>795</c:v>
                </c:pt>
                <c:pt idx="5">
                  <c:v>1280</c:v>
                </c:pt>
                <c:pt idx="6">
                  <c:v>1103</c:v>
                </c:pt>
                <c:pt idx="7">
                  <c:v>804.88699999999994</c:v>
                </c:pt>
                <c:pt idx="8">
                  <c:v>815.2</c:v>
                </c:pt>
                <c:pt idx="9">
                  <c:v>1003.873</c:v>
                </c:pt>
                <c:pt idx="10">
                  <c:v>455</c:v>
                </c:pt>
                <c:pt idx="11">
                  <c:v>855</c:v>
                </c:pt>
              </c:numCache>
            </c:numRef>
          </c:val>
        </c:ser>
        <c:axId val="83039360"/>
        <c:axId val="83041280"/>
      </c:barChart>
      <c:catAx>
        <c:axId val="83039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041280"/>
        <c:crosses val="autoZero"/>
        <c:auto val="1"/>
        <c:lblAlgn val="ctr"/>
        <c:lblOffset val="100"/>
        <c:tickLblSkip val="1"/>
        <c:tickMarkSkip val="1"/>
      </c:catAx>
      <c:valAx>
        <c:axId val="83041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039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548"/>
          <c:w val="0.13752057691817124"/>
          <c:h val="0.61435070616172971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636" footer="0.49212598500001636"/>
    <c:pageSetup paperSize="9"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468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4879408730625165"/>
          <c:h val="0.55870555791680065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Torrado'!$D$7:$D$9</c:f>
              <c:numCache>
                <c:formatCode>_(* #,##0_);_(* \(#,##0\);_(* "-"??_);_(@_)</c:formatCode>
                <c:ptCount val="3"/>
                <c:pt idx="0">
                  <c:v>2257.29</c:v>
                </c:pt>
                <c:pt idx="1">
                  <c:v>2282.38</c:v>
                </c:pt>
                <c:pt idx="2">
                  <c:v>3605.6019999999999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Torrado'!$G$7:$G$9,'Exp. Torrado'!$G$11:$G$19)</c:f>
              <c:numCache>
                <c:formatCode>_(* #,##0_);_(* \(#,##0\);_(* "-"??_);_(@_)</c:formatCode>
                <c:ptCount val="12"/>
                <c:pt idx="0">
                  <c:v>912.33333333333337</c:v>
                </c:pt>
                <c:pt idx="1">
                  <c:v>2816.3333333333335</c:v>
                </c:pt>
                <c:pt idx="2">
                  <c:v>3946.8333333333335</c:v>
                </c:pt>
                <c:pt idx="3">
                  <c:v>1804.8333333333333</c:v>
                </c:pt>
                <c:pt idx="4">
                  <c:v>2419.6666666666665</c:v>
                </c:pt>
                <c:pt idx="5">
                  <c:v>4184.833333333333</c:v>
                </c:pt>
                <c:pt idx="6">
                  <c:v>3709</c:v>
                </c:pt>
                <c:pt idx="7">
                  <c:v>2307.6480000000001</c:v>
                </c:pt>
                <c:pt idx="8">
                  <c:v>2909</c:v>
                </c:pt>
                <c:pt idx="9">
                  <c:v>4042.26</c:v>
                </c:pt>
                <c:pt idx="10">
                  <c:v>1629</c:v>
                </c:pt>
                <c:pt idx="11">
                  <c:v>2625</c:v>
                </c:pt>
              </c:numCache>
            </c:numRef>
          </c:val>
        </c:ser>
        <c:axId val="83078528"/>
        <c:axId val="83080704"/>
      </c:barChart>
      <c:catAx>
        <c:axId val="83078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26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080704"/>
        <c:crosses val="autoZero"/>
        <c:auto val="1"/>
        <c:lblAlgn val="ctr"/>
        <c:lblOffset val="100"/>
        <c:tickLblSkip val="1"/>
        <c:tickMarkSkip val="1"/>
      </c:catAx>
      <c:valAx>
        <c:axId val="83080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07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9973109493388788"/>
          <c:w val="0.13161277170450617"/>
          <c:h val="0.5546560689347797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636" footer="0.49212598500001636"/>
    <c:pageSetup paperSize="9" orientation="landscape" horizontalDpi="-2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3248025</xdr:colOff>
      <xdr:row>6</xdr:row>
      <xdr:rowOff>200025</xdr:rowOff>
    </xdr:from>
    <xdr:to>
      <xdr:col>1</xdr:col>
      <xdr:colOff>5057775</xdr:colOff>
      <xdr:row>17</xdr:row>
      <xdr:rowOff>9525</xdr:rowOff>
    </xdr:to>
    <xdr:pic>
      <xdr:nvPicPr>
        <xdr:cNvPr id="5798942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1419225"/>
          <a:ext cx="18097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114300</xdr:rowOff>
    </xdr:from>
    <xdr:to>
      <xdr:col>1</xdr:col>
      <xdr:colOff>790575</xdr:colOff>
      <xdr:row>25</xdr:row>
      <xdr:rowOff>57150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 rot="5400000">
          <a:off x="-1571625" y="3562350"/>
          <a:ext cx="4400550" cy="74295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pt-BR" sz="3600" kern="10" spc="0">
              <a:ln w="12700">
                <a:solidFill>
                  <a:srgbClr val="0000FF"/>
                </a:solidFill>
                <a:round/>
                <a:headEnd/>
                <a:tailEnd/>
              </a:ln>
              <a:solidFill>
                <a:srgbClr val="FFCC00"/>
              </a:solidFill>
              <a:effectLst>
                <a:outerShdw dist="53882" dir="2700000" algn="ctr" rotWithShape="0">
                  <a:srgbClr val="CBCBCB"/>
                </a:outerShdw>
              </a:effectLst>
              <a:latin typeface="Times New Roman"/>
              <a:cs typeface="Times New Roman"/>
            </a:rPr>
            <a:t>C A F É</a:t>
          </a:r>
        </a:p>
      </xdr:txBody>
    </xdr:sp>
    <xdr:clientData/>
  </xdr:twoCellAnchor>
  <xdr:twoCellAnchor>
    <xdr:from>
      <xdr:col>1</xdr:col>
      <xdr:colOff>276225</xdr:colOff>
      <xdr:row>1</xdr:row>
      <xdr:rowOff>76200</xdr:rowOff>
    </xdr:from>
    <xdr:to>
      <xdr:col>7</xdr:col>
      <xdr:colOff>409575</xdr:colOff>
      <xdr:row>2</xdr:row>
      <xdr:rowOff>142875</xdr:rowOff>
    </xdr:to>
    <xdr:sp macro="" textlink="">
      <xdr:nvSpPr>
        <xdr:cNvPr id="5122" name="WordArt 2"/>
        <xdr:cNvSpPr>
          <a:spLocks noChangeArrowheads="1" noChangeShapeType="1" noTextEdit="1"/>
        </xdr:cNvSpPr>
      </xdr:nvSpPr>
      <xdr:spPr bwMode="auto">
        <a:xfrm>
          <a:off x="371475" y="228600"/>
          <a:ext cx="4229100" cy="257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1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ACOMPANHAMENTO SEMANAL DE PREÇOS</a:t>
          </a:r>
        </a:p>
      </xdr:txBody>
    </xdr:sp>
    <xdr:clientData/>
  </xdr:twoCellAnchor>
  <xdr:twoCellAnchor>
    <xdr:from>
      <xdr:col>8</xdr:col>
      <xdr:colOff>152400</xdr:colOff>
      <xdr:row>1</xdr:row>
      <xdr:rowOff>9525</xdr:rowOff>
    </xdr:from>
    <xdr:to>
      <xdr:col>10</xdr:col>
      <xdr:colOff>1457325</xdr:colOff>
      <xdr:row>12</xdr:row>
      <xdr:rowOff>152400</xdr:rowOff>
    </xdr:to>
    <xdr:graphicFrame macro="">
      <xdr:nvGraphicFramePr>
        <xdr:cNvPr id="324703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142876</xdr:colOff>
      <xdr:row>13</xdr:row>
      <xdr:rowOff>152400</xdr:rowOff>
    </xdr:from>
    <xdr:to>
      <xdr:col>10</xdr:col>
      <xdr:colOff>1476375</xdr:colOff>
      <xdr:row>26</xdr:row>
      <xdr:rowOff>19050</xdr:rowOff>
    </xdr:to>
    <xdr:graphicFrame macro="">
      <xdr:nvGraphicFramePr>
        <xdr:cNvPr id="324703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1</xdr:row>
      <xdr:rowOff>123825</xdr:rowOff>
    </xdr:from>
    <xdr:to>
      <xdr:col>18</xdr:col>
      <xdr:colOff>28575</xdr:colOff>
      <xdr:row>3</xdr:row>
      <xdr:rowOff>76200</xdr:rowOff>
    </xdr:to>
    <xdr:pic>
      <xdr:nvPicPr>
        <xdr:cNvPr id="957858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53450" y="352425"/>
          <a:ext cx="3714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1</xdr:row>
      <xdr:rowOff>152400</xdr:rowOff>
    </xdr:from>
    <xdr:to>
      <xdr:col>9</xdr:col>
      <xdr:colOff>19050</xdr:colOff>
      <xdr:row>3</xdr:row>
      <xdr:rowOff>114300</xdr:rowOff>
    </xdr:to>
    <xdr:pic>
      <xdr:nvPicPr>
        <xdr:cNvPr id="1409410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0" y="342900"/>
          <a:ext cx="371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1</xdr:row>
      <xdr:rowOff>123825</xdr:rowOff>
    </xdr:from>
    <xdr:to>
      <xdr:col>9</xdr:col>
      <xdr:colOff>38100</xdr:colOff>
      <xdr:row>3</xdr:row>
      <xdr:rowOff>85725</xdr:rowOff>
    </xdr:to>
    <xdr:pic>
      <xdr:nvPicPr>
        <xdr:cNvPr id="1019297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72450" y="314325"/>
          <a:ext cx="371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1</xdr:row>
      <xdr:rowOff>200025</xdr:rowOff>
    </xdr:from>
    <xdr:to>
      <xdr:col>9</xdr:col>
      <xdr:colOff>523875</xdr:colOff>
      <xdr:row>3</xdr:row>
      <xdr:rowOff>219075</xdr:rowOff>
    </xdr:to>
    <xdr:pic>
      <xdr:nvPicPr>
        <xdr:cNvPr id="2448266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15300" y="39052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1</xdr:row>
      <xdr:rowOff>152400</xdr:rowOff>
    </xdr:from>
    <xdr:to>
      <xdr:col>12</xdr:col>
      <xdr:colOff>609600</xdr:colOff>
      <xdr:row>3</xdr:row>
      <xdr:rowOff>114300</xdr:rowOff>
    </xdr:to>
    <xdr:pic>
      <xdr:nvPicPr>
        <xdr:cNvPr id="5640318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325" y="342900"/>
          <a:ext cx="2571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352425</xdr:colOff>
      <xdr:row>1</xdr:row>
      <xdr:rowOff>152400</xdr:rowOff>
    </xdr:from>
    <xdr:to>
      <xdr:col>12</xdr:col>
      <xdr:colOff>609600</xdr:colOff>
      <xdr:row>3</xdr:row>
      <xdr:rowOff>114300</xdr:rowOff>
    </xdr:to>
    <xdr:pic>
      <xdr:nvPicPr>
        <xdr:cNvPr id="5640319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325" y="342900"/>
          <a:ext cx="2571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1</xdr:row>
      <xdr:rowOff>152400</xdr:rowOff>
    </xdr:from>
    <xdr:to>
      <xdr:col>12</xdr:col>
      <xdr:colOff>609600</xdr:colOff>
      <xdr:row>3</xdr:row>
      <xdr:rowOff>171450</xdr:rowOff>
    </xdr:to>
    <xdr:pic>
      <xdr:nvPicPr>
        <xdr:cNvPr id="5640320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15400" y="342900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22</xdr:row>
      <xdr:rowOff>104775</xdr:rowOff>
    </xdr:from>
    <xdr:to>
      <xdr:col>6</xdr:col>
      <xdr:colOff>342900</xdr:colOff>
      <xdr:row>35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22</xdr:row>
      <xdr:rowOff>104775</xdr:rowOff>
    </xdr:from>
    <xdr:to>
      <xdr:col>11</xdr:col>
      <xdr:colOff>752475</xdr:colOff>
      <xdr:row>35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22</xdr:row>
      <xdr:rowOff>66675</xdr:rowOff>
    </xdr:from>
    <xdr:to>
      <xdr:col>11</xdr:col>
      <xdr:colOff>752475</xdr:colOff>
      <xdr:row>35</xdr:row>
      <xdr:rowOff>95250</xdr:rowOff>
    </xdr:to>
    <xdr:graphicFrame macro="">
      <xdr:nvGraphicFramePr>
        <xdr:cNvPr id="61685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238125</xdr:colOff>
      <xdr:row>22</xdr:row>
      <xdr:rowOff>76200</xdr:rowOff>
    </xdr:from>
    <xdr:to>
      <xdr:col>6</xdr:col>
      <xdr:colOff>371475</xdr:colOff>
      <xdr:row>35</xdr:row>
      <xdr:rowOff>85725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22</xdr:row>
      <xdr:rowOff>66675</xdr:rowOff>
    </xdr:from>
    <xdr:to>
      <xdr:col>6</xdr:col>
      <xdr:colOff>304800</xdr:colOff>
      <xdr:row>35</xdr:row>
      <xdr:rowOff>76200</xdr:rowOff>
    </xdr:to>
    <xdr:graphicFrame macro="">
      <xdr:nvGraphicFramePr>
        <xdr:cNvPr id="61716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22</xdr:row>
      <xdr:rowOff>66675</xdr:rowOff>
    </xdr:from>
    <xdr:to>
      <xdr:col>11</xdr:col>
      <xdr:colOff>752475</xdr:colOff>
      <xdr:row>35</xdr:row>
      <xdr:rowOff>95250</xdr:rowOff>
    </xdr:to>
    <xdr:graphicFrame macro="">
      <xdr:nvGraphicFramePr>
        <xdr:cNvPr id="61716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22</xdr:row>
      <xdr:rowOff>66675</xdr:rowOff>
    </xdr:from>
    <xdr:to>
      <xdr:col>6</xdr:col>
      <xdr:colOff>304800</xdr:colOff>
      <xdr:row>35</xdr:row>
      <xdr:rowOff>76200</xdr:rowOff>
    </xdr:to>
    <xdr:graphicFrame macro="">
      <xdr:nvGraphicFramePr>
        <xdr:cNvPr id="61747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22</xdr:row>
      <xdr:rowOff>66675</xdr:rowOff>
    </xdr:from>
    <xdr:to>
      <xdr:col>11</xdr:col>
      <xdr:colOff>752475</xdr:colOff>
      <xdr:row>35</xdr:row>
      <xdr:rowOff>95250</xdr:rowOff>
    </xdr:to>
    <xdr:graphicFrame macro="">
      <xdr:nvGraphicFramePr>
        <xdr:cNvPr id="61747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3248025</xdr:colOff>
      <xdr:row>6</xdr:row>
      <xdr:rowOff>200025</xdr:rowOff>
    </xdr:from>
    <xdr:to>
      <xdr:col>1</xdr:col>
      <xdr:colOff>3248025</xdr:colOff>
      <xdr:row>17</xdr:row>
      <xdr:rowOff>9525</xdr:rowOff>
    </xdr:to>
    <xdr:pic>
      <xdr:nvPicPr>
        <xdr:cNvPr id="5748765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171451</xdr:colOff>
      <xdr:row>21</xdr:row>
      <xdr:rowOff>66675</xdr:rowOff>
    </xdr:from>
    <xdr:to>
      <xdr:col>9</xdr:col>
      <xdr:colOff>0</xdr:colOff>
      <xdr:row>33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123825</xdr:colOff>
      <xdr:row>21</xdr:row>
      <xdr:rowOff>66675</xdr:rowOff>
    </xdr:from>
    <xdr:to>
      <xdr:col>16</xdr:col>
      <xdr:colOff>209550</xdr:colOff>
      <xdr:row>34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10</xdr:col>
      <xdr:colOff>190500</xdr:colOff>
      <xdr:row>27</xdr:row>
      <xdr:rowOff>142875</xdr:rowOff>
    </xdr:to>
    <xdr:graphicFrame macro="">
      <xdr:nvGraphicFramePr>
        <xdr:cNvPr id="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0.26818</cdr:x>
      <cdr:y>0.03819</cdr:y>
    </cdr:from>
    <cdr:to>
      <cdr:x>0.78333</cdr:x>
      <cdr:y>0.14236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85926" y="104775"/>
          <a:ext cx="32385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pt-BR" sz="1100" b="1">
              <a:latin typeface="Arial" pitchFamily="34" charset="0"/>
              <a:cs typeface="Arial" pitchFamily="34" charset="0"/>
            </a:rPr>
            <a:t>Evolução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da Produção de Café Arábica, Conilon e Total</a:t>
          </a:r>
        </a:p>
        <a:p xmlns:a="http://schemas.openxmlformats.org/drawingml/2006/main">
          <a:pPr algn="ctr"/>
          <a:r>
            <a:rPr lang="pt-BR" sz="1000" baseline="0">
              <a:latin typeface="Arial" pitchFamily="34" charset="0"/>
              <a:cs typeface="Arial" pitchFamily="34" charset="0"/>
            </a:rPr>
            <a:t>Em milhões de sacas</a:t>
          </a:r>
          <a:endParaRPr lang="pt-BR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3248025</xdr:colOff>
      <xdr:row>6</xdr:row>
      <xdr:rowOff>200025</xdr:rowOff>
    </xdr:from>
    <xdr:to>
      <xdr:col>2</xdr:col>
      <xdr:colOff>3248025</xdr:colOff>
      <xdr:row>16</xdr:row>
      <xdr:rowOff>28575</xdr:rowOff>
    </xdr:to>
    <xdr:pic>
      <xdr:nvPicPr>
        <xdr:cNvPr id="581225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3248025</xdr:colOff>
      <xdr:row>7</xdr:row>
      <xdr:rowOff>200025</xdr:rowOff>
    </xdr:from>
    <xdr:to>
      <xdr:col>2</xdr:col>
      <xdr:colOff>0</xdr:colOff>
      <xdr:row>17</xdr:row>
      <xdr:rowOff>28575</xdr:rowOff>
    </xdr:to>
    <xdr:pic>
      <xdr:nvPicPr>
        <xdr:cNvPr id="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90950" y="162877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407581</xdr:colOff>
      <xdr:row>1</xdr:row>
      <xdr:rowOff>76200</xdr:rowOff>
    </xdr:from>
    <xdr:to>
      <xdr:col>19</xdr:col>
      <xdr:colOff>9525</xdr:colOff>
      <xdr:row>4</xdr:row>
      <xdr:rowOff>152400</xdr:rowOff>
    </xdr:to>
    <xdr:pic>
      <xdr:nvPicPr>
        <xdr:cNvPr id="1482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8106" y="285750"/>
          <a:ext cx="563969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1</xdr:row>
      <xdr:rowOff>104775</xdr:rowOff>
    </xdr:from>
    <xdr:to>
      <xdr:col>15</xdr:col>
      <xdr:colOff>47625</xdr:colOff>
      <xdr:row>4</xdr:row>
      <xdr:rowOff>76200</xdr:rowOff>
    </xdr:to>
    <xdr:pic>
      <xdr:nvPicPr>
        <xdr:cNvPr id="3600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48625" y="25717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219075</xdr:colOff>
      <xdr:row>1</xdr:row>
      <xdr:rowOff>57150</xdr:rowOff>
    </xdr:from>
    <xdr:to>
      <xdr:col>13</xdr:col>
      <xdr:colOff>590550</xdr:colOff>
      <xdr:row>2</xdr:row>
      <xdr:rowOff>152400</xdr:rowOff>
    </xdr:to>
    <xdr:pic>
      <xdr:nvPicPr>
        <xdr:cNvPr id="993699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01050" y="285750"/>
          <a:ext cx="371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2</xdr:row>
      <xdr:rowOff>0</xdr:rowOff>
    </xdr:from>
    <xdr:to>
      <xdr:col>10</xdr:col>
      <xdr:colOff>28575</xdr:colOff>
      <xdr:row>3</xdr:row>
      <xdr:rowOff>209550</xdr:rowOff>
    </xdr:to>
    <xdr:pic>
      <xdr:nvPicPr>
        <xdr:cNvPr id="917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77100" y="571500"/>
          <a:ext cx="1162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276225</xdr:rowOff>
    </xdr:from>
    <xdr:to>
      <xdr:col>2</xdr:col>
      <xdr:colOff>647700</xdr:colOff>
      <xdr:row>4</xdr:row>
      <xdr:rowOff>133350</xdr:rowOff>
    </xdr:to>
    <xdr:pic>
      <xdr:nvPicPr>
        <xdr:cNvPr id="917321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504825"/>
          <a:ext cx="647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200025</xdr:rowOff>
    </xdr:from>
    <xdr:to>
      <xdr:col>0</xdr:col>
      <xdr:colOff>0</xdr:colOff>
      <xdr:row>17</xdr:row>
      <xdr:rowOff>9525</xdr:rowOff>
    </xdr:to>
    <xdr:pic>
      <xdr:nvPicPr>
        <xdr:cNvPr id="585016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161926</xdr:colOff>
      <xdr:row>1</xdr:row>
      <xdr:rowOff>219075</xdr:rowOff>
    </xdr:from>
    <xdr:to>
      <xdr:col>13</xdr:col>
      <xdr:colOff>504826</xdr:colOff>
      <xdr:row>22</xdr:row>
      <xdr:rowOff>133350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723900</xdr:colOff>
      <xdr:row>21</xdr:row>
      <xdr:rowOff>123825</xdr:rowOff>
    </xdr:from>
    <xdr:to>
      <xdr:col>5</xdr:col>
      <xdr:colOff>352494</xdr:colOff>
      <xdr:row>22</xdr:row>
      <xdr:rowOff>3</xdr:rowOff>
    </xdr:to>
    <xdr:sp macro="" textlink="">
      <xdr:nvSpPr>
        <xdr:cNvPr id="9" name="CaixaDeTexto 1"/>
        <xdr:cNvSpPr txBox="1"/>
      </xdr:nvSpPr>
      <xdr:spPr>
        <a:xfrm>
          <a:off x="904875" y="5314950"/>
          <a:ext cx="2162244" cy="12382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pt-BR" sz="1100"/>
            <a:t>ALTA ou BAIXA =</a:t>
          </a:r>
          <a:r>
            <a:rPr lang="pt-BR" sz="1100" baseline="0"/>
            <a:t> bienalidade</a:t>
          </a:r>
          <a:endParaRPr lang="pt-BR" sz="1100"/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0.26818</cdr:x>
      <cdr:y>0.03819</cdr:y>
    </cdr:from>
    <cdr:to>
      <cdr:x>0.78333</cdr:x>
      <cdr:y>0.14236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85926" y="104775"/>
          <a:ext cx="32385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pt-BR" sz="1100" b="1">
              <a:latin typeface="Arial" pitchFamily="34" charset="0"/>
              <a:cs typeface="Arial" pitchFamily="34" charset="0"/>
            </a:rPr>
            <a:t>Evolução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da Produção de Café Arábica, Conilon e Total</a:t>
          </a:r>
        </a:p>
        <a:p xmlns:a="http://schemas.openxmlformats.org/drawingml/2006/main">
          <a:pPr algn="ctr"/>
          <a:r>
            <a:rPr lang="pt-BR" sz="1000" baseline="0">
              <a:latin typeface="Arial" pitchFamily="34" charset="0"/>
              <a:cs typeface="Arial" pitchFamily="34" charset="0"/>
            </a:rPr>
            <a:t>Em milhões de sacas</a:t>
          </a:r>
          <a:endParaRPr lang="pt-B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0.00291</cdr:x>
      <cdr:y>0.00476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gricultura.gov.br/agrosta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gricultura.gov.br/agrostat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gricultura.gov.br/vegetal/estatisticas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D28" sqref="D28"/>
    </sheetView>
  </sheetViews>
  <sheetFormatPr defaultRowHeight="12.75"/>
  <cols>
    <col min="1" max="1" width="2.7109375" customWidth="1"/>
    <col min="2" max="2" width="126.42578125" customWidth="1"/>
    <col min="3" max="3" width="2.7109375" customWidth="1"/>
    <col min="4" max="4" width="8.85546875" bestFit="1" customWidth="1"/>
  </cols>
  <sheetData>
    <row r="1" spans="1:3" ht="16.5" customHeight="1">
      <c r="A1" s="58"/>
      <c r="B1" s="294"/>
      <c r="C1" s="58"/>
    </row>
    <row r="2" spans="1:3" ht="13.5" customHeight="1">
      <c r="A2" s="60"/>
      <c r="B2" s="385"/>
      <c r="C2" s="59"/>
    </row>
    <row r="3" spans="1:3" ht="17.100000000000001" customHeight="1">
      <c r="A3" s="60"/>
      <c r="B3" s="386"/>
      <c r="C3" s="59"/>
    </row>
    <row r="4" spans="1:3" ht="17.100000000000001" customHeight="1">
      <c r="A4" s="60"/>
      <c r="B4" s="386" t="s">
        <v>334</v>
      </c>
      <c r="C4" s="59"/>
    </row>
    <row r="5" spans="1:3" ht="17.100000000000001" customHeight="1">
      <c r="A5" s="60"/>
      <c r="B5" s="386" t="s">
        <v>310</v>
      </c>
      <c r="C5" s="59"/>
    </row>
    <row r="6" spans="1:3" ht="17.100000000000001" customHeight="1">
      <c r="A6" s="60"/>
      <c r="B6" s="386" t="s">
        <v>311</v>
      </c>
      <c r="C6" s="59"/>
    </row>
    <row r="7" spans="1:3" ht="17.100000000000001" customHeight="1">
      <c r="A7" s="60"/>
      <c r="B7" s="386"/>
      <c r="C7" s="59"/>
    </row>
    <row r="8" spans="1:3" ht="17.100000000000001" customHeight="1">
      <c r="A8" s="60"/>
      <c r="B8" s="386"/>
      <c r="C8" s="59"/>
    </row>
    <row r="9" spans="1:3" ht="17.100000000000001" customHeight="1">
      <c r="A9" s="60"/>
      <c r="B9" s="386"/>
      <c r="C9" s="59"/>
    </row>
    <row r="10" spans="1:3" ht="17.100000000000001" customHeight="1">
      <c r="A10" s="60"/>
      <c r="B10" s="386"/>
      <c r="C10" s="59"/>
    </row>
    <row r="11" spans="1:3" ht="17.100000000000001" customHeight="1">
      <c r="A11" s="60"/>
      <c r="B11" s="386"/>
      <c r="C11" s="59"/>
    </row>
    <row r="12" spans="1:3" ht="17.100000000000001" customHeight="1">
      <c r="A12" s="60"/>
      <c r="B12" s="386"/>
      <c r="C12" s="59"/>
    </row>
    <row r="13" spans="1:3" ht="17.100000000000001" customHeight="1">
      <c r="A13" s="60"/>
      <c r="B13" s="386"/>
      <c r="C13" s="59"/>
    </row>
    <row r="14" spans="1:3" ht="17.100000000000001" customHeight="1">
      <c r="A14" s="60"/>
      <c r="B14" s="386"/>
      <c r="C14" s="59"/>
    </row>
    <row r="15" spans="1:3" ht="17.100000000000001" customHeight="1">
      <c r="A15" s="60"/>
      <c r="B15" s="386"/>
      <c r="C15" s="59"/>
    </row>
    <row r="16" spans="1:3" ht="17.100000000000001" customHeight="1">
      <c r="A16" s="60"/>
      <c r="B16" s="386"/>
      <c r="C16" s="59"/>
    </row>
    <row r="17" spans="1:4" ht="17.100000000000001" customHeight="1">
      <c r="A17" s="60"/>
      <c r="B17" s="386"/>
      <c r="C17" s="59"/>
    </row>
    <row r="18" spans="1:4" ht="17.100000000000001" customHeight="1">
      <c r="A18" s="60"/>
      <c r="B18" s="386"/>
      <c r="C18" s="59"/>
    </row>
    <row r="19" spans="1:4" ht="17.100000000000001" customHeight="1">
      <c r="A19" s="60"/>
      <c r="B19" s="1225" t="s">
        <v>523</v>
      </c>
      <c r="C19" s="59"/>
    </row>
    <row r="20" spans="1:4" ht="17.100000000000001" customHeight="1">
      <c r="A20" s="60"/>
      <c r="B20" s="1225"/>
      <c r="C20" s="59"/>
    </row>
    <row r="21" spans="1:4" ht="17.100000000000001" customHeight="1">
      <c r="A21" s="60"/>
      <c r="B21" s="386"/>
      <c r="C21" s="59"/>
    </row>
    <row r="22" spans="1:4" ht="17.100000000000001" customHeight="1">
      <c r="A22" s="60"/>
      <c r="B22" s="386" t="s">
        <v>550</v>
      </c>
      <c r="C22" s="59"/>
    </row>
    <row r="23" spans="1:4" ht="17.100000000000001" customHeight="1">
      <c r="A23" s="60"/>
      <c r="B23" s="386"/>
      <c r="C23" s="59"/>
    </row>
    <row r="24" spans="1:4" ht="17.100000000000001" customHeight="1">
      <c r="A24" s="60"/>
      <c r="B24" s="386"/>
      <c r="C24" s="59"/>
    </row>
    <row r="25" spans="1:4" ht="17.100000000000001" customHeight="1">
      <c r="A25" s="60"/>
      <c r="B25" s="386"/>
      <c r="C25" s="59"/>
    </row>
    <row r="26" spans="1:4" ht="11.25" customHeight="1">
      <c r="A26" s="60"/>
      <c r="B26" s="387"/>
      <c r="C26" s="59"/>
    </row>
    <row r="27" spans="1:4" ht="17.100000000000001" customHeight="1">
      <c r="A27" s="60"/>
      <c r="B27" s="388"/>
      <c r="C27" s="60"/>
    </row>
    <row r="28" spans="1:4" ht="17.100000000000001" customHeight="1">
      <c r="A28" s="60"/>
      <c r="B28" s="389" t="s">
        <v>573</v>
      </c>
      <c r="C28" s="60"/>
    </row>
    <row r="29" spans="1:4" ht="16.5" customHeight="1">
      <c r="A29" s="59"/>
      <c r="B29" s="59"/>
      <c r="C29" s="59"/>
      <c r="D29" s="51"/>
    </row>
    <row r="30" spans="1:4" ht="15">
      <c r="D30" s="51"/>
    </row>
    <row r="31" spans="1:4" ht="15">
      <c r="D31" s="51"/>
    </row>
    <row r="32" spans="1:4" ht="15">
      <c r="D32" s="51"/>
    </row>
    <row r="33" spans="4:4" ht="15">
      <c r="D33" s="51"/>
    </row>
  </sheetData>
  <mergeCells count="1">
    <mergeCell ref="B19:B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26"/>
  <sheetViews>
    <sheetView workbookViewId="0">
      <selection activeCell="X20" sqref="X20"/>
    </sheetView>
  </sheetViews>
  <sheetFormatPr defaultRowHeight="12.75"/>
  <cols>
    <col min="1" max="2" width="2.7109375" customWidth="1"/>
    <col min="3" max="3" width="12.28515625" customWidth="1"/>
    <col min="4" max="18" width="7.7109375" customWidth="1"/>
    <col min="19" max="20" width="2.7109375" customWidth="1"/>
    <col min="21" max="21" width="8.85546875" bestFit="1" customWidth="1"/>
  </cols>
  <sheetData>
    <row r="1" spans="1:25" ht="18" customHeight="1">
      <c r="A1" s="1232" t="s">
        <v>450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  <c r="P1" s="1232"/>
      <c r="Q1" s="1232"/>
      <c r="R1" s="1232"/>
      <c r="S1" s="1232"/>
      <c r="T1" s="1232"/>
    </row>
    <row r="2" spans="1:25" ht="25.5" customHeight="1">
      <c r="A2" s="62"/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  <c r="P2" s="1243"/>
      <c r="Q2" s="1243"/>
      <c r="R2" s="1243"/>
      <c r="S2" s="1244"/>
      <c r="T2" s="59"/>
    </row>
    <row r="3" spans="1:25" ht="20.100000000000001" customHeight="1">
      <c r="A3" s="62"/>
      <c r="B3" s="97"/>
      <c r="C3" s="1288" t="s">
        <v>498</v>
      </c>
      <c r="D3" s="1288"/>
      <c r="E3" s="1288"/>
      <c r="F3" s="1288"/>
      <c r="G3" s="1288"/>
      <c r="H3" s="1288"/>
      <c r="I3" s="1288"/>
      <c r="J3" s="1288"/>
      <c r="K3" s="1288"/>
      <c r="L3" s="1288"/>
      <c r="M3" s="1288"/>
      <c r="N3" s="1288"/>
      <c r="O3" s="1288"/>
      <c r="P3" s="1288"/>
      <c r="Q3" s="1288"/>
      <c r="R3" s="1288"/>
      <c r="S3" s="98"/>
      <c r="T3" s="59"/>
    </row>
    <row r="4" spans="1:25" ht="28.5" customHeight="1">
      <c r="A4" s="62"/>
      <c r="B4" s="100"/>
      <c r="C4" s="135"/>
      <c r="D4" s="136"/>
      <c r="E4" s="136"/>
      <c r="F4" s="136"/>
      <c r="G4" s="136"/>
      <c r="H4" s="136"/>
      <c r="I4" s="136"/>
      <c r="J4" s="136"/>
      <c r="K4" s="136"/>
      <c r="L4" s="136"/>
      <c r="M4" s="135"/>
      <c r="N4" s="135"/>
      <c r="O4" s="135"/>
      <c r="P4" s="310"/>
      <c r="Q4" s="310"/>
      <c r="R4" s="137" t="s">
        <v>52</v>
      </c>
      <c r="S4" s="108"/>
      <c r="T4" s="60"/>
    </row>
    <row r="5" spans="1:25" ht="20.100000000000001" customHeight="1">
      <c r="A5" s="62"/>
      <c r="B5" s="100"/>
      <c r="C5" s="1289" t="s">
        <v>53</v>
      </c>
      <c r="D5" s="509">
        <v>2014</v>
      </c>
      <c r="E5" s="510">
        <v>2015</v>
      </c>
      <c r="F5" s="511">
        <v>2016</v>
      </c>
      <c r="G5" s="509">
        <v>2014</v>
      </c>
      <c r="H5" s="510">
        <v>2015</v>
      </c>
      <c r="I5" s="511">
        <v>2016</v>
      </c>
      <c r="J5" s="509">
        <v>2014</v>
      </c>
      <c r="K5" s="510">
        <v>2015</v>
      </c>
      <c r="L5" s="511">
        <v>2016</v>
      </c>
      <c r="M5" s="509">
        <v>2014</v>
      </c>
      <c r="N5" s="510">
        <v>2015</v>
      </c>
      <c r="O5" s="511">
        <v>2016</v>
      </c>
      <c r="P5" s="509">
        <v>2014</v>
      </c>
      <c r="Q5" s="510">
        <v>2015</v>
      </c>
      <c r="R5" s="510">
        <v>2016</v>
      </c>
      <c r="S5" s="108"/>
      <c r="T5" s="60"/>
    </row>
    <row r="6" spans="1:25" ht="20.100000000000001" customHeight="1">
      <c r="A6" s="62"/>
      <c r="B6" s="101"/>
      <c r="C6" s="1290"/>
      <c r="D6" s="1279" t="s">
        <v>54</v>
      </c>
      <c r="E6" s="1280"/>
      <c r="F6" s="1281"/>
      <c r="G6" s="512"/>
      <c r="H6" s="520" t="s">
        <v>354</v>
      </c>
      <c r="I6" s="514"/>
      <c r="J6" s="513"/>
      <c r="K6" s="520" t="s">
        <v>355</v>
      </c>
      <c r="L6" s="514"/>
      <c r="M6" s="508" t="s">
        <v>352</v>
      </c>
      <c r="N6" s="508"/>
      <c r="O6" s="508"/>
      <c r="P6" s="515" t="s">
        <v>353</v>
      </c>
      <c r="Q6" s="508"/>
      <c r="R6" s="508"/>
      <c r="S6" s="105"/>
      <c r="T6" s="60"/>
    </row>
    <row r="7" spans="1:25" ht="20.100000000000001" customHeight="1">
      <c r="A7" s="62"/>
      <c r="B7" s="101"/>
      <c r="C7" s="1290"/>
      <c r="D7" s="1279" t="s">
        <v>55</v>
      </c>
      <c r="E7" s="1280"/>
      <c r="F7" s="1281"/>
      <c r="G7" s="1279" t="s">
        <v>56</v>
      </c>
      <c r="H7" s="1280"/>
      <c r="I7" s="1281"/>
      <c r="J7" s="508" t="s">
        <v>351</v>
      </c>
      <c r="K7" s="508"/>
      <c r="L7" s="516"/>
      <c r="M7" s="508" t="s">
        <v>497</v>
      </c>
      <c r="N7" s="508"/>
      <c r="O7" s="508"/>
      <c r="P7" s="515" t="s">
        <v>57</v>
      </c>
      <c r="Q7" s="508"/>
      <c r="R7" s="508"/>
      <c r="S7" s="105"/>
      <c r="T7" s="60"/>
    </row>
    <row r="8" spans="1:25" ht="20.100000000000001" customHeight="1">
      <c r="A8" s="62"/>
      <c r="B8" s="101"/>
      <c r="C8" s="1291"/>
      <c r="D8" s="1282" t="s">
        <v>58</v>
      </c>
      <c r="E8" s="1283"/>
      <c r="F8" s="1284"/>
      <c r="G8" s="1283" t="s">
        <v>59</v>
      </c>
      <c r="H8" s="1283"/>
      <c r="I8" s="1283"/>
      <c r="J8" s="1285" t="s">
        <v>60</v>
      </c>
      <c r="K8" s="1286"/>
      <c r="L8" s="1287"/>
      <c r="M8" s="1283" t="s">
        <v>61</v>
      </c>
      <c r="N8" s="1283"/>
      <c r="O8" s="1283"/>
      <c r="P8" s="1282" t="s">
        <v>61</v>
      </c>
      <c r="Q8" s="1283"/>
      <c r="R8" s="1283"/>
      <c r="S8" s="105"/>
      <c r="T8" s="60"/>
    </row>
    <row r="9" spans="1:25" ht="20.100000000000001" customHeight="1">
      <c r="A9" s="62"/>
      <c r="B9" s="101"/>
      <c r="C9" s="517" t="s">
        <v>62</v>
      </c>
      <c r="D9" s="10">
        <v>289.44</v>
      </c>
      <c r="E9" s="850">
        <v>465.92</v>
      </c>
      <c r="F9" s="852">
        <v>491.31</v>
      </c>
      <c r="G9" s="10">
        <v>226.82</v>
      </c>
      <c r="H9" s="236">
        <v>283.29000000000002</v>
      </c>
      <c r="I9" s="852">
        <v>389.07</v>
      </c>
      <c r="J9" s="10">
        <v>244.45</v>
      </c>
      <c r="K9" s="236">
        <v>340</v>
      </c>
      <c r="L9" s="855">
        <v>482</v>
      </c>
      <c r="M9" s="10">
        <v>214.09</v>
      </c>
      <c r="N9" s="236">
        <v>273.81</v>
      </c>
      <c r="O9" s="852">
        <v>465.25</v>
      </c>
      <c r="P9" s="10">
        <v>231.82</v>
      </c>
      <c r="Q9" s="236">
        <v>280.95</v>
      </c>
      <c r="R9" s="877">
        <v>372.7</v>
      </c>
      <c r="S9" s="105"/>
      <c r="T9" s="60"/>
    </row>
    <row r="10" spans="1:25" ht="20.100000000000001" customHeight="1">
      <c r="A10" s="62"/>
      <c r="B10" s="101"/>
      <c r="C10" s="518" t="s">
        <v>63</v>
      </c>
      <c r="D10" s="10">
        <v>366.32</v>
      </c>
      <c r="E10" s="850">
        <v>459.99</v>
      </c>
      <c r="F10" s="583">
        <v>489.82</v>
      </c>
      <c r="G10" s="10">
        <v>243.48</v>
      </c>
      <c r="H10" s="850">
        <v>299.58</v>
      </c>
      <c r="I10" s="583">
        <v>393.61</v>
      </c>
      <c r="J10" s="10">
        <v>268.5</v>
      </c>
      <c r="K10" s="850">
        <v>328.33</v>
      </c>
      <c r="L10" s="583">
        <v>486.26</v>
      </c>
      <c r="M10" s="10">
        <v>236.25</v>
      </c>
      <c r="N10" s="850">
        <v>278.89</v>
      </c>
      <c r="O10" s="583">
        <v>465.45</v>
      </c>
      <c r="P10" s="10">
        <v>243</v>
      </c>
      <c r="Q10" s="236">
        <v>285</v>
      </c>
      <c r="R10">
        <v>380.16</v>
      </c>
      <c r="S10" s="105"/>
      <c r="T10" s="60"/>
    </row>
    <row r="11" spans="1:25" ht="20.100000000000001" customHeight="1">
      <c r="A11" s="62"/>
      <c r="B11" s="101"/>
      <c r="C11" s="518" t="s">
        <v>64</v>
      </c>
      <c r="D11" s="10">
        <v>437.24</v>
      </c>
      <c r="E11" s="850">
        <v>477.1</v>
      </c>
      <c r="F11" s="583">
        <v>491.07</v>
      </c>
      <c r="G11" s="10">
        <v>263.25</v>
      </c>
      <c r="H11" s="850">
        <v>303.44</v>
      </c>
      <c r="I11" s="583">
        <v>363.88</v>
      </c>
      <c r="J11" s="10">
        <v>332.63</v>
      </c>
      <c r="K11" s="850">
        <v>330</v>
      </c>
      <c r="L11" s="1204">
        <v>487</v>
      </c>
      <c r="M11" s="10">
        <v>288.68</v>
      </c>
      <c r="N11" s="850">
        <v>290</v>
      </c>
      <c r="O11" s="583">
        <v>448.41</v>
      </c>
      <c r="P11" s="10">
        <v>282.37</v>
      </c>
      <c r="Q11" s="237">
        <v>280</v>
      </c>
      <c r="R11">
        <v>351.59</v>
      </c>
      <c r="S11" s="105"/>
      <c r="T11" s="60"/>
    </row>
    <row r="12" spans="1:25" ht="20.100000000000001" customHeight="1">
      <c r="A12" s="62"/>
      <c r="B12" s="101"/>
      <c r="C12" s="518" t="s">
        <v>65</v>
      </c>
      <c r="D12" s="10">
        <v>449.45</v>
      </c>
      <c r="E12" s="850">
        <v>445.69</v>
      </c>
      <c r="F12" s="583"/>
      <c r="G12" s="10">
        <v>256.77</v>
      </c>
      <c r="H12" s="850">
        <v>295.88</v>
      </c>
      <c r="I12" s="583"/>
      <c r="J12" s="10">
        <v>329.5</v>
      </c>
      <c r="K12" s="850">
        <v>330</v>
      </c>
      <c r="L12" s="583"/>
      <c r="M12" s="10">
        <v>278</v>
      </c>
      <c r="N12" s="850">
        <v>299</v>
      </c>
      <c r="O12" s="583"/>
      <c r="P12" s="10">
        <v>265</v>
      </c>
      <c r="Q12" s="237">
        <v>297.5</v>
      </c>
      <c r="S12" s="105"/>
      <c r="T12" s="60"/>
    </row>
    <row r="13" spans="1:25" ht="20.100000000000001" customHeight="1">
      <c r="A13" s="62"/>
      <c r="B13" s="101"/>
      <c r="C13" s="518" t="s">
        <v>66</v>
      </c>
      <c r="D13" s="10">
        <v>429.28</v>
      </c>
      <c r="E13" s="850">
        <v>421.95</v>
      </c>
      <c r="F13" s="583"/>
      <c r="G13" s="10">
        <v>245.82</v>
      </c>
      <c r="H13" s="850">
        <v>293.33</v>
      </c>
      <c r="I13" s="583"/>
      <c r="J13" s="10">
        <v>342.14</v>
      </c>
      <c r="K13" s="850">
        <v>318</v>
      </c>
      <c r="L13" s="583"/>
      <c r="M13" s="10">
        <v>279.05</v>
      </c>
      <c r="N13" s="850">
        <v>292</v>
      </c>
      <c r="O13" s="583"/>
      <c r="P13" s="10">
        <v>258.10000000000002</v>
      </c>
      <c r="Q13" s="237">
        <v>292</v>
      </c>
      <c r="S13" s="105"/>
      <c r="T13" s="60"/>
      <c r="U13" s="51"/>
    </row>
    <row r="14" spans="1:25" ht="20.100000000000001" customHeight="1">
      <c r="A14" s="62"/>
      <c r="B14" s="101"/>
      <c r="C14" s="518" t="s">
        <v>67</v>
      </c>
      <c r="D14" s="10">
        <v>396.74</v>
      </c>
      <c r="E14" s="10">
        <v>424.02</v>
      </c>
      <c r="F14" s="583"/>
      <c r="G14" s="10">
        <v>235.14</v>
      </c>
      <c r="H14" s="10">
        <v>301.02999999999997</v>
      </c>
      <c r="I14" s="583"/>
      <c r="J14" s="10">
        <v>318</v>
      </c>
      <c r="K14" s="10">
        <v>315.24</v>
      </c>
      <c r="L14" s="583"/>
      <c r="M14" s="10">
        <v>262.25</v>
      </c>
      <c r="N14" s="10">
        <v>280</v>
      </c>
      <c r="O14" s="583"/>
      <c r="P14" s="10">
        <v>241.2</v>
      </c>
      <c r="Q14" s="502">
        <v>287.62</v>
      </c>
      <c r="S14" s="105"/>
      <c r="T14" s="60"/>
      <c r="U14" s="51"/>
    </row>
    <row r="15" spans="1:25" ht="20.100000000000001" customHeight="1">
      <c r="A15" s="62"/>
      <c r="B15" s="101"/>
      <c r="C15" s="518" t="s">
        <v>68</v>
      </c>
      <c r="D15" s="10">
        <v>387.87</v>
      </c>
      <c r="E15" s="10">
        <v>414.5</v>
      </c>
      <c r="F15" s="583"/>
      <c r="G15" s="10">
        <v>242.44</v>
      </c>
      <c r="H15" s="10">
        <v>307.41000000000003</v>
      </c>
      <c r="I15" s="583"/>
      <c r="J15" s="10">
        <v>300.43</v>
      </c>
      <c r="K15" s="10">
        <v>320</v>
      </c>
      <c r="L15" s="583"/>
      <c r="M15" s="10">
        <v>243.91</v>
      </c>
      <c r="N15" s="10">
        <v>280</v>
      </c>
      <c r="O15" s="583"/>
      <c r="P15" s="10">
        <v>239.48</v>
      </c>
      <c r="Q15" s="502">
        <v>297.39</v>
      </c>
      <c r="S15" s="105"/>
      <c r="T15" s="60"/>
      <c r="U15" s="51"/>
    </row>
    <row r="16" spans="1:25" ht="20.100000000000001" customHeight="1">
      <c r="A16" s="62"/>
      <c r="B16" s="101"/>
      <c r="C16" s="518" t="s">
        <v>69</v>
      </c>
      <c r="D16" s="10">
        <v>437.19</v>
      </c>
      <c r="E16" s="10">
        <v>455.5</v>
      </c>
      <c r="F16" s="583"/>
      <c r="G16" s="10">
        <v>248.42</v>
      </c>
      <c r="H16" s="10">
        <v>324.95</v>
      </c>
      <c r="I16" s="583"/>
      <c r="J16" s="10">
        <v>315.70999999999998</v>
      </c>
      <c r="K16" s="188">
        <v>335</v>
      </c>
      <c r="L16" s="583"/>
      <c r="M16" s="10">
        <v>272.86</v>
      </c>
      <c r="N16" s="188">
        <v>292</v>
      </c>
      <c r="O16" s="583"/>
      <c r="P16" s="10">
        <v>251.43</v>
      </c>
      <c r="Q16" s="188">
        <v>313.95999999999998</v>
      </c>
      <c r="S16" s="105"/>
      <c r="T16" s="59"/>
      <c r="U16" s="51"/>
      <c r="V16" s="585"/>
      <c r="W16" s="585"/>
      <c r="X16" s="585"/>
      <c r="Y16" s="585"/>
    </row>
    <row r="17" spans="1:25" ht="20.100000000000001" customHeight="1">
      <c r="A17" s="62"/>
      <c r="B17" s="101"/>
      <c r="C17" s="518" t="s">
        <v>70</v>
      </c>
      <c r="D17" s="10">
        <v>433.48</v>
      </c>
      <c r="E17" s="850">
        <v>456.95</v>
      </c>
      <c r="F17" s="583"/>
      <c r="G17" s="10">
        <v>250.1</v>
      </c>
      <c r="H17" s="850">
        <v>340.62</v>
      </c>
      <c r="I17" s="583"/>
      <c r="J17" s="10">
        <v>324.32</v>
      </c>
      <c r="K17" s="851">
        <v>495.95</v>
      </c>
      <c r="L17" s="583"/>
      <c r="M17" s="10">
        <v>272.73</v>
      </c>
      <c r="N17" s="851">
        <v>432.14</v>
      </c>
      <c r="O17" s="583"/>
      <c r="P17" s="10">
        <v>255.45</v>
      </c>
      <c r="Q17" s="553">
        <v>332.05</v>
      </c>
      <c r="S17" s="105"/>
      <c r="T17" s="59"/>
      <c r="U17" s="51"/>
      <c r="V17" s="585"/>
      <c r="W17" s="585"/>
      <c r="X17" s="585"/>
      <c r="Y17" s="585"/>
    </row>
    <row r="18" spans="1:25" ht="20.100000000000001" customHeight="1">
      <c r="A18" s="62"/>
      <c r="B18" s="101"/>
      <c r="C18" s="518" t="s">
        <v>71</v>
      </c>
      <c r="D18" s="10">
        <v>480.13</v>
      </c>
      <c r="E18" s="850">
        <v>478.11</v>
      </c>
      <c r="F18" s="583"/>
      <c r="G18" s="10">
        <v>264.25</v>
      </c>
      <c r="H18" s="850">
        <v>363.9</v>
      </c>
      <c r="I18" s="583"/>
      <c r="J18" s="10">
        <v>338.7</v>
      </c>
      <c r="K18" s="850">
        <v>502.86</v>
      </c>
      <c r="L18" s="583"/>
      <c r="M18" s="10">
        <v>284.35000000000002</v>
      </c>
      <c r="N18" s="850">
        <v>443.76</v>
      </c>
      <c r="O18" s="583"/>
      <c r="P18" s="10">
        <v>272.61</v>
      </c>
      <c r="Q18" s="237">
        <v>351.05</v>
      </c>
      <c r="S18" s="105"/>
      <c r="T18" s="59"/>
      <c r="U18" s="51"/>
      <c r="V18" s="585"/>
      <c r="W18" s="585"/>
      <c r="X18" s="585"/>
      <c r="Y18" s="585"/>
    </row>
    <row r="19" spans="1:25" ht="20.100000000000001" customHeight="1">
      <c r="A19" s="62"/>
      <c r="B19" s="101"/>
      <c r="C19" s="518" t="s">
        <v>72</v>
      </c>
      <c r="D19" s="10">
        <v>460.96</v>
      </c>
      <c r="E19" s="850">
        <v>469.39</v>
      </c>
      <c r="F19" s="583"/>
      <c r="G19" s="10">
        <v>277.02</v>
      </c>
      <c r="H19" s="850">
        <v>375.28</v>
      </c>
      <c r="I19" s="583"/>
      <c r="J19" s="10">
        <v>345.5</v>
      </c>
      <c r="K19" s="850">
        <v>492.45</v>
      </c>
      <c r="L19" s="583"/>
      <c r="M19" s="10">
        <v>281.75</v>
      </c>
      <c r="N19" s="850">
        <v>438.25</v>
      </c>
      <c r="O19" s="583"/>
      <c r="P19" s="10">
        <v>280.75</v>
      </c>
      <c r="Q19" s="237">
        <v>362.29</v>
      </c>
      <c r="S19" s="105"/>
      <c r="T19" s="59"/>
      <c r="U19" s="51"/>
      <c r="V19" s="585"/>
      <c r="W19" s="585"/>
      <c r="X19" s="585"/>
      <c r="Y19" s="585"/>
    </row>
    <row r="20" spans="1:25" ht="20.100000000000001" customHeight="1">
      <c r="A20" s="62"/>
      <c r="B20" s="101"/>
      <c r="C20" s="518" t="s">
        <v>73</v>
      </c>
      <c r="D20" s="188">
        <v>455.2</v>
      </c>
      <c r="E20" s="238">
        <v>479.32</v>
      </c>
      <c r="F20" s="583"/>
      <c r="G20" s="188">
        <v>275.25</v>
      </c>
      <c r="H20" s="238">
        <v>378.98</v>
      </c>
      <c r="I20" s="583"/>
      <c r="J20" s="188">
        <v>340.5</v>
      </c>
      <c r="K20" s="238">
        <v>477.75</v>
      </c>
      <c r="L20" s="583"/>
      <c r="M20" s="188">
        <v>290</v>
      </c>
      <c r="N20" s="238">
        <v>446.15</v>
      </c>
      <c r="O20" s="583"/>
      <c r="P20" s="188">
        <v>285</v>
      </c>
      <c r="Q20" s="238">
        <v>364.55</v>
      </c>
      <c r="S20" s="105"/>
      <c r="T20" s="59"/>
      <c r="U20" s="51"/>
    </row>
    <row r="21" spans="1:25" ht="20.100000000000001" customHeight="1">
      <c r="A21" s="62"/>
      <c r="B21" s="101"/>
      <c r="C21" s="519" t="s">
        <v>74</v>
      </c>
      <c r="D21" s="311">
        <f t="shared" ref="D21:J21" si="0">AVERAGE(D9:D20)</f>
        <v>418.60833333333335</v>
      </c>
      <c r="E21" s="311">
        <f t="shared" si="0"/>
        <v>454.03666666666663</v>
      </c>
      <c r="F21" s="312">
        <f t="shared" si="0"/>
        <v>490.73333333333335</v>
      </c>
      <c r="G21" s="311">
        <f t="shared" si="0"/>
        <v>252.39666666666665</v>
      </c>
      <c r="H21" s="311">
        <f t="shared" si="0"/>
        <v>322.3075</v>
      </c>
      <c r="I21" s="312">
        <f t="shared" si="0"/>
        <v>382.18666666666667</v>
      </c>
      <c r="J21" s="311">
        <f t="shared" si="0"/>
        <v>316.69833333333332</v>
      </c>
      <c r="K21" s="311">
        <f>AVERAGE(K17:K20)</f>
        <v>492.2525</v>
      </c>
      <c r="L21" s="312">
        <f t="shared" ref="L21:R21" si="1">AVERAGE(L9:L20)</f>
        <v>485.08666666666664</v>
      </c>
      <c r="M21" s="311">
        <f t="shared" si="1"/>
        <v>266.99333333333334</v>
      </c>
      <c r="N21" s="311">
        <f t="shared" si="1"/>
        <v>337.16666666666663</v>
      </c>
      <c r="O21" s="312">
        <f t="shared" si="1"/>
        <v>459.70333333333338</v>
      </c>
      <c r="P21" s="311">
        <f t="shared" si="1"/>
        <v>258.85083333333336</v>
      </c>
      <c r="Q21" s="311">
        <f t="shared" si="1"/>
        <v>312.03000000000003</v>
      </c>
      <c r="R21" s="311">
        <f t="shared" si="1"/>
        <v>368.15000000000003</v>
      </c>
      <c r="S21" s="105"/>
      <c r="T21" s="59"/>
      <c r="U21" s="51"/>
    </row>
    <row r="22" spans="1:25" ht="20.100000000000001" customHeight="1">
      <c r="A22" s="62"/>
      <c r="B22" s="119"/>
      <c r="C22" s="853" t="s">
        <v>499</v>
      </c>
      <c r="D22" s="313"/>
      <c r="E22" s="313"/>
      <c r="F22" s="313"/>
      <c r="G22" s="313"/>
      <c r="H22" s="313"/>
      <c r="I22" s="313"/>
      <c r="J22" s="314"/>
      <c r="K22" s="314"/>
      <c r="L22" s="313"/>
      <c r="M22" s="314"/>
      <c r="N22" s="314"/>
      <c r="O22" s="313"/>
      <c r="P22" s="314"/>
      <c r="Q22" s="314"/>
      <c r="R22" s="313"/>
      <c r="S22" s="131"/>
      <c r="T22" s="59"/>
      <c r="U22" s="51"/>
    </row>
    <row r="23" spans="1:25" ht="20.100000000000001" customHeight="1">
      <c r="A23" s="62"/>
      <c r="B23" s="189"/>
      <c r="C23" s="854" t="s">
        <v>356</v>
      </c>
      <c r="D23" s="315"/>
      <c r="E23" s="315"/>
      <c r="F23" s="315"/>
      <c r="G23" s="315"/>
      <c r="H23" s="315"/>
      <c r="I23" s="315"/>
      <c r="J23" s="316"/>
      <c r="K23" s="316"/>
      <c r="L23" s="315"/>
      <c r="M23" s="316"/>
      <c r="N23" s="316"/>
      <c r="O23" s="315"/>
      <c r="P23" s="316"/>
      <c r="Q23" s="316"/>
      <c r="R23" s="315"/>
      <c r="S23" s="190"/>
      <c r="T23" s="59"/>
      <c r="U23" s="51"/>
    </row>
    <row r="24" spans="1:25" ht="18" customHeight="1">
      <c r="A24" s="59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59"/>
      <c r="U24" s="51"/>
    </row>
    <row r="25" spans="1:25" ht="15">
      <c r="U25" s="51"/>
    </row>
    <row r="26" spans="1:25">
      <c r="K26" s="585"/>
      <c r="L26" s="585"/>
      <c r="M26" s="585"/>
      <c r="N26" s="585"/>
      <c r="O26" s="585"/>
    </row>
  </sheetData>
  <mergeCells count="12">
    <mergeCell ref="A1:T1"/>
    <mergeCell ref="D6:F6"/>
    <mergeCell ref="D7:F7"/>
    <mergeCell ref="D8:F8"/>
    <mergeCell ref="G8:I8"/>
    <mergeCell ref="B2:S2"/>
    <mergeCell ref="G7:I7"/>
    <mergeCell ref="J8:L8"/>
    <mergeCell ref="M8:O8"/>
    <mergeCell ref="P8:R8"/>
    <mergeCell ref="C3:R3"/>
    <mergeCell ref="C5:C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M20" sqref="M20"/>
    </sheetView>
  </sheetViews>
  <sheetFormatPr defaultRowHeight="12.75"/>
  <cols>
    <col min="1" max="1" width="3.28515625" customWidth="1"/>
    <col min="2" max="2" width="5.7109375" customWidth="1"/>
    <col min="3" max="3" width="12.28515625" customWidth="1"/>
    <col min="4" max="4" width="44.5703125" customWidth="1"/>
    <col min="5" max="5" width="14.7109375" customWidth="1"/>
    <col min="6" max="6" width="9.7109375" customWidth="1"/>
    <col min="7" max="7" width="14.7109375" customWidth="1"/>
    <col min="8" max="8" width="9.7109375" customWidth="1"/>
    <col min="9" max="9" width="13.42578125" customWidth="1"/>
    <col min="10" max="10" width="5.7109375" customWidth="1"/>
    <col min="11" max="11" width="3.5703125" customWidth="1"/>
  </cols>
  <sheetData>
    <row r="1" spans="1:11" ht="15" customHeight="1">
      <c r="A1" s="1232" t="s">
        <v>452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</row>
    <row r="2" spans="1:11" ht="18" customHeight="1">
      <c r="A2" s="60"/>
      <c r="B2" s="296"/>
      <c r="C2" s="410"/>
      <c r="D2" s="410"/>
      <c r="E2" s="410"/>
      <c r="F2" s="410"/>
      <c r="G2" s="410"/>
      <c r="H2" s="410"/>
      <c r="I2" s="410"/>
      <c r="J2" s="297"/>
      <c r="K2" s="59"/>
    </row>
    <row r="3" spans="1:11" ht="18" customHeight="1">
      <c r="A3" s="60"/>
      <c r="B3" s="1293" t="s">
        <v>75</v>
      </c>
      <c r="C3" s="1294"/>
      <c r="D3" s="1294"/>
      <c r="E3" s="1294"/>
      <c r="F3" s="1294"/>
      <c r="G3" s="1294"/>
      <c r="H3" s="1294"/>
      <c r="I3" s="1294"/>
      <c r="J3" s="1295"/>
      <c r="K3" s="59"/>
    </row>
    <row r="4" spans="1:11" ht="18" customHeight="1">
      <c r="A4" s="60"/>
      <c r="B4" s="1293" t="s">
        <v>501</v>
      </c>
      <c r="C4" s="1294"/>
      <c r="D4" s="1294"/>
      <c r="E4" s="1294"/>
      <c r="F4" s="1294"/>
      <c r="G4" s="1294"/>
      <c r="H4" s="1294"/>
      <c r="I4" s="1294"/>
      <c r="J4" s="1295"/>
      <c r="K4" s="59"/>
    </row>
    <row r="5" spans="1:11" ht="18" customHeight="1">
      <c r="A5" s="60"/>
      <c r="B5" s="405"/>
      <c r="C5" s="1296" t="s">
        <v>76</v>
      </c>
      <c r="D5" s="1297"/>
      <c r="E5" s="1300" t="s">
        <v>500</v>
      </c>
      <c r="F5" s="1301"/>
      <c r="G5" s="1300" t="s">
        <v>203</v>
      </c>
      <c r="H5" s="1301"/>
      <c r="I5" s="1302" t="s">
        <v>77</v>
      </c>
      <c r="J5" s="132"/>
      <c r="K5" s="59"/>
    </row>
    <row r="6" spans="1:11" ht="18" customHeight="1">
      <c r="A6" s="60"/>
      <c r="B6" s="405"/>
      <c r="C6" s="1298"/>
      <c r="D6" s="1299"/>
      <c r="E6" s="12" t="s">
        <v>78</v>
      </c>
      <c r="F6" s="12" t="s">
        <v>79</v>
      </c>
      <c r="G6" s="12" t="s">
        <v>80</v>
      </c>
      <c r="H6" s="11" t="s">
        <v>79</v>
      </c>
      <c r="I6" s="1303"/>
      <c r="J6" s="132"/>
      <c r="K6" s="59"/>
    </row>
    <row r="7" spans="1:11" ht="15" customHeight="1">
      <c r="A7" s="60"/>
      <c r="B7" s="299"/>
      <c r="C7" s="406" t="s">
        <v>19</v>
      </c>
      <c r="D7" s="176"/>
      <c r="E7" s="574">
        <v>27957062</v>
      </c>
      <c r="F7" s="180">
        <f t="shared" ref="F7:F30" si="0">E7/$E$30</f>
        <v>0.31688684039890319</v>
      </c>
      <c r="G7" s="183">
        <v>31403497</v>
      </c>
      <c r="H7" s="180">
        <f t="shared" ref="H7:H30" si="1">G7/$G$30</f>
        <v>0.32459105745168726</v>
      </c>
      <c r="I7" s="522">
        <f>(E7/G7-1)*100</f>
        <v>-10.974685398890449</v>
      </c>
      <c r="J7" s="132"/>
      <c r="K7" s="59"/>
    </row>
    <row r="8" spans="1:11" ht="15" customHeight="1">
      <c r="A8" s="60"/>
      <c r="B8" s="299"/>
      <c r="C8" s="406" t="s">
        <v>81</v>
      </c>
      <c r="D8" s="177"/>
      <c r="E8" s="575">
        <v>14724197</v>
      </c>
      <c r="F8" s="181">
        <f t="shared" si="0"/>
        <v>0.16689537207954858</v>
      </c>
      <c r="G8" s="184">
        <v>17429297</v>
      </c>
      <c r="H8" s="181">
        <f t="shared" si="1"/>
        <v>0.18015171825830481</v>
      </c>
      <c r="I8" s="522">
        <f t="shared" ref="I8:I29" si="2">(E8/G8-1)*100</f>
        <v>-15.520419440898847</v>
      </c>
      <c r="J8" s="132"/>
      <c r="K8" s="59"/>
    </row>
    <row r="9" spans="1:11" ht="15" customHeight="1">
      <c r="A9" s="60"/>
      <c r="B9" s="299"/>
      <c r="C9" s="406" t="s">
        <v>82</v>
      </c>
      <c r="D9" s="177"/>
      <c r="E9" s="575">
        <v>8532375</v>
      </c>
      <c r="F9" s="181">
        <f t="shared" si="0"/>
        <v>9.671249986313267E-2</v>
      </c>
      <c r="G9" s="184">
        <v>10366872</v>
      </c>
      <c r="H9" s="181">
        <f t="shared" si="1"/>
        <v>0.10715347863794557</v>
      </c>
      <c r="I9" s="522">
        <f t="shared" si="2"/>
        <v>-17.695762038925533</v>
      </c>
      <c r="J9" s="132"/>
      <c r="K9" s="59"/>
    </row>
    <row r="10" spans="1:11" ht="15" customHeight="1">
      <c r="A10" s="60"/>
      <c r="B10" s="299"/>
      <c r="C10" s="1208" t="s">
        <v>83</v>
      </c>
      <c r="D10" s="179"/>
      <c r="E10" s="1214">
        <v>10333743</v>
      </c>
      <c r="F10" s="335">
        <f t="shared" si="0"/>
        <v>0.11713059007288687</v>
      </c>
      <c r="G10" s="1209">
        <v>9950706</v>
      </c>
      <c r="H10" s="335">
        <f t="shared" si="1"/>
        <v>0.10285192706184439</v>
      </c>
      <c r="I10" s="1210">
        <f t="shared" si="2"/>
        <v>3.8493449610510044</v>
      </c>
      <c r="J10" s="132"/>
      <c r="K10" s="59"/>
    </row>
    <row r="11" spans="1:11" ht="15" customHeight="1">
      <c r="A11" s="60"/>
      <c r="B11" s="299"/>
      <c r="C11" s="407" t="s">
        <v>84</v>
      </c>
      <c r="D11" s="178"/>
      <c r="E11" s="576">
        <f>E12+E13+E14+E15+E16</f>
        <v>6158740</v>
      </c>
      <c r="F11" s="182">
        <f t="shared" si="0"/>
        <v>6.9807895387517499E-2</v>
      </c>
      <c r="G11" s="576">
        <v>6661872</v>
      </c>
      <c r="H11" s="182">
        <f t="shared" si="1"/>
        <v>6.8858066255735359E-2</v>
      </c>
      <c r="I11" s="522">
        <f t="shared" si="2"/>
        <v>-7.5524116944906794</v>
      </c>
      <c r="J11" s="132"/>
      <c r="K11" s="59"/>
    </row>
    <row r="12" spans="1:11" ht="15" customHeight="1">
      <c r="A12" s="60"/>
      <c r="B12" s="299"/>
      <c r="C12" s="407"/>
      <c r="D12" s="178" t="s">
        <v>85</v>
      </c>
      <c r="E12" s="576">
        <v>5555415</v>
      </c>
      <c r="F12" s="182">
        <f t="shared" si="0"/>
        <v>6.296934586526555E-2</v>
      </c>
      <c r="G12" s="525">
        <v>6041101</v>
      </c>
      <c r="H12" s="182">
        <f t="shared" si="1"/>
        <v>6.2441687999347503E-2</v>
      </c>
      <c r="I12" s="522">
        <f t="shared" si="2"/>
        <v>-8.0396934267445648</v>
      </c>
      <c r="J12" s="132"/>
      <c r="K12" s="59"/>
    </row>
    <row r="13" spans="1:11" ht="15" customHeight="1">
      <c r="A13" s="60"/>
      <c r="B13" s="299"/>
      <c r="C13" s="407"/>
      <c r="D13" s="178" t="s">
        <v>86</v>
      </c>
      <c r="E13" s="576">
        <v>556404</v>
      </c>
      <c r="F13" s="182">
        <f t="shared" si="0"/>
        <v>6.3067108248109661E-3</v>
      </c>
      <c r="G13" s="525">
        <v>563324</v>
      </c>
      <c r="H13" s="182">
        <f t="shared" si="1"/>
        <v>5.8225978096615883E-3</v>
      </c>
      <c r="I13" s="522">
        <f t="shared" si="2"/>
        <v>-1.2284227194296671</v>
      </c>
      <c r="J13" s="132"/>
      <c r="K13" s="59"/>
    </row>
    <row r="14" spans="1:11" ht="15" customHeight="1">
      <c r="A14" s="60"/>
      <c r="B14" s="299"/>
      <c r="C14" s="407"/>
      <c r="D14" s="178" t="s">
        <v>87</v>
      </c>
      <c r="E14" s="576">
        <v>10079</v>
      </c>
      <c r="F14" s="182">
        <f t="shared" si="0"/>
        <v>1.1424313700704835E-4</v>
      </c>
      <c r="G14" s="525">
        <v>11603</v>
      </c>
      <c r="H14" s="182">
        <f t="shared" si="1"/>
        <v>1.199302752687679E-4</v>
      </c>
      <c r="I14" s="522">
        <f t="shared" si="2"/>
        <v>-13.134534172196844</v>
      </c>
      <c r="J14" s="132"/>
      <c r="K14" s="59"/>
    </row>
    <row r="15" spans="1:11" ht="15" customHeight="1">
      <c r="A15" s="60"/>
      <c r="B15" s="299"/>
      <c r="C15" s="407"/>
      <c r="D15" s="178" t="s">
        <v>88</v>
      </c>
      <c r="E15" s="576">
        <v>36754</v>
      </c>
      <c r="F15" s="182">
        <f t="shared" si="0"/>
        <v>4.1659810075970381E-4</v>
      </c>
      <c r="G15" s="525">
        <v>45830</v>
      </c>
      <c r="H15" s="182">
        <f t="shared" si="1"/>
        <v>4.7370546544580136E-4</v>
      </c>
      <c r="I15" s="522">
        <f t="shared" si="2"/>
        <v>-19.80362208160593</v>
      </c>
      <c r="J15" s="132"/>
      <c r="K15" s="59"/>
    </row>
    <row r="16" spans="1:11" ht="15" customHeight="1">
      <c r="A16" s="60"/>
      <c r="B16" s="299"/>
      <c r="C16" s="1211"/>
      <c r="D16" s="1215" t="s">
        <v>89</v>
      </c>
      <c r="E16" s="1216">
        <v>88</v>
      </c>
      <c r="F16" s="1217">
        <f t="shared" si="0"/>
        <v>9.9745967423556454E-7</v>
      </c>
      <c r="G16" s="1218">
        <v>15</v>
      </c>
      <c r="H16" s="1217">
        <f t="shared" si="1"/>
        <v>1.5504215539356361E-7</v>
      </c>
      <c r="I16" s="1210">
        <f t="shared" si="2"/>
        <v>486.66666666666663</v>
      </c>
      <c r="J16" s="132"/>
      <c r="K16" s="59"/>
    </row>
    <row r="17" spans="1:11" ht="15" customHeight="1">
      <c r="A17" s="60"/>
      <c r="B17" s="299"/>
      <c r="C17" s="406" t="s">
        <v>90</v>
      </c>
      <c r="D17" s="177"/>
      <c r="E17" s="575">
        <v>5878405</v>
      </c>
      <c r="F17" s="181">
        <f t="shared" si="0"/>
        <v>6.6630362912780836E-2</v>
      </c>
      <c r="G17" s="184">
        <v>4641435</v>
      </c>
      <c r="H17" s="181">
        <f t="shared" si="1"/>
        <v>4.7974539101274992E-2</v>
      </c>
      <c r="I17" s="522">
        <f t="shared" si="2"/>
        <v>26.65059405119321</v>
      </c>
      <c r="J17" s="132"/>
      <c r="K17" s="59"/>
    </row>
    <row r="18" spans="1:11" ht="15" customHeight="1">
      <c r="A18" s="60"/>
      <c r="B18" s="299"/>
      <c r="C18" s="406" t="s">
        <v>91</v>
      </c>
      <c r="D18" s="177"/>
      <c r="E18" s="575">
        <v>2713224</v>
      </c>
      <c r="F18" s="181">
        <f t="shared" si="0"/>
        <v>3.0753767354183129E-2</v>
      </c>
      <c r="G18" s="184">
        <v>3449009</v>
      </c>
      <c r="H18" s="181">
        <f t="shared" si="1"/>
        <v>3.5649452622119965E-2</v>
      </c>
      <c r="I18" s="522">
        <f t="shared" si="2"/>
        <v>-21.333229342109572</v>
      </c>
      <c r="J18" s="132"/>
      <c r="K18" s="59"/>
    </row>
    <row r="19" spans="1:11" ht="15" customHeight="1">
      <c r="A19" s="60"/>
      <c r="B19" s="299"/>
      <c r="C19" s="406" t="s">
        <v>92</v>
      </c>
      <c r="D19" s="177"/>
      <c r="E19" s="575">
        <v>2186217</v>
      </c>
      <c r="F19" s="181">
        <f t="shared" si="0"/>
        <v>2.4780264734411965E-2</v>
      </c>
      <c r="G19" s="184">
        <v>2501868</v>
      </c>
      <c r="H19" s="181">
        <f t="shared" si="1"/>
        <v>2.5859667148678947E-2</v>
      </c>
      <c r="I19" s="522">
        <f t="shared" si="2"/>
        <v>-12.616612866865873</v>
      </c>
      <c r="J19" s="132"/>
      <c r="K19" s="59"/>
    </row>
    <row r="20" spans="1:11" ht="15" customHeight="1">
      <c r="A20" s="60"/>
      <c r="B20" s="299"/>
      <c r="C20" s="406" t="s">
        <v>93</v>
      </c>
      <c r="D20" s="177"/>
      <c r="E20" s="575">
        <v>2050442</v>
      </c>
      <c r="F20" s="181">
        <f t="shared" si="0"/>
        <v>2.3241286469987719E-2</v>
      </c>
      <c r="G20" s="184">
        <v>2168269</v>
      </c>
      <c r="H20" s="181">
        <f t="shared" si="1"/>
        <v>2.2411539948869786E-2</v>
      </c>
      <c r="I20" s="522">
        <f t="shared" si="2"/>
        <v>-5.4341504674927377</v>
      </c>
      <c r="J20" s="132"/>
      <c r="K20" s="59"/>
    </row>
    <row r="21" spans="1:11" ht="15" customHeight="1">
      <c r="A21" s="60"/>
      <c r="B21" s="299"/>
      <c r="C21" s="406" t="s">
        <v>94</v>
      </c>
      <c r="D21" s="177"/>
      <c r="E21" s="575">
        <v>1776262</v>
      </c>
      <c r="F21" s="181">
        <f t="shared" si="0"/>
        <v>2.0133519498602412E-2</v>
      </c>
      <c r="G21" s="184">
        <v>1841766</v>
      </c>
      <c r="H21" s="181">
        <f t="shared" si="1"/>
        <v>1.9036758024705471E-2</v>
      </c>
      <c r="I21" s="522">
        <f t="shared" si="2"/>
        <v>-3.5565864501788003</v>
      </c>
      <c r="J21" s="132"/>
      <c r="K21" s="59"/>
    </row>
    <row r="22" spans="1:11" ht="15" customHeight="1">
      <c r="A22" s="60"/>
      <c r="B22" s="299"/>
      <c r="C22" s="406" t="s">
        <v>95</v>
      </c>
      <c r="D22" s="177"/>
      <c r="E22" s="575">
        <v>888817</v>
      </c>
      <c r="F22" s="181">
        <f t="shared" si="0"/>
        <v>1.0074535400852633E-2</v>
      </c>
      <c r="G22" s="184">
        <v>841296</v>
      </c>
      <c r="H22" s="181">
        <f t="shared" si="1"/>
        <v>8.6957563442655664E-3</v>
      </c>
      <c r="I22" s="522">
        <f t="shared" si="2"/>
        <v>5.6485470036705232</v>
      </c>
      <c r="J22" s="132"/>
      <c r="K22" s="59"/>
    </row>
    <row r="23" spans="1:11" ht="15" customHeight="1">
      <c r="A23" s="60"/>
      <c r="B23" s="408"/>
      <c r="C23" s="406" t="s">
        <v>96</v>
      </c>
      <c r="D23" s="177"/>
      <c r="E23" s="575">
        <v>278158</v>
      </c>
      <c r="F23" s="181">
        <f t="shared" si="0"/>
        <v>3.1528566825683654E-3</v>
      </c>
      <c r="G23" s="184">
        <v>742199</v>
      </c>
      <c r="H23" s="181">
        <f t="shared" si="1"/>
        <v>7.6714755127298339E-3</v>
      </c>
      <c r="I23" s="522">
        <f t="shared" si="2"/>
        <v>-62.522450178456189</v>
      </c>
      <c r="J23" s="132"/>
      <c r="K23" s="59"/>
    </row>
    <row r="24" spans="1:11" ht="15" customHeight="1">
      <c r="A24" s="60"/>
      <c r="B24" s="408"/>
      <c r="C24" s="406" t="s">
        <v>97</v>
      </c>
      <c r="D24" s="177"/>
      <c r="E24" s="577">
        <v>480905</v>
      </c>
      <c r="F24" s="181">
        <f>E25/$E$30</f>
        <v>4.8084470507259707E-3</v>
      </c>
      <c r="G24" s="184">
        <v>485415</v>
      </c>
      <c r="H24" s="181">
        <f t="shared" si="1"/>
        <v>5.0173191906911115E-3</v>
      </c>
      <c r="I24" s="522">
        <f t="shared" si="2"/>
        <v>-0.92910190249579916</v>
      </c>
      <c r="J24" s="132"/>
      <c r="K24" s="59"/>
    </row>
    <row r="25" spans="1:11" ht="15" customHeight="1">
      <c r="A25" s="60"/>
      <c r="B25" s="140"/>
      <c r="C25" s="406" t="s">
        <v>98</v>
      </c>
      <c r="D25" s="177"/>
      <c r="E25" s="575">
        <v>424221</v>
      </c>
      <c r="F25" s="181">
        <f>E26/$E$30</f>
        <v>3.6178995861426465E-3</v>
      </c>
      <c r="G25" s="184">
        <v>428043</v>
      </c>
      <c r="H25" s="181">
        <f t="shared" si="1"/>
        <v>4.4243139547418099E-3</v>
      </c>
      <c r="I25" s="522">
        <f t="shared" si="2"/>
        <v>-0.892900946867492</v>
      </c>
      <c r="J25" s="132"/>
      <c r="K25" s="59"/>
    </row>
    <row r="26" spans="1:11" ht="15" customHeight="1">
      <c r="A26" s="59"/>
      <c r="B26" s="174"/>
      <c r="C26" s="406" t="s">
        <v>99</v>
      </c>
      <c r="D26" s="177"/>
      <c r="E26" s="575">
        <v>319186</v>
      </c>
      <c r="F26" s="181">
        <f t="shared" si="0"/>
        <v>3.6178995861426465E-3</v>
      </c>
      <c r="G26" s="184">
        <v>345407</v>
      </c>
      <c r="H26" s="181">
        <f t="shared" si="1"/>
        <v>3.570176384534975E-3</v>
      </c>
      <c r="I26" s="522">
        <f t="shared" si="2"/>
        <v>-7.5913342810076223</v>
      </c>
      <c r="J26" s="132"/>
      <c r="K26" s="59"/>
    </row>
    <row r="27" spans="1:11" ht="15" customHeight="1">
      <c r="A27" s="59"/>
      <c r="B27" s="174"/>
      <c r="C27" s="406" t="s">
        <v>100</v>
      </c>
      <c r="D27" s="177"/>
      <c r="E27" s="575">
        <v>374780</v>
      </c>
      <c r="F27" s="181">
        <f t="shared" si="0"/>
        <v>4.2480447353409646E-3</v>
      </c>
      <c r="G27" s="184">
        <v>337424</v>
      </c>
      <c r="H27" s="181">
        <f t="shared" si="1"/>
        <v>3.4876629494345205E-3</v>
      </c>
      <c r="I27" s="522">
        <f t="shared" si="2"/>
        <v>11.070937455545549</v>
      </c>
      <c r="J27" s="132"/>
      <c r="K27" s="59"/>
    </row>
    <row r="28" spans="1:11" ht="15" customHeight="1">
      <c r="A28" s="59"/>
      <c r="B28" s="174"/>
      <c r="C28" s="406" t="s">
        <v>101</v>
      </c>
      <c r="D28" s="177"/>
      <c r="E28" s="575">
        <v>220162</v>
      </c>
      <c r="F28" s="181">
        <f t="shared" si="0"/>
        <v>2.4954854181710269E-3</v>
      </c>
      <c r="G28" s="184">
        <v>207219</v>
      </c>
      <c r="H28" s="181">
        <f t="shared" si="1"/>
        <v>2.141845359899924E-3</v>
      </c>
      <c r="I28" s="522">
        <f t="shared" si="2"/>
        <v>6.246048866175391</v>
      </c>
      <c r="J28" s="132"/>
      <c r="K28" s="59"/>
    </row>
    <row r="29" spans="1:11" ht="15" customHeight="1">
      <c r="A29" s="59"/>
      <c r="B29" s="174"/>
      <c r="C29" s="406" t="s">
        <v>102</v>
      </c>
      <c r="D29" s="179"/>
      <c r="E29" s="185">
        <f>E30-SUM(E7:E11,E17:E28)</f>
        <v>2927222</v>
      </c>
      <c r="F29" s="335">
        <f t="shared" si="0"/>
        <v>3.3179385256081564E-2</v>
      </c>
      <c r="G29" s="185">
        <f>G30-SUM(G7:G11,G17:G28)</f>
        <v>2946287</v>
      </c>
      <c r="H29" s="181">
        <f t="shared" si="1"/>
        <v>3.0453245792535756E-2</v>
      </c>
      <c r="I29" s="522">
        <f t="shared" si="2"/>
        <v>-0.64708563693897103</v>
      </c>
      <c r="J29" s="132"/>
      <c r="K29" s="59"/>
    </row>
    <row r="30" spans="1:11" ht="15" customHeight="1">
      <c r="A30" s="59"/>
      <c r="B30" s="174"/>
      <c r="C30" s="13" t="s">
        <v>103</v>
      </c>
      <c r="D30" s="14"/>
      <c r="E30" s="1224">
        <v>88224118</v>
      </c>
      <c r="F30" s="866">
        <f t="shared" si="0"/>
        <v>1</v>
      </c>
      <c r="G30" s="1224">
        <v>96747881</v>
      </c>
      <c r="H30" s="867">
        <f t="shared" si="1"/>
        <v>1</v>
      </c>
      <c r="I30" s="868">
        <f>(E30/G30-1)*100</f>
        <v>-8.8102839172260481</v>
      </c>
      <c r="J30" s="132"/>
      <c r="K30" s="59"/>
    </row>
    <row r="31" spans="1:11" ht="15" customHeight="1">
      <c r="A31" s="59"/>
      <c r="B31" s="113"/>
      <c r="C31" s="1292" t="s">
        <v>104</v>
      </c>
      <c r="D31" s="1292"/>
      <c r="E31" s="1292"/>
      <c r="F31" s="1292"/>
      <c r="G31" s="175"/>
      <c r="H31" s="175"/>
      <c r="I31" s="175"/>
      <c r="J31" s="133"/>
      <c r="K31" s="59"/>
    </row>
    <row r="32" spans="1:11" ht="15" customHeight="1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</row>
  </sheetData>
  <mergeCells count="8">
    <mergeCell ref="A1:K1"/>
    <mergeCell ref="C31:F31"/>
    <mergeCell ref="B3:J3"/>
    <mergeCell ref="B4:J4"/>
    <mergeCell ref="C5:D6"/>
    <mergeCell ref="E5:F5"/>
    <mergeCell ref="G5:H5"/>
    <mergeCell ref="I5:I6"/>
  </mergeCells>
  <conditionalFormatting sqref="I7:I30">
    <cfRule type="cellIs" dxfId="1" priority="7" stopIfTrue="1" operator="lessThan">
      <formula>0</formula>
    </cfRule>
  </conditionalFormatting>
  <hyperlinks>
    <hyperlink ref="D31:F31" r:id="rId1" display="Fonte: AgroStat Brasil a partir de dados da SECEX/MDIC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P14" sqref="P14"/>
    </sheetView>
  </sheetViews>
  <sheetFormatPr defaultRowHeight="12.75"/>
  <cols>
    <col min="1" max="1" width="2.7109375" customWidth="1"/>
    <col min="2" max="2" width="5.7109375" customWidth="1"/>
    <col min="3" max="3" width="10.5703125" customWidth="1"/>
    <col min="4" max="4" width="44.5703125" customWidth="1"/>
    <col min="5" max="5" width="14.7109375" customWidth="1"/>
    <col min="6" max="6" width="9.7109375" customWidth="1"/>
    <col min="7" max="7" width="14.7109375" customWidth="1"/>
    <col min="8" max="8" width="9.7109375" customWidth="1"/>
    <col min="9" max="9" width="13.42578125" customWidth="1"/>
    <col min="10" max="10" width="5.7109375" customWidth="1"/>
    <col min="11" max="11" width="2.7109375" customWidth="1"/>
  </cols>
  <sheetData>
    <row r="1" spans="1:11" ht="15" customHeight="1">
      <c r="A1" s="1232" t="s">
        <v>451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</row>
    <row r="2" spans="1:11" ht="18" customHeight="1">
      <c r="A2" s="60"/>
      <c r="B2" s="1304"/>
      <c r="C2" s="1305"/>
      <c r="D2" s="1305"/>
      <c r="E2" s="1305"/>
      <c r="F2" s="1305"/>
      <c r="G2" s="1305"/>
      <c r="H2" s="1305"/>
      <c r="I2" s="1305"/>
      <c r="J2" s="1306"/>
      <c r="K2" s="59"/>
    </row>
    <row r="3" spans="1:11" ht="18" customHeight="1">
      <c r="A3" s="60"/>
      <c r="B3" s="1293" t="s">
        <v>75</v>
      </c>
      <c r="C3" s="1294"/>
      <c r="D3" s="1294"/>
      <c r="E3" s="1294"/>
      <c r="F3" s="1294"/>
      <c r="G3" s="1294"/>
      <c r="H3" s="1294"/>
      <c r="I3" s="1294"/>
      <c r="J3" s="1295"/>
      <c r="K3" s="59"/>
    </row>
    <row r="4" spans="1:11" ht="18" customHeight="1">
      <c r="A4" s="60"/>
      <c r="B4" s="1293" t="s">
        <v>502</v>
      </c>
      <c r="C4" s="1294"/>
      <c r="D4" s="1294"/>
      <c r="E4" s="1294"/>
      <c r="F4" s="1294"/>
      <c r="G4" s="1294"/>
      <c r="H4" s="1294"/>
      <c r="I4" s="1294"/>
      <c r="J4" s="1295"/>
      <c r="K4" s="59"/>
    </row>
    <row r="5" spans="1:11" ht="15" customHeight="1">
      <c r="A5" s="60"/>
      <c r="B5" s="405"/>
      <c r="C5" s="1296" t="s">
        <v>76</v>
      </c>
      <c r="D5" s="1297"/>
      <c r="E5" s="1300" t="s">
        <v>559</v>
      </c>
      <c r="F5" s="1301"/>
      <c r="G5" s="1300" t="s">
        <v>560</v>
      </c>
      <c r="H5" s="1301"/>
      <c r="I5" s="1302" t="s">
        <v>77</v>
      </c>
      <c r="J5" s="132"/>
      <c r="K5" s="59"/>
    </row>
    <row r="6" spans="1:11" ht="15" customHeight="1">
      <c r="A6" s="60"/>
      <c r="B6" s="405"/>
      <c r="C6" s="1298"/>
      <c r="D6" s="1299"/>
      <c r="E6" s="12" t="s">
        <v>78</v>
      </c>
      <c r="F6" s="11" t="s">
        <v>79</v>
      </c>
      <c r="G6" s="12" t="s">
        <v>80</v>
      </c>
      <c r="H6" s="12" t="s">
        <v>79</v>
      </c>
      <c r="I6" s="1303"/>
      <c r="J6" s="132"/>
      <c r="K6" s="59"/>
    </row>
    <row r="7" spans="1:11" ht="15" customHeight="1">
      <c r="A7" s="60"/>
      <c r="B7" s="299"/>
      <c r="C7" s="406" t="s">
        <v>19</v>
      </c>
      <c r="D7" s="176"/>
      <c r="E7" s="183">
        <v>5129995</v>
      </c>
      <c r="F7" s="180">
        <f>E7/$E$30</f>
        <v>0.25608610691580425</v>
      </c>
      <c r="G7" s="183">
        <v>4054228</v>
      </c>
      <c r="H7" s="862">
        <f t="shared" ref="H7:H30" si="0">G7/$G$30</f>
        <v>0.21997192612896521</v>
      </c>
      <c r="I7" s="522">
        <f>(E7/G7-1)*100</f>
        <v>26.534447495306136</v>
      </c>
      <c r="J7" s="132"/>
      <c r="K7" s="59"/>
    </row>
    <row r="8" spans="1:11" ht="15" customHeight="1">
      <c r="A8" s="60"/>
      <c r="B8" s="299"/>
      <c r="C8" s="406" t="s">
        <v>81</v>
      </c>
      <c r="D8" s="177"/>
      <c r="E8" s="184">
        <v>3208296</v>
      </c>
      <c r="F8" s="181">
        <f>E8/$E$30</f>
        <v>0.16015610784680046</v>
      </c>
      <c r="G8" s="184">
        <v>3266629</v>
      </c>
      <c r="H8" s="863">
        <f t="shared" si="0"/>
        <v>0.17723884129820411</v>
      </c>
      <c r="I8" s="522">
        <f t="shared" ref="I8:I30" si="1">(E8/G8-1)*100</f>
        <v>-1.7857246721314279</v>
      </c>
      <c r="J8" s="132"/>
      <c r="K8" s="59"/>
    </row>
    <row r="9" spans="1:11" ht="15" customHeight="1">
      <c r="A9" s="60"/>
      <c r="B9" s="299"/>
      <c r="C9" s="406" t="s">
        <v>82</v>
      </c>
      <c r="D9" s="177"/>
      <c r="E9" s="184">
        <v>2178741</v>
      </c>
      <c r="F9" s="181">
        <f t="shared" ref="F9:F30" si="2">E9/$E$30</f>
        <v>0.1087613731919517</v>
      </c>
      <c r="G9" s="184">
        <v>2177722</v>
      </c>
      <c r="H9" s="863">
        <f t="shared" si="0"/>
        <v>0.11815756363811368</v>
      </c>
      <c r="I9" s="522">
        <f t="shared" si="1"/>
        <v>4.679201477506556E-2</v>
      </c>
      <c r="J9" s="132"/>
      <c r="K9" s="59"/>
    </row>
    <row r="10" spans="1:11" ht="15" customHeight="1">
      <c r="A10" s="60"/>
      <c r="B10" s="299"/>
      <c r="C10" s="1208" t="s">
        <v>83</v>
      </c>
      <c r="D10" s="179"/>
      <c r="E10" s="1209">
        <v>2564653</v>
      </c>
      <c r="F10" s="335">
        <f t="shared" si="2"/>
        <v>0.12802585623571527</v>
      </c>
      <c r="G10" s="1209">
        <v>2454777</v>
      </c>
      <c r="H10" s="864">
        <f t="shared" si="0"/>
        <v>0.13318985141118922</v>
      </c>
      <c r="I10" s="1210">
        <f t="shared" si="1"/>
        <v>4.4760073929322353</v>
      </c>
      <c r="J10" s="132"/>
      <c r="K10" s="59"/>
    </row>
    <row r="11" spans="1:11" ht="15" customHeight="1">
      <c r="A11" s="60"/>
      <c r="B11" s="299"/>
      <c r="C11" s="407" t="s">
        <v>84</v>
      </c>
      <c r="D11" s="178"/>
      <c r="E11" s="333">
        <f>SUM(E12+E13+E14+E15+E16)</f>
        <v>1305925.0380000002</v>
      </c>
      <c r="F11" s="181">
        <f t="shared" si="2"/>
        <v>6.5190952214435646E-2</v>
      </c>
      <c r="G11" s="333">
        <f>SUM(G12+G13+G14+G15+G16)</f>
        <v>1704370.048</v>
      </c>
      <c r="H11" s="863">
        <f t="shared" si="0"/>
        <v>9.2474710917855849E-2</v>
      </c>
      <c r="I11" s="522">
        <f t="shared" si="1"/>
        <v>-23.377846287991076</v>
      </c>
      <c r="J11" s="132"/>
      <c r="K11" s="59"/>
    </row>
    <row r="12" spans="1:11" ht="15" customHeight="1">
      <c r="A12" s="60"/>
      <c r="B12" s="299"/>
      <c r="C12" s="407"/>
      <c r="D12" s="409" t="s">
        <v>85</v>
      </c>
      <c r="E12" s="333">
        <f>Exportações!D14</f>
        <v>1166304.1170000001</v>
      </c>
      <c r="F12" s="181">
        <f t="shared" si="2"/>
        <v>5.8221164114663791E-2</v>
      </c>
      <c r="G12" s="525">
        <f>Exportações!G14</f>
        <v>1559478</v>
      </c>
      <c r="H12" s="863">
        <f t="shared" si="0"/>
        <v>8.4613243116999443E-2</v>
      </c>
      <c r="I12" s="522">
        <f t="shared" si="1"/>
        <v>-25.211890324839459</v>
      </c>
      <c r="J12" s="132"/>
      <c r="K12" s="59"/>
    </row>
    <row r="13" spans="1:11" ht="15" customHeight="1">
      <c r="A13" s="60"/>
      <c r="B13" s="299"/>
      <c r="C13" s="407"/>
      <c r="D13" s="409" t="s">
        <v>86</v>
      </c>
      <c r="E13" s="333">
        <f>Exportações!D15</f>
        <v>130233.25899999999</v>
      </c>
      <c r="F13" s="181">
        <f t="shared" si="2"/>
        <v>6.5011619481632286E-3</v>
      </c>
      <c r="G13" s="525">
        <f>Exportações!G15</f>
        <v>132733</v>
      </c>
      <c r="H13" s="863">
        <f t="shared" si="0"/>
        <v>7.2017493024259952E-3</v>
      </c>
      <c r="I13" s="522">
        <f t="shared" si="1"/>
        <v>-1.8832852418012136</v>
      </c>
      <c r="J13" s="132"/>
      <c r="K13" s="59"/>
    </row>
    <row r="14" spans="1:11" ht="15" customHeight="1">
      <c r="A14" s="60"/>
      <c r="B14" s="299"/>
      <c r="C14" s="407"/>
      <c r="D14" s="409" t="s">
        <v>87</v>
      </c>
      <c r="E14" s="333">
        <f>Exportações!D16</f>
        <v>2308.6790000000001</v>
      </c>
      <c r="F14" s="181">
        <f t="shared" si="2"/>
        <v>1.1524779599751502E-4</v>
      </c>
      <c r="G14" s="525">
        <f>Exportações!G16</f>
        <v>2360</v>
      </c>
      <c r="H14" s="863">
        <f t="shared" si="0"/>
        <v>1.280474965059582E-4</v>
      </c>
      <c r="I14" s="522">
        <f t="shared" si="1"/>
        <v>-2.1746186440677939</v>
      </c>
      <c r="J14" s="132"/>
      <c r="K14" s="59"/>
    </row>
    <row r="15" spans="1:11" ht="15" customHeight="1">
      <c r="A15" s="60"/>
      <c r="B15" s="299"/>
      <c r="C15" s="407"/>
      <c r="D15" s="409" t="s">
        <v>88</v>
      </c>
      <c r="E15" s="333">
        <f>Exportações!D17</f>
        <v>7071.3959999999997</v>
      </c>
      <c r="F15" s="181">
        <f t="shared" si="2"/>
        <v>3.5299961736804622E-4</v>
      </c>
      <c r="G15" s="525">
        <f>Exportações!G17</f>
        <v>9782</v>
      </c>
      <c r="H15" s="863">
        <f t="shared" si="0"/>
        <v>5.30746021534442E-4</v>
      </c>
      <c r="I15" s="522">
        <f t="shared" si="1"/>
        <v>-27.710120629728074</v>
      </c>
      <c r="J15" s="132"/>
      <c r="K15" s="59"/>
    </row>
    <row r="16" spans="1:11" ht="15" customHeight="1">
      <c r="A16" s="60"/>
      <c r="B16" s="299"/>
      <c r="C16" s="1211"/>
      <c r="D16" s="1212" t="s">
        <v>89</v>
      </c>
      <c r="E16" s="1213">
        <f>Exportações!D18</f>
        <v>7.5869999999999997</v>
      </c>
      <c r="F16" s="1213">
        <v>0</v>
      </c>
      <c r="G16" s="1213">
        <f>Exportações!G18</f>
        <v>17.047999999999998</v>
      </c>
      <c r="H16" s="1213">
        <v>0</v>
      </c>
      <c r="I16" s="1210">
        <f t="shared" si="1"/>
        <v>-55.496245893946508</v>
      </c>
      <c r="J16" s="132"/>
      <c r="K16" s="59"/>
    </row>
    <row r="17" spans="1:11" ht="15" customHeight="1">
      <c r="A17" s="60"/>
      <c r="B17" s="299"/>
      <c r="C17" s="406" t="s">
        <v>90</v>
      </c>
      <c r="D17" s="177"/>
      <c r="E17" s="865">
        <v>2186033</v>
      </c>
      <c r="F17" s="181">
        <f t="shared" si="2"/>
        <v>0.10912538522152093</v>
      </c>
      <c r="G17" s="184">
        <v>1311137</v>
      </c>
      <c r="H17" s="863">
        <f t="shared" si="0"/>
        <v>7.1138902723022257E-2</v>
      </c>
      <c r="I17" s="522">
        <f t="shared" si="1"/>
        <v>66.728038336192185</v>
      </c>
      <c r="J17" s="132"/>
      <c r="K17" s="59"/>
    </row>
    <row r="18" spans="1:11" ht="15" customHeight="1">
      <c r="A18" s="60"/>
      <c r="B18" s="299"/>
      <c r="C18" s="406" t="s">
        <v>91</v>
      </c>
      <c r="D18" s="177"/>
      <c r="E18" s="865">
        <v>649629</v>
      </c>
      <c r="F18" s="181">
        <f t="shared" si="2"/>
        <v>3.2429068946384351E-2</v>
      </c>
      <c r="G18" s="184">
        <v>745828</v>
      </c>
      <c r="H18" s="863">
        <f t="shared" si="0"/>
        <v>4.0466698400019402E-2</v>
      </c>
      <c r="I18" s="522">
        <f t="shared" si="1"/>
        <v>-12.898282177660271</v>
      </c>
      <c r="J18" s="132"/>
      <c r="K18" s="59"/>
    </row>
    <row r="19" spans="1:11" ht="15" customHeight="1">
      <c r="A19" s="60"/>
      <c r="B19" s="299"/>
      <c r="C19" s="406" t="s">
        <v>92</v>
      </c>
      <c r="D19" s="177"/>
      <c r="E19" s="865">
        <v>408188</v>
      </c>
      <c r="F19" s="181">
        <f t="shared" si="2"/>
        <v>2.0376486879567779E-2</v>
      </c>
      <c r="G19" s="184">
        <v>458530</v>
      </c>
      <c r="H19" s="863">
        <f t="shared" si="0"/>
        <v>2.487865193765975E-2</v>
      </c>
      <c r="I19" s="522">
        <f t="shared" si="1"/>
        <v>-10.978998102632321</v>
      </c>
      <c r="J19" s="132"/>
      <c r="K19" s="59"/>
    </row>
    <row r="20" spans="1:11" ht="15" customHeight="1">
      <c r="A20" s="60"/>
      <c r="B20" s="299"/>
      <c r="C20" s="406" t="s">
        <v>93</v>
      </c>
      <c r="D20" s="177"/>
      <c r="E20" s="865">
        <v>609437</v>
      </c>
      <c r="F20" s="181">
        <f t="shared" si="2"/>
        <v>3.0422709718127793E-2</v>
      </c>
      <c r="G20" s="184">
        <v>614156</v>
      </c>
      <c r="H20" s="863">
        <f t="shared" si="0"/>
        <v>3.3322516213607316E-2</v>
      </c>
      <c r="I20" s="522">
        <f t="shared" si="1"/>
        <v>-0.76837155380717892</v>
      </c>
      <c r="J20" s="132"/>
      <c r="K20" s="59"/>
    </row>
    <row r="21" spans="1:11" ht="15" customHeight="1">
      <c r="A21" s="60"/>
      <c r="B21" s="299"/>
      <c r="C21" s="406" t="s">
        <v>94</v>
      </c>
      <c r="D21" s="177"/>
      <c r="E21" s="865">
        <v>498586</v>
      </c>
      <c r="F21" s="181">
        <f t="shared" si="2"/>
        <v>2.4889097884641831E-2</v>
      </c>
      <c r="G21" s="184">
        <v>362564</v>
      </c>
      <c r="H21" s="863">
        <f t="shared" si="0"/>
        <v>1.967178496745179E-2</v>
      </c>
      <c r="I21" s="522">
        <f t="shared" si="1"/>
        <v>37.516686709105151</v>
      </c>
      <c r="J21" s="132"/>
      <c r="K21" s="59"/>
    </row>
    <row r="22" spans="1:11" ht="15" customHeight="1">
      <c r="A22" s="60"/>
      <c r="B22" s="299"/>
      <c r="C22" s="406" t="s">
        <v>95</v>
      </c>
      <c r="D22" s="177"/>
      <c r="E22" s="865">
        <v>160932</v>
      </c>
      <c r="F22" s="181">
        <f t="shared" si="2"/>
        <v>8.0336236893358004E-3</v>
      </c>
      <c r="G22" s="184">
        <v>163655</v>
      </c>
      <c r="H22" s="863">
        <f t="shared" si="0"/>
        <v>8.8794970511366905E-3</v>
      </c>
      <c r="I22" s="522">
        <f t="shared" si="1"/>
        <v>-1.6638660596987598</v>
      </c>
      <c r="J22" s="132"/>
      <c r="K22" s="59"/>
    </row>
    <row r="23" spans="1:11" ht="15" customHeight="1">
      <c r="A23" s="60"/>
      <c r="B23" s="408"/>
      <c r="C23" s="406" t="s">
        <v>96</v>
      </c>
      <c r="D23" s="177"/>
      <c r="E23" s="865">
        <v>49833</v>
      </c>
      <c r="F23" s="181">
        <f t="shared" si="2"/>
        <v>2.4876318526500072E-3</v>
      </c>
      <c r="G23" s="184">
        <v>61986</v>
      </c>
      <c r="H23" s="863">
        <f t="shared" si="0"/>
        <v>3.3632000501772562E-3</v>
      </c>
      <c r="I23" s="522">
        <f t="shared" si="1"/>
        <v>-19.606040073565001</v>
      </c>
      <c r="J23" s="132"/>
      <c r="K23" s="59"/>
    </row>
    <row r="24" spans="1:11" ht="15" customHeight="1">
      <c r="A24" s="59"/>
      <c r="B24" s="408"/>
      <c r="C24" s="406" t="s">
        <v>97</v>
      </c>
      <c r="D24" s="177"/>
      <c r="E24" s="865">
        <v>129683</v>
      </c>
      <c r="F24" s="181">
        <f t="shared" si="2"/>
        <v>6.4736933667892934E-3</v>
      </c>
      <c r="G24" s="184">
        <v>109075</v>
      </c>
      <c r="H24" s="863">
        <f t="shared" si="0"/>
        <v>5.9181274073675386E-3</v>
      </c>
      <c r="I24" s="522">
        <f t="shared" si="1"/>
        <v>18.893421957368783</v>
      </c>
      <c r="J24" s="132"/>
      <c r="K24" s="59"/>
    </row>
    <row r="25" spans="1:11" ht="15" customHeight="1">
      <c r="A25" s="59"/>
      <c r="B25" s="140"/>
      <c r="C25" s="406" t="s">
        <v>98</v>
      </c>
      <c r="D25" s="177"/>
      <c r="E25" s="865">
        <v>92994</v>
      </c>
      <c r="F25" s="181">
        <f t="shared" si="2"/>
        <v>4.6422016837303548E-3</v>
      </c>
      <c r="G25" s="184">
        <v>85917</v>
      </c>
      <c r="H25" s="863">
        <f t="shared" si="0"/>
        <v>4.661634219195937E-3</v>
      </c>
      <c r="I25" s="522">
        <f t="shared" si="1"/>
        <v>8.2370194490031032</v>
      </c>
      <c r="J25" s="132"/>
      <c r="K25" s="59"/>
    </row>
    <row r="26" spans="1:11" ht="15" customHeight="1">
      <c r="A26" s="59"/>
      <c r="B26" s="174"/>
      <c r="C26" s="406" t="s">
        <v>99</v>
      </c>
      <c r="D26" s="177"/>
      <c r="E26" s="865">
        <v>30532</v>
      </c>
      <c r="F26" s="181">
        <f t="shared" si="2"/>
        <v>1.5241381358760263E-3</v>
      </c>
      <c r="G26" s="184">
        <v>51817</v>
      </c>
      <c r="H26" s="863">
        <f t="shared" si="0"/>
        <v>2.8114564095123879E-3</v>
      </c>
      <c r="I26" s="522">
        <f t="shared" si="1"/>
        <v>-41.077252639095278</v>
      </c>
      <c r="J26" s="132"/>
      <c r="K26" s="59"/>
    </row>
    <row r="27" spans="1:11" ht="15" customHeight="1">
      <c r="A27" s="59"/>
      <c r="B27" s="174"/>
      <c r="C27" s="406" t="s">
        <v>100</v>
      </c>
      <c r="D27" s="177"/>
      <c r="E27" s="865">
        <v>87780</v>
      </c>
      <c r="F27" s="181">
        <f t="shared" si="2"/>
        <v>4.3819221003274459E-3</v>
      </c>
      <c r="G27" s="184">
        <v>77465</v>
      </c>
      <c r="H27" s="863">
        <f t="shared" si="0"/>
        <v>4.2030505579805305E-3</v>
      </c>
      <c r="I27" s="522">
        <f t="shared" si="1"/>
        <v>13.315690957206483</v>
      </c>
      <c r="J27" s="132"/>
      <c r="K27" s="59"/>
    </row>
    <row r="28" spans="1:11" ht="15" customHeight="1">
      <c r="A28" s="59"/>
      <c r="B28" s="174"/>
      <c r="C28" s="406" t="s">
        <v>101</v>
      </c>
      <c r="D28" s="177"/>
      <c r="E28" s="865">
        <v>41806</v>
      </c>
      <c r="F28" s="181">
        <f t="shared" si="2"/>
        <v>2.0869290877909455E-3</v>
      </c>
      <c r="G28" s="184">
        <v>32313</v>
      </c>
      <c r="H28" s="863">
        <f t="shared" si="0"/>
        <v>1.7532198112699268E-3</v>
      </c>
      <c r="I28" s="522">
        <f t="shared" si="1"/>
        <v>29.378268808219609</v>
      </c>
      <c r="J28" s="132"/>
      <c r="K28" s="59"/>
    </row>
    <row r="29" spans="1:11" ht="15" customHeight="1">
      <c r="A29" s="59"/>
      <c r="B29" s="174"/>
      <c r="C29" s="406" t="s">
        <v>102</v>
      </c>
      <c r="D29" s="179"/>
      <c r="E29" s="334">
        <f>E30-SUM(E7:E11,E17:E28)</f>
        <v>699261.9619999975</v>
      </c>
      <c r="F29" s="864">
        <f t="shared" si="2"/>
        <v>3.4906715028550007E-2</v>
      </c>
      <c r="G29" s="334">
        <f>G30-SUM(G7:G11,G17:G28)</f>
        <v>698491.95199999958</v>
      </c>
      <c r="H29" s="864">
        <f t="shared" si="0"/>
        <v>3.7898366857271132E-2</v>
      </c>
      <c r="I29" s="869">
        <f t="shared" si="1"/>
        <v>0.1102389222657596</v>
      </c>
      <c r="J29" s="132"/>
      <c r="K29" s="59"/>
    </row>
    <row r="30" spans="1:11" ht="15" customHeight="1">
      <c r="A30" s="59"/>
      <c r="B30" s="174"/>
      <c r="C30" s="13" t="s">
        <v>103</v>
      </c>
      <c r="D30" s="14"/>
      <c r="E30" s="861">
        <v>20032305</v>
      </c>
      <c r="F30" s="876">
        <f t="shared" si="2"/>
        <v>1</v>
      </c>
      <c r="G30" s="1223">
        <v>18430661</v>
      </c>
      <c r="H30" s="876">
        <f t="shared" si="0"/>
        <v>1</v>
      </c>
      <c r="I30" s="870">
        <f t="shared" si="1"/>
        <v>8.6901061226181788</v>
      </c>
      <c r="J30" s="132"/>
      <c r="K30" s="59"/>
    </row>
    <row r="31" spans="1:11">
      <c r="A31" s="59"/>
      <c r="B31" s="113"/>
      <c r="C31" s="1292" t="s">
        <v>104</v>
      </c>
      <c r="D31" s="1292"/>
      <c r="E31" s="1292"/>
      <c r="F31" s="1292"/>
      <c r="G31" s="175"/>
      <c r="H31" s="175"/>
      <c r="I31" s="175"/>
      <c r="J31" s="133"/>
      <c r="K31" s="59"/>
    </row>
    <row r="32" spans="1:11" ht="15" customHeight="1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</row>
  </sheetData>
  <mergeCells count="9">
    <mergeCell ref="A1:K1"/>
    <mergeCell ref="C31:F31"/>
    <mergeCell ref="B2:J2"/>
    <mergeCell ref="C5:D6"/>
    <mergeCell ref="E5:F5"/>
    <mergeCell ref="G5:H5"/>
    <mergeCell ref="I5:I6"/>
    <mergeCell ref="B3:J3"/>
    <mergeCell ref="B4:J4"/>
  </mergeCells>
  <conditionalFormatting sqref="I7:I30">
    <cfRule type="cellIs" dxfId="0" priority="2" stopIfTrue="1" operator="lessThan">
      <formula>0</formula>
    </cfRule>
  </conditionalFormatting>
  <hyperlinks>
    <hyperlink ref="D31:F31" r:id="rId1" display="Fonte: AgroStat Brasil a partir de dados da SECEX/MDIC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L26" sqref="L26"/>
    </sheetView>
  </sheetViews>
  <sheetFormatPr defaultRowHeight="12.75"/>
  <cols>
    <col min="1" max="1" width="2.7109375" customWidth="1"/>
    <col min="2" max="2" width="12.140625" customWidth="1"/>
    <col min="3" max="3" width="22.42578125" customWidth="1"/>
    <col min="4" max="9" width="13.7109375" customWidth="1"/>
    <col min="10" max="10" width="10.5703125" customWidth="1"/>
    <col min="11" max="11" width="2.7109375" customWidth="1"/>
  </cols>
  <sheetData>
    <row r="1" spans="1:11" ht="15" customHeight="1">
      <c r="A1" s="1232" t="s">
        <v>453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</row>
    <row r="2" spans="1:11" ht="18" customHeight="1">
      <c r="A2" s="60"/>
      <c r="B2" s="296"/>
      <c r="C2" s="410"/>
      <c r="D2" s="410"/>
      <c r="E2" s="410"/>
      <c r="F2" s="410"/>
      <c r="G2" s="410"/>
      <c r="H2" s="410"/>
      <c r="I2" s="410"/>
      <c r="J2" s="297"/>
      <c r="K2" s="60"/>
    </row>
    <row r="3" spans="1:11" ht="18" customHeight="1">
      <c r="A3" s="60"/>
      <c r="B3" s="174"/>
      <c r="C3" s="127"/>
      <c r="D3" s="127"/>
      <c r="E3" s="127"/>
      <c r="F3" s="127"/>
      <c r="G3" s="127"/>
      <c r="H3" s="127"/>
      <c r="I3" s="127"/>
      <c r="J3" s="132"/>
      <c r="K3" s="60"/>
    </row>
    <row r="4" spans="1:11" ht="18" customHeight="1">
      <c r="A4" s="60"/>
      <c r="B4" s="1311" t="s">
        <v>157</v>
      </c>
      <c r="C4" s="1312"/>
      <c r="D4" s="1312"/>
      <c r="E4" s="1312"/>
      <c r="F4" s="1312"/>
      <c r="G4" s="1312"/>
      <c r="H4" s="1312"/>
      <c r="I4" s="1312"/>
      <c r="J4" s="1313"/>
      <c r="K4" s="59"/>
    </row>
    <row r="5" spans="1:11" ht="24.75" customHeight="1" thickBot="1">
      <c r="A5" s="60"/>
      <c r="B5" s="1311"/>
      <c r="C5" s="1312"/>
      <c r="D5" s="1312"/>
      <c r="E5" s="1312"/>
      <c r="F5" s="1312"/>
      <c r="G5" s="1312"/>
      <c r="H5" s="1312"/>
      <c r="I5" s="1312"/>
      <c r="J5" s="1313"/>
      <c r="K5" s="59"/>
    </row>
    <row r="6" spans="1:11" ht="18" customHeight="1">
      <c r="A6" s="60"/>
      <c r="B6" s="405"/>
      <c r="C6" s="1307" t="s">
        <v>84</v>
      </c>
      <c r="D6" s="1314" t="s">
        <v>555</v>
      </c>
      <c r="E6" s="1310"/>
      <c r="F6" s="1314" t="s">
        <v>556</v>
      </c>
      <c r="G6" s="1310"/>
      <c r="H6" s="1315" t="s">
        <v>105</v>
      </c>
      <c r="I6" s="1316"/>
      <c r="J6" s="132"/>
      <c r="K6" s="59"/>
    </row>
    <row r="7" spans="1:11" ht="18" customHeight="1">
      <c r="A7" s="60"/>
      <c r="B7" s="405"/>
      <c r="C7" s="1308"/>
      <c r="D7" s="323" t="s">
        <v>106</v>
      </c>
      <c r="E7" s="323" t="s">
        <v>344</v>
      </c>
      <c r="F7" s="323" t="s">
        <v>106</v>
      </c>
      <c r="G7" s="323" t="s">
        <v>344</v>
      </c>
      <c r="H7" s="1317" t="s">
        <v>510</v>
      </c>
      <c r="I7" s="1318"/>
      <c r="J7" s="132"/>
      <c r="K7" s="59"/>
    </row>
    <row r="8" spans="1:11" ht="18" customHeight="1" thickBot="1">
      <c r="A8" s="60"/>
      <c r="B8" s="405"/>
      <c r="C8" s="241"/>
      <c r="D8" s="324" t="s">
        <v>111</v>
      </c>
      <c r="E8" s="324" t="s">
        <v>110</v>
      </c>
      <c r="F8" s="324" t="s">
        <v>111</v>
      </c>
      <c r="G8" s="324" t="s">
        <v>110</v>
      </c>
      <c r="H8" s="324" t="s">
        <v>106</v>
      </c>
      <c r="I8" s="325" t="s">
        <v>344</v>
      </c>
      <c r="J8" s="132"/>
      <c r="K8" s="59"/>
    </row>
    <row r="9" spans="1:11" ht="18" customHeight="1">
      <c r="A9" s="60"/>
      <c r="B9" s="299"/>
      <c r="C9" s="565" t="s">
        <v>13</v>
      </c>
      <c r="D9" s="858">
        <v>0</v>
      </c>
      <c r="E9" s="858">
        <v>0</v>
      </c>
      <c r="F9" s="858">
        <v>149</v>
      </c>
      <c r="G9" s="858">
        <v>0.25</v>
      </c>
      <c r="H9" s="566">
        <v>0</v>
      </c>
      <c r="I9" s="567">
        <v>0</v>
      </c>
      <c r="J9" s="132"/>
      <c r="K9" s="59"/>
    </row>
    <row r="10" spans="1:11" ht="18" customHeight="1">
      <c r="A10" s="60"/>
      <c r="B10" s="299"/>
      <c r="C10" s="565" t="s">
        <v>112</v>
      </c>
      <c r="D10" s="859">
        <v>291270</v>
      </c>
      <c r="E10" s="859">
        <v>1370.02</v>
      </c>
      <c r="F10" s="859">
        <v>1770</v>
      </c>
      <c r="G10" s="859">
        <v>2.77</v>
      </c>
      <c r="H10" s="566">
        <v>0</v>
      </c>
      <c r="I10" s="567">
        <v>0</v>
      </c>
      <c r="J10" s="132"/>
      <c r="K10" s="59"/>
    </row>
    <row r="11" spans="1:11" ht="18" customHeight="1">
      <c r="A11" s="60"/>
      <c r="B11" s="299"/>
      <c r="C11" s="565" t="s">
        <v>158</v>
      </c>
      <c r="D11" s="859">
        <v>11311597</v>
      </c>
      <c r="E11" s="859">
        <v>15997.25</v>
      </c>
      <c r="F11" s="859">
        <v>12007556</v>
      </c>
      <c r="G11" s="859">
        <v>11929.67</v>
      </c>
      <c r="H11" s="568">
        <f>SUM(D11-F11)*100/F11</f>
        <v>-5.7960087798049829</v>
      </c>
      <c r="I11" s="569">
        <f>SUM(E11-G11)*100/G11</f>
        <v>34.096332924548626</v>
      </c>
      <c r="J11" s="132"/>
      <c r="K11" s="59"/>
    </row>
    <row r="12" spans="1:11" ht="18" customHeight="1">
      <c r="A12" s="60"/>
      <c r="B12" s="299"/>
      <c r="C12" s="570" t="s">
        <v>114</v>
      </c>
      <c r="D12" s="859">
        <v>1794653</v>
      </c>
      <c r="E12" s="859">
        <v>8229.52</v>
      </c>
      <c r="F12" s="859">
        <v>3047256</v>
      </c>
      <c r="G12" s="859">
        <v>10821.03</v>
      </c>
      <c r="H12" s="572">
        <f>SUM(D12-F12)*100/F12</f>
        <v>-41.105932681730714</v>
      </c>
      <c r="I12" s="573">
        <f>SUM(E12-G12)*100/G12</f>
        <v>-23.948829270411412</v>
      </c>
      <c r="J12" s="132"/>
      <c r="K12" s="59"/>
    </row>
    <row r="13" spans="1:11" ht="18" customHeight="1" thickBot="1">
      <c r="A13" s="60"/>
      <c r="B13" s="299"/>
      <c r="C13" s="812" t="s">
        <v>278</v>
      </c>
      <c r="D13" s="860">
        <v>0</v>
      </c>
      <c r="E13" s="860">
        <v>0</v>
      </c>
      <c r="F13" s="860">
        <v>1008</v>
      </c>
      <c r="G13" s="860">
        <v>8.67</v>
      </c>
      <c r="H13" s="578">
        <v>0</v>
      </c>
      <c r="I13" s="579">
        <v>0</v>
      </c>
      <c r="J13" s="132"/>
      <c r="K13" s="59"/>
    </row>
    <row r="14" spans="1:11" ht="18" customHeight="1" thickBot="1">
      <c r="A14" s="60"/>
      <c r="B14" s="299"/>
      <c r="C14" s="326" t="s">
        <v>115</v>
      </c>
      <c r="D14" s="580">
        <f>SUM(D9:D13)</f>
        <v>13397520</v>
      </c>
      <c r="E14" s="580">
        <f>SUM(E9:E13)</f>
        <v>25596.79</v>
      </c>
      <c r="F14" s="580">
        <f>SUM(F9:F13)</f>
        <v>15057739</v>
      </c>
      <c r="G14" s="580">
        <f>SUM(G9:G13)</f>
        <v>22762.39</v>
      </c>
      <c r="H14" s="581">
        <f>SUM(D14-F14)*100/F14</f>
        <v>-11.025685861602462</v>
      </c>
      <c r="I14" s="582">
        <f>SUM(E14-G14)*100/G14</f>
        <v>12.452119483059562</v>
      </c>
      <c r="J14" s="132"/>
      <c r="K14" s="59"/>
    </row>
    <row r="15" spans="1:11" ht="18" customHeight="1" thickBot="1">
      <c r="A15" s="60"/>
      <c r="B15" s="299"/>
      <c r="C15" s="207"/>
      <c r="D15" s="207"/>
      <c r="E15" s="207"/>
      <c r="F15" s="208"/>
      <c r="G15" s="208"/>
      <c r="H15" s="208"/>
      <c r="I15" s="209"/>
      <c r="J15" s="132"/>
      <c r="K15" s="59"/>
    </row>
    <row r="16" spans="1:11" ht="18" customHeight="1">
      <c r="A16" s="60"/>
      <c r="B16" s="299"/>
      <c r="C16" s="1307" t="s">
        <v>84</v>
      </c>
      <c r="D16" s="1309" t="s">
        <v>165</v>
      </c>
      <c r="E16" s="1310"/>
      <c r="F16" s="1309" t="s">
        <v>203</v>
      </c>
      <c r="G16" s="1310"/>
      <c r="H16" s="1309" t="s">
        <v>500</v>
      </c>
      <c r="I16" s="1310"/>
      <c r="J16" s="132"/>
      <c r="K16" s="59"/>
    </row>
    <row r="17" spans="1:11" ht="18" customHeight="1">
      <c r="A17" s="60"/>
      <c r="B17" s="299"/>
      <c r="C17" s="1308"/>
      <c r="D17" s="323" t="s">
        <v>106</v>
      </c>
      <c r="E17" s="323" t="s">
        <v>344</v>
      </c>
      <c r="F17" s="323" t="s">
        <v>106</v>
      </c>
      <c r="G17" s="323" t="s">
        <v>344</v>
      </c>
      <c r="H17" s="323" t="s">
        <v>106</v>
      </c>
      <c r="I17" s="452" t="s">
        <v>344</v>
      </c>
      <c r="J17" s="132"/>
      <c r="K17" s="59"/>
    </row>
    <row r="18" spans="1:11" ht="18" customHeight="1" thickBot="1">
      <c r="A18" s="60"/>
      <c r="B18" s="299"/>
      <c r="C18" s="241"/>
      <c r="D18" s="324" t="s">
        <v>111</v>
      </c>
      <c r="E18" s="324" t="s">
        <v>110</v>
      </c>
      <c r="F18" s="324" t="s">
        <v>111</v>
      </c>
      <c r="G18" s="324" t="s">
        <v>110</v>
      </c>
      <c r="H18" s="324" t="s">
        <v>111</v>
      </c>
      <c r="I18" s="325" t="s">
        <v>110</v>
      </c>
      <c r="J18" s="132"/>
      <c r="K18" s="59"/>
    </row>
    <row r="19" spans="1:11" ht="18" customHeight="1">
      <c r="A19" s="60"/>
      <c r="B19" s="299"/>
      <c r="C19" s="15" t="s">
        <v>13</v>
      </c>
      <c r="D19" s="16">
        <v>139325</v>
      </c>
      <c r="E19" s="16">
        <v>500</v>
      </c>
      <c r="F19" s="556">
        <v>35635</v>
      </c>
      <c r="G19" s="556">
        <v>256.95</v>
      </c>
      <c r="H19" s="556">
        <v>28836</v>
      </c>
      <c r="I19" s="567">
        <v>942.63400000000001</v>
      </c>
      <c r="J19" s="127"/>
      <c r="K19" s="117"/>
    </row>
    <row r="20" spans="1:11" ht="18" customHeight="1">
      <c r="A20" s="60"/>
      <c r="B20" s="299"/>
      <c r="C20" s="15" t="s">
        <v>112</v>
      </c>
      <c r="D20" s="16">
        <v>361438</v>
      </c>
      <c r="E20" s="16">
        <v>435</v>
      </c>
      <c r="F20" s="556">
        <v>95261</v>
      </c>
      <c r="G20" s="556">
        <v>577.70000000000005</v>
      </c>
      <c r="H20" s="556">
        <v>359174</v>
      </c>
      <c r="I20" s="567">
        <v>1506</v>
      </c>
      <c r="J20" s="127"/>
      <c r="K20" s="117"/>
    </row>
    <row r="21" spans="1:11" ht="18" customHeight="1">
      <c r="A21" s="60"/>
      <c r="B21" s="299"/>
      <c r="C21" s="15" t="s">
        <v>158</v>
      </c>
      <c r="D21" s="16">
        <v>32092593</v>
      </c>
      <c r="E21" s="16">
        <v>32780</v>
      </c>
      <c r="F21" s="556">
        <v>47884086</v>
      </c>
      <c r="G21" s="556">
        <v>48577.17</v>
      </c>
      <c r="H21" s="556">
        <v>67041713</v>
      </c>
      <c r="I21" s="567">
        <v>80517.600000000006</v>
      </c>
      <c r="J21" s="127"/>
      <c r="K21" s="117"/>
    </row>
    <row r="22" spans="1:11" ht="18" customHeight="1">
      <c r="A22" s="60"/>
      <c r="B22" s="299"/>
      <c r="C22" s="240" t="s">
        <v>114</v>
      </c>
      <c r="D22" s="451">
        <v>7538246</v>
      </c>
      <c r="E22" s="451">
        <v>28903</v>
      </c>
      <c r="F22" s="571">
        <v>11985311</v>
      </c>
      <c r="G22" s="571">
        <v>43141.06</v>
      </c>
      <c r="H22" s="571">
        <v>16590835</v>
      </c>
      <c r="I22" s="573">
        <v>66068.639999999999</v>
      </c>
      <c r="J22" s="127"/>
      <c r="K22" s="117"/>
    </row>
    <row r="23" spans="1:11" ht="18" customHeight="1" thickBot="1">
      <c r="A23" s="60"/>
      <c r="B23" s="299"/>
      <c r="C23" s="244" t="s">
        <v>278</v>
      </c>
      <c r="D23" s="16">
        <v>1662</v>
      </c>
      <c r="E23" s="16">
        <v>6</v>
      </c>
      <c r="F23" s="559">
        <v>1260</v>
      </c>
      <c r="G23" s="559">
        <v>8.23</v>
      </c>
      <c r="H23" s="559">
        <v>2389</v>
      </c>
      <c r="I23" s="579">
        <v>20.3</v>
      </c>
      <c r="J23" s="127"/>
      <c r="K23" s="117"/>
    </row>
    <row r="24" spans="1:11" ht="18" customHeight="1" thickBot="1">
      <c r="A24" s="60"/>
      <c r="B24" s="299"/>
      <c r="C24" s="326" t="s">
        <v>115</v>
      </c>
      <c r="D24" s="337">
        <f>SUM(D19:D23)</f>
        <v>40133264</v>
      </c>
      <c r="E24" s="337">
        <f>SUM(E19:E23)</f>
        <v>62624</v>
      </c>
      <c r="F24" s="337">
        <f>SUM(D19:D23)</f>
        <v>40133264</v>
      </c>
      <c r="G24" s="337">
        <f>SUM(E19:E23)</f>
        <v>62624</v>
      </c>
      <c r="H24" s="453">
        <f>SUM(H19:H23)</f>
        <v>84022947</v>
      </c>
      <c r="I24" s="454">
        <f>SUM(I19:I23)</f>
        <v>149055.174</v>
      </c>
      <c r="J24" s="132"/>
      <c r="K24" s="59"/>
    </row>
    <row r="25" spans="1:11" ht="18" customHeight="1">
      <c r="A25" s="59"/>
      <c r="B25" s="299"/>
      <c r="C25" s="426" t="s">
        <v>116</v>
      </c>
      <c r="D25" s="207"/>
      <c r="E25" s="207"/>
      <c r="F25" s="208"/>
      <c r="G25" s="208"/>
      <c r="H25" s="208"/>
      <c r="I25" s="209"/>
      <c r="J25" s="132"/>
      <c r="K25" s="59"/>
    </row>
    <row r="26" spans="1:11" ht="9" customHeight="1">
      <c r="A26" s="59"/>
      <c r="B26" s="299"/>
      <c r="C26" s="426" t="s">
        <v>335</v>
      </c>
      <c r="D26" s="207"/>
      <c r="E26" s="207"/>
      <c r="F26" s="208"/>
      <c r="G26" s="208"/>
      <c r="H26" s="208"/>
      <c r="I26" s="209"/>
      <c r="J26" s="132"/>
      <c r="K26" s="59"/>
    </row>
    <row r="27" spans="1:11" ht="8.25" customHeight="1">
      <c r="A27" s="59"/>
      <c r="B27" s="113"/>
      <c r="C27" s="455"/>
      <c r="D27" s="456"/>
      <c r="E27" s="456"/>
      <c r="F27" s="457"/>
      <c r="G27" s="457"/>
      <c r="H27" s="457"/>
      <c r="I27" s="458"/>
      <c r="J27" s="133"/>
      <c r="K27" s="59"/>
    </row>
    <row r="28" spans="1:11" ht="1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>
      <c r="C29" s="3"/>
      <c r="D29" s="3"/>
      <c r="E29" s="3"/>
      <c r="F29" s="3"/>
      <c r="G29" s="3"/>
    </row>
    <row r="30" spans="1:11">
      <c r="C30" s="3"/>
      <c r="D30" s="3"/>
      <c r="E30" s="3"/>
      <c r="F30" s="3"/>
      <c r="G30" s="3"/>
    </row>
  </sheetData>
  <mergeCells count="12">
    <mergeCell ref="A1:K1"/>
    <mergeCell ref="C16:C17"/>
    <mergeCell ref="D16:E16"/>
    <mergeCell ref="F16:G16"/>
    <mergeCell ref="H16:I16"/>
    <mergeCell ref="B4:J4"/>
    <mergeCell ref="C6:C7"/>
    <mergeCell ref="D6:E6"/>
    <mergeCell ref="F6:G6"/>
    <mergeCell ref="B5:J5"/>
    <mergeCell ref="H6:I6"/>
    <mergeCell ref="H7:I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activeCell="P11" sqref="P11"/>
    </sheetView>
  </sheetViews>
  <sheetFormatPr defaultRowHeight="12.75"/>
  <cols>
    <col min="1" max="1" width="3.28515625" customWidth="1"/>
    <col min="2" max="2" width="11.7109375" customWidth="1"/>
    <col min="3" max="3" width="22.42578125" customWidth="1"/>
    <col min="4" max="5" width="11.28515625" bestFit="1" customWidth="1"/>
    <col min="6" max="6" width="10.140625" customWidth="1"/>
    <col min="7" max="8" width="11.28515625" bestFit="1" customWidth="1"/>
    <col min="9" max="9" width="10.140625" bestFit="1" customWidth="1"/>
    <col min="10" max="10" width="8.140625" bestFit="1" customWidth="1"/>
    <col min="11" max="11" width="10.28515625" bestFit="1" customWidth="1"/>
    <col min="12" max="12" width="9.5703125" bestFit="1" customWidth="1"/>
    <col min="13" max="13" width="11.7109375" customWidth="1"/>
    <col min="14" max="14" width="3.5703125" customWidth="1"/>
  </cols>
  <sheetData>
    <row r="1" spans="1:14" ht="15" customHeight="1">
      <c r="A1" s="1232" t="s">
        <v>454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</row>
    <row r="2" spans="1:14" ht="18" customHeight="1">
      <c r="A2" s="62"/>
      <c r="B2" s="296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297"/>
      <c r="N2" s="117"/>
    </row>
    <row r="3" spans="1:14" ht="18" customHeight="1">
      <c r="A3" s="62"/>
      <c r="B3" s="1293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5"/>
      <c r="N3" s="59"/>
    </row>
    <row r="4" spans="1:14" ht="18" customHeight="1">
      <c r="A4" s="62"/>
      <c r="B4" s="816"/>
      <c r="C4" s="816"/>
      <c r="D4" s="816"/>
      <c r="E4" s="816"/>
      <c r="F4" s="816"/>
      <c r="G4" s="816"/>
      <c r="H4" s="816"/>
      <c r="I4" s="816"/>
      <c r="J4" s="816"/>
      <c r="K4" s="816"/>
      <c r="L4" s="816"/>
      <c r="M4" s="817"/>
      <c r="N4" s="59"/>
    </row>
    <row r="5" spans="1:14" ht="18" customHeight="1">
      <c r="A5" s="62"/>
      <c r="B5" s="816"/>
      <c r="C5" s="816"/>
      <c r="D5" s="816"/>
      <c r="E5" s="816"/>
      <c r="F5" s="816"/>
      <c r="G5" s="816"/>
      <c r="H5" s="816"/>
      <c r="I5" s="816"/>
      <c r="J5" s="816"/>
      <c r="K5" s="816"/>
      <c r="L5" s="816"/>
      <c r="M5" s="817"/>
      <c r="N5" s="59"/>
    </row>
    <row r="6" spans="1:14" ht="18" customHeight="1">
      <c r="A6" s="62"/>
      <c r="B6" s="816"/>
      <c r="C6" s="816"/>
      <c r="D6" s="816"/>
      <c r="E6" s="816"/>
      <c r="F6" s="816"/>
      <c r="G6" s="816"/>
      <c r="H6" s="816"/>
      <c r="I6" s="816"/>
      <c r="J6" s="816"/>
      <c r="K6" s="816"/>
      <c r="L6" s="816"/>
      <c r="M6" s="817"/>
      <c r="N6" s="59"/>
    </row>
    <row r="7" spans="1:14" ht="18" customHeight="1">
      <c r="A7" s="62"/>
      <c r="B7" s="100"/>
      <c r="C7" s="1319"/>
      <c r="D7" s="1319"/>
      <c r="E7" s="304"/>
      <c r="F7" s="1319"/>
      <c r="G7" s="1319"/>
      <c r="H7" s="304"/>
      <c r="I7" s="1319"/>
      <c r="J7" s="1319"/>
      <c r="K7" s="1319"/>
      <c r="L7" s="304"/>
      <c r="M7" s="132"/>
      <c r="N7" s="59"/>
    </row>
    <row r="8" spans="1:14" ht="18" customHeight="1">
      <c r="A8" s="62"/>
      <c r="B8" s="100"/>
      <c r="C8" s="1319"/>
      <c r="D8" s="1319"/>
      <c r="E8" s="304"/>
      <c r="F8" s="304"/>
      <c r="G8" s="304"/>
      <c r="H8" s="304"/>
      <c r="I8" s="304"/>
      <c r="J8" s="304"/>
      <c r="K8" s="1319"/>
      <c r="L8" s="304"/>
      <c r="M8" s="132"/>
      <c r="N8" s="59"/>
    </row>
    <row r="9" spans="1:14" ht="16.5" customHeight="1">
      <c r="A9" s="62"/>
      <c r="B9" s="101"/>
      <c r="C9" s="1324" t="s">
        <v>277</v>
      </c>
      <c r="D9" s="1324"/>
      <c r="E9" s="1324"/>
      <c r="F9" s="1324"/>
      <c r="G9" s="1324"/>
      <c r="H9" s="1324"/>
      <c r="I9" s="1324"/>
      <c r="J9" s="1324"/>
      <c r="K9" s="1324"/>
      <c r="L9" s="1324"/>
      <c r="M9" s="132"/>
      <c r="N9" s="59"/>
    </row>
    <row r="10" spans="1:14" ht="14.1" customHeight="1" thickBot="1">
      <c r="A10" s="62"/>
      <c r="B10" s="101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132"/>
      <c r="N10" s="59"/>
    </row>
    <row r="11" spans="1:14" ht="20.100000000000001" customHeight="1">
      <c r="A11" s="62"/>
      <c r="B11" s="101"/>
      <c r="C11" s="1307" t="s">
        <v>84</v>
      </c>
      <c r="D11" s="1320" t="s">
        <v>555</v>
      </c>
      <c r="E11" s="1321"/>
      <c r="F11" s="1322"/>
      <c r="G11" s="1320" t="s">
        <v>556</v>
      </c>
      <c r="H11" s="1321"/>
      <c r="I11" s="1322"/>
      <c r="J11" s="1315" t="s">
        <v>303</v>
      </c>
      <c r="K11" s="1323"/>
      <c r="L11" s="1323"/>
      <c r="M11" s="132"/>
      <c r="N11" s="59"/>
    </row>
    <row r="12" spans="1:14" ht="20.100000000000001" customHeight="1">
      <c r="A12" s="62"/>
      <c r="B12" s="101"/>
      <c r="C12" s="1308"/>
      <c r="D12" s="323" t="s">
        <v>106</v>
      </c>
      <c r="E12" s="323" t="s">
        <v>107</v>
      </c>
      <c r="F12" s="239" t="s">
        <v>276</v>
      </c>
      <c r="G12" s="323" t="s">
        <v>106</v>
      </c>
      <c r="H12" s="323" t="s">
        <v>107</v>
      </c>
      <c r="I12" s="239" t="s">
        <v>276</v>
      </c>
      <c r="J12" s="1317" t="s">
        <v>510</v>
      </c>
      <c r="K12" s="1318"/>
      <c r="L12" s="1318"/>
      <c r="M12" s="132"/>
      <c r="N12" s="59"/>
    </row>
    <row r="13" spans="1:14" ht="20.100000000000001" customHeight="1" thickBot="1">
      <c r="A13" s="62"/>
      <c r="B13" s="101"/>
      <c r="C13" s="241"/>
      <c r="D13" s="324" t="s">
        <v>279</v>
      </c>
      <c r="E13" s="324" t="s">
        <v>110</v>
      </c>
      <c r="F13" s="242" t="s">
        <v>111</v>
      </c>
      <c r="G13" s="324" t="s">
        <v>279</v>
      </c>
      <c r="H13" s="324" t="s">
        <v>110</v>
      </c>
      <c r="I13" s="242" t="s">
        <v>111</v>
      </c>
      <c r="J13" s="324" t="s">
        <v>106</v>
      </c>
      <c r="K13" s="325" t="s">
        <v>107</v>
      </c>
      <c r="L13" s="243" t="s">
        <v>276</v>
      </c>
      <c r="M13" s="132"/>
      <c r="N13" s="59"/>
    </row>
    <row r="14" spans="1:14" ht="20.100000000000001" customHeight="1">
      <c r="A14" s="62"/>
      <c r="B14" s="101"/>
      <c r="C14" s="240" t="s">
        <v>13</v>
      </c>
      <c r="D14" s="556">
        <f>'Exp. Verde'!C20</f>
        <v>1166304.1170000001</v>
      </c>
      <c r="E14" s="556">
        <f>'Exp. Verde'!D20</f>
        <v>7929137.6830000002</v>
      </c>
      <c r="F14" s="557">
        <f t="shared" ref="F14:F19" si="0">(D14*1000)/E14</f>
        <v>147.09091500587076</v>
      </c>
      <c r="G14" s="556">
        <f>'Exp. Verde'!F10</f>
        <v>1559478</v>
      </c>
      <c r="H14" s="556">
        <f>'Exp. Verde'!$G$10</f>
        <v>8098600.0033333339</v>
      </c>
      <c r="I14" s="558">
        <f t="shared" ref="I14:I19" si="1">(G14*1000)/H14</f>
        <v>192.56143029142424</v>
      </c>
      <c r="J14" s="931">
        <f t="shared" ref="J14:L19" si="2">SUM(D14-G14)*100/G14</f>
        <v>-25.211890324839459</v>
      </c>
      <c r="K14" s="935">
        <f t="shared" si="2"/>
        <v>-2.0924890754400023</v>
      </c>
      <c r="L14" s="932">
        <f t="shared" si="2"/>
        <v>-23.613511395681886</v>
      </c>
      <c r="M14" s="132"/>
      <c r="N14" s="59"/>
    </row>
    <row r="15" spans="1:14" ht="20.100000000000001" customHeight="1">
      <c r="A15" s="62"/>
      <c r="B15" s="101"/>
      <c r="C15" s="15" t="s">
        <v>112</v>
      </c>
      <c r="D15" s="556">
        <f>'Exp. Solúvel'!C20</f>
        <v>130233.25899999999</v>
      </c>
      <c r="E15" s="556">
        <f>'Exp. Solúvel'!D20</f>
        <v>875087.63299999991</v>
      </c>
      <c r="F15" s="557">
        <f t="shared" si="0"/>
        <v>148.82310535406685</v>
      </c>
      <c r="G15" s="556">
        <f>'Exp. Solúvel'!F10</f>
        <v>132733</v>
      </c>
      <c r="H15" s="556">
        <f>'Exp. Solúvel'!G10</f>
        <v>754780</v>
      </c>
      <c r="I15" s="558">
        <f t="shared" si="1"/>
        <v>175.85654097882826</v>
      </c>
      <c r="J15" s="931">
        <f t="shared" si="2"/>
        <v>-1.8832852418012167</v>
      </c>
      <c r="K15" s="935">
        <f t="shared" si="2"/>
        <v>15.939430430059078</v>
      </c>
      <c r="L15" s="932">
        <f t="shared" si="2"/>
        <v>-15.372436802345623</v>
      </c>
      <c r="M15" s="132"/>
      <c r="N15" s="59"/>
    </row>
    <row r="16" spans="1:14" ht="20.100000000000001" customHeight="1">
      <c r="A16" s="62"/>
      <c r="B16" s="101"/>
      <c r="C16" s="15" t="s">
        <v>158</v>
      </c>
      <c r="D16" s="556">
        <f>'Exp. Torrado'!C20</f>
        <v>2308.6790000000001</v>
      </c>
      <c r="E16" s="556">
        <f>'Exp. Torrado'!D20</f>
        <v>8145.2719999999999</v>
      </c>
      <c r="F16" s="557">
        <f t="shared" si="0"/>
        <v>283.43792570708507</v>
      </c>
      <c r="G16" s="556">
        <f>'Exp. Torrado'!F10</f>
        <v>2360</v>
      </c>
      <c r="H16" s="556">
        <f>'Exp. Torrado'!G10</f>
        <v>7675.5</v>
      </c>
      <c r="I16" s="558">
        <f t="shared" si="1"/>
        <v>307.47182593967818</v>
      </c>
      <c r="J16" s="931">
        <f t="shared" si="2"/>
        <v>-2.174618644067793</v>
      </c>
      <c r="K16" s="935">
        <f t="shared" si="2"/>
        <v>6.1204090938701059</v>
      </c>
      <c r="L16" s="932">
        <f t="shared" si="2"/>
        <v>-7.8166186964096802</v>
      </c>
      <c r="M16" s="132"/>
      <c r="N16" s="59"/>
    </row>
    <row r="17" spans="1:14" ht="20.100000000000001" customHeight="1">
      <c r="A17" s="62"/>
      <c r="B17" s="101"/>
      <c r="C17" s="15" t="s">
        <v>114</v>
      </c>
      <c r="D17" s="556">
        <f>'Exp. Extrato'!C20</f>
        <v>7071.3959999999997</v>
      </c>
      <c r="E17" s="556">
        <f>'Exp. Extrato'!D20</f>
        <v>60118.803</v>
      </c>
      <c r="F17" s="557">
        <f t="shared" si="0"/>
        <v>117.62369919441011</v>
      </c>
      <c r="G17" s="556">
        <f>'Exp. Extrato'!F10</f>
        <v>9782</v>
      </c>
      <c r="H17" s="556">
        <f>'Exp. Extrato'!G10</f>
        <v>72236.666666666672</v>
      </c>
      <c r="I17" s="558">
        <f t="shared" si="1"/>
        <v>135.41599372433205</v>
      </c>
      <c r="J17" s="931">
        <f t="shared" si="2"/>
        <v>-27.710120629728074</v>
      </c>
      <c r="K17" s="935">
        <f t="shared" si="2"/>
        <v>-16.775225416455175</v>
      </c>
      <c r="L17" s="932">
        <f t="shared" si="2"/>
        <v>-13.138990484493236</v>
      </c>
      <c r="M17" s="132"/>
      <c r="N17" s="59"/>
    </row>
    <row r="18" spans="1:14" ht="20.100000000000001" customHeight="1" thickBot="1">
      <c r="A18" s="62"/>
      <c r="B18" s="101"/>
      <c r="C18" s="244" t="s">
        <v>275</v>
      </c>
      <c r="D18" s="559">
        <v>7.5869999999999997</v>
      </c>
      <c r="E18" s="559">
        <v>61.54</v>
      </c>
      <c r="F18" s="557">
        <f t="shared" si="0"/>
        <v>123.28566785830354</v>
      </c>
      <c r="G18" s="559">
        <v>17.047999999999998</v>
      </c>
      <c r="H18" s="559">
        <v>31.72</v>
      </c>
      <c r="I18" s="558">
        <f t="shared" si="1"/>
        <v>537.4527112232031</v>
      </c>
      <c r="J18" s="931">
        <f t="shared" si="2"/>
        <v>-55.496245893946501</v>
      </c>
      <c r="K18" s="935">
        <f t="shared" si="2"/>
        <v>94.010088272383356</v>
      </c>
      <c r="L18" s="932">
        <f t="shared" si="2"/>
        <v>-77.06111341819927</v>
      </c>
      <c r="M18" s="132"/>
      <c r="N18" s="59"/>
    </row>
    <row r="19" spans="1:14" ht="20.100000000000001" customHeight="1" thickBot="1">
      <c r="A19" s="62"/>
      <c r="B19" s="101"/>
      <c r="C19" s="321" t="s">
        <v>115</v>
      </c>
      <c r="D19" s="560">
        <f>SUM(D14:D18)</f>
        <v>1305925.0380000002</v>
      </c>
      <c r="E19" s="560">
        <f>SUM(E14:E18)</f>
        <v>8872550.930999998</v>
      </c>
      <c r="F19" s="561">
        <f t="shared" si="0"/>
        <v>147.18709964652899</v>
      </c>
      <c r="G19" s="560">
        <f>SUM(G14:G18)</f>
        <v>1704370.048</v>
      </c>
      <c r="H19" s="560">
        <f>SUM(H14:H18)</f>
        <v>8933323.8900000006</v>
      </c>
      <c r="I19" s="562">
        <f t="shared" si="1"/>
        <v>190.78789362018753</v>
      </c>
      <c r="J19" s="933">
        <f>SUM(D19-G19)*100/G19</f>
        <v>-23.37784628799108</v>
      </c>
      <c r="K19" s="936">
        <f>SUM(E19-H19)*100/H19</f>
        <v>-0.6802950362969834</v>
      </c>
      <c r="L19" s="934">
        <f t="shared" si="2"/>
        <v>-22.853019207003332</v>
      </c>
      <c r="M19" s="132"/>
      <c r="N19" s="59"/>
    </row>
    <row r="20" spans="1:14" ht="15" customHeight="1">
      <c r="A20" s="62"/>
      <c r="B20" s="101"/>
      <c r="C20" s="322" t="s">
        <v>116</v>
      </c>
      <c r="D20" s="193"/>
      <c r="E20" s="193"/>
      <c r="F20" s="193"/>
      <c r="G20" s="193"/>
      <c r="H20" s="193"/>
      <c r="I20" s="193"/>
      <c r="J20" s="193"/>
      <c r="K20" s="193"/>
      <c r="L20" s="193"/>
      <c r="M20" s="132"/>
      <c r="N20" s="59"/>
    </row>
    <row r="21" spans="1:14" ht="15" customHeight="1">
      <c r="A21" s="62"/>
      <c r="B21" s="101"/>
      <c r="C21" s="322"/>
      <c r="D21" s="193"/>
      <c r="E21" s="193"/>
      <c r="F21" s="193"/>
      <c r="G21" s="193"/>
      <c r="H21" s="193"/>
      <c r="I21" s="193"/>
      <c r="J21" s="193"/>
      <c r="K21" s="193"/>
      <c r="L21" s="193"/>
      <c r="M21" s="132"/>
      <c r="N21" s="59"/>
    </row>
    <row r="22" spans="1:14" ht="15" customHeight="1">
      <c r="A22" s="62"/>
      <c r="B22" s="101"/>
      <c r="C22" s="322"/>
      <c r="D22" s="193"/>
      <c r="E22" s="193"/>
      <c r="F22" s="193"/>
      <c r="G22" s="193"/>
      <c r="H22" s="193"/>
      <c r="I22" s="193"/>
      <c r="J22" s="193"/>
      <c r="K22" s="193"/>
      <c r="L22" s="193"/>
      <c r="M22" s="132"/>
      <c r="N22" s="59"/>
    </row>
    <row r="23" spans="1:14" ht="15" customHeight="1">
      <c r="A23" s="62"/>
      <c r="B23" s="101"/>
      <c r="C23" s="322"/>
      <c r="D23" s="193"/>
      <c r="E23" s="193"/>
      <c r="F23" s="193"/>
      <c r="G23" s="193"/>
      <c r="H23" s="193"/>
      <c r="I23" s="193"/>
      <c r="J23" s="193"/>
      <c r="K23" s="193"/>
      <c r="L23" s="193"/>
      <c r="M23" s="132"/>
      <c r="N23" s="59"/>
    </row>
    <row r="24" spans="1:14" ht="15" customHeight="1">
      <c r="A24" s="62"/>
      <c r="B24" s="101"/>
      <c r="C24" s="322"/>
      <c r="D24" s="193"/>
      <c r="E24" s="193"/>
      <c r="F24" s="193"/>
      <c r="G24" s="193"/>
      <c r="H24" s="193"/>
      <c r="I24" s="193"/>
      <c r="J24" s="193"/>
      <c r="K24" s="193"/>
      <c r="L24" s="193"/>
      <c r="M24" s="132"/>
      <c r="N24" s="59"/>
    </row>
    <row r="25" spans="1:14" ht="15" customHeight="1">
      <c r="A25" s="62"/>
      <c r="B25" s="101"/>
      <c r="C25" s="322"/>
      <c r="D25" s="193"/>
      <c r="E25" s="193"/>
      <c r="F25" s="193"/>
      <c r="G25" s="193"/>
      <c r="H25" s="193"/>
      <c r="I25" s="193"/>
      <c r="J25" s="193"/>
      <c r="K25" s="193"/>
      <c r="L25" s="193"/>
      <c r="M25" s="132"/>
      <c r="N25" s="59"/>
    </row>
    <row r="26" spans="1:14" ht="15" customHeight="1">
      <c r="A26" s="62"/>
      <c r="B26" s="101"/>
      <c r="C26" s="322"/>
      <c r="D26" s="193"/>
      <c r="E26" s="193"/>
      <c r="F26" s="193"/>
      <c r="G26" s="193"/>
      <c r="H26" s="193"/>
      <c r="I26" s="193"/>
      <c r="J26" s="193"/>
      <c r="K26" s="193"/>
      <c r="L26" s="193"/>
      <c r="M26" s="132"/>
      <c r="N26" s="59"/>
    </row>
    <row r="27" spans="1:14" ht="15" customHeight="1">
      <c r="A27" s="62"/>
      <c r="B27" s="101"/>
      <c r="C27" s="322"/>
      <c r="D27" s="193"/>
      <c r="E27" s="193"/>
      <c r="F27" s="193"/>
      <c r="G27" s="193"/>
      <c r="H27" s="193"/>
      <c r="I27" s="193"/>
      <c r="J27" s="193"/>
      <c r="K27" s="193"/>
      <c r="L27" s="193"/>
      <c r="M27" s="132"/>
      <c r="N27" s="59"/>
    </row>
    <row r="28" spans="1:14" ht="15" customHeight="1">
      <c r="A28" s="59"/>
      <c r="B28" s="174"/>
      <c r="C28" s="210"/>
      <c r="D28" s="210"/>
      <c r="E28" s="210"/>
      <c r="F28" s="211"/>
      <c r="G28" s="208"/>
      <c r="H28" s="208"/>
      <c r="I28" s="211"/>
      <c r="J28" s="208"/>
      <c r="K28" s="209"/>
      <c r="L28" s="209"/>
      <c r="M28" s="132"/>
      <c r="N28" s="59"/>
    </row>
    <row r="29" spans="1:14" ht="15" customHeight="1">
      <c r="A29" s="59"/>
      <c r="B29" s="113"/>
      <c r="C29" s="1292"/>
      <c r="D29" s="1292"/>
      <c r="E29" s="1292"/>
      <c r="F29" s="1292"/>
      <c r="G29" s="1292"/>
      <c r="H29" s="319"/>
      <c r="I29" s="175"/>
      <c r="J29" s="175"/>
      <c r="K29" s="175"/>
      <c r="L29" s="175"/>
      <c r="M29" s="133"/>
      <c r="N29" s="59"/>
    </row>
    <row r="30" spans="1:14" ht="15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</sheetData>
  <mergeCells count="13">
    <mergeCell ref="A1:N1"/>
    <mergeCell ref="C29:G29"/>
    <mergeCell ref="C11:C12"/>
    <mergeCell ref="B3:M3"/>
    <mergeCell ref="C7:D8"/>
    <mergeCell ref="F7:G7"/>
    <mergeCell ref="I7:J7"/>
    <mergeCell ref="K7:K8"/>
    <mergeCell ref="D11:F11"/>
    <mergeCell ref="G11:I11"/>
    <mergeCell ref="J11:L11"/>
    <mergeCell ref="J12:L12"/>
    <mergeCell ref="C9:L9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94"/>
  <sheetViews>
    <sheetView workbookViewId="0">
      <selection activeCell="P16" sqref="P16"/>
    </sheetView>
  </sheetViews>
  <sheetFormatPr defaultColWidth="11.42578125" defaultRowHeight="14.25"/>
  <cols>
    <col min="1" max="1" width="3.14062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1.4257812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1.28515625" style="2" bestFit="1" customWidth="1"/>
    <col min="12" max="12" width="13.7109375" style="2" customWidth="1"/>
    <col min="13" max="13" width="2.7109375" style="2" customWidth="1"/>
    <col min="14" max="16384" width="11.42578125" style="2"/>
  </cols>
  <sheetData>
    <row r="1" spans="1:13" ht="15" customHeight="1">
      <c r="A1" s="427"/>
      <c r="B1" s="1325" t="s">
        <v>570</v>
      </c>
      <c r="C1" s="1325"/>
      <c r="D1" s="1325"/>
      <c r="E1" s="1325"/>
      <c r="F1" s="1325"/>
      <c r="G1" s="1325"/>
      <c r="H1" s="1325"/>
      <c r="I1" s="1325"/>
      <c r="J1" s="1325"/>
      <c r="K1" s="1325"/>
      <c r="L1" s="1325"/>
      <c r="M1" s="1325"/>
    </row>
    <row r="2" spans="1:13" ht="8.25" customHeight="1">
      <c r="A2" s="427"/>
      <c r="B2" s="1326"/>
      <c r="C2" s="1327"/>
      <c r="D2" s="1327"/>
      <c r="E2" s="1327"/>
      <c r="F2" s="1327"/>
      <c r="G2" s="1327"/>
      <c r="H2" s="1327"/>
      <c r="I2" s="1327"/>
      <c r="J2" s="1327"/>
      <c r="K2" s="1327"/>
      <c r="L2" s="1328"/>
      <c r="M2" s="427"/>
    </row>
    <row r="3" spans="1:13" ht="20.25" customHeight="1">
      <c r="A3" s="427"/>
      <c r="B3" s="1329" t="s">
        <v>117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1"/>
      <c r="M3" s="427"/>
    </row>
    <row r="4" spans="1:13" ht="14.1" customHeight="1">
      <c r="A4" s="427"/>
      <c r="B4" s="430"/>
      <c r="C4" s="431"/>
      <c r="D4" s="431"/>
      <c r="E4" s="432"/>
      <c r="F4" s="432"/>
      <c r="G4" s="432"/>
      <c r="H4" s="432"/>
      <c r="I4" s="432"/>
      <c r="J4" s="432"/>
      <c r="K4" s="432"/>
      <c r="L4" s="433"/>
      <c r="M4" s="427"/>
    </row>
    <row r="5" spans="1:13" ht="12.95" customHeight="1">
      <c r="A5" s="427"/>
      <c r="B5" s="434" t="s">
        <v>118</v>
      </c>
      <c r="C5" s="1332">
        <v>2016</v>
      </c>
      <c r="D5" s="1333"/>
      <c r="E5" s="1334"/>
      <c r="F5" s="1332">
        <v>2015</v>
      </c>
      <c r="G5" s="1333"/>
      <c r="H5" s="1334"/>
      <c r="I5" s="1332" t="s">
        <v>511</v>
      </c>
      <c r="J5" s="1334"/>
      <c r="K5" s="1332" t="s">
        <v>512</v>
      </c>
      <c r="L5" s="1334"/>
      <c r="M5" s="427"/>
    </row>
    <row r="6" spans="1:13" ht="12.95" customHeight="1">
      <c r="A6" s="427"/>
      <c r="B6" s="435"/>
      <c r="C6" s="415" t="s">
        <v>119</v>
      </c>
      <c r="D6" s="416" t="s">
        <v>120</v>
      </c>
      <c r="E6" s="417" t="s">
        <v>11</v>
      </c>
      <c r="F6" s="415" t="s">
        <v>119</v>
      </c>
      <c r="G6" s="416" t="s">
        <v>120</v>
      </c>
      <c r="H6" s="417" t="s">
        <v>11</v>
      </c>
      <c r="I6" s="418" t="s">
        <v>119</v>
      </c>
      <c r="J6" s="419" t="s">
        <v>120</v>
      </c>
      <c r="K6" s="415" t="s">
        <v>119</v>
      </c>
      <c r="L6" s="436" t="s">
        <v>120</v>
      </c>
      <c r="M6" s="427"/>
    </row>
    <row r="7" spans="1:13" ht="12.95" customHeight="1">
      <c r="A7" s="427"/>
      <c r="B7" s="77" t="s">
        <v>121</v>
      </c>
      <c r="C7" s="437">
        <v>363398.93</v>
      </c>
      <c r="D7" s="437">
        <v>2485113.2999999998</v>
      </c>
      <c r="E7" s="422">
        <f>(C7*1000)/D7</f>
        <v>146.23032680240374</v>
      </c>
      <c r="F7" s="437">
        <v>546288</v>
      </c>
      <c r="G7" s="437">
        <v>2724750</v>
      </c>
      <c r="H7" s="422">
        <f t="shared" ref="H7:H19" si="0">(F7*1000)/G7</f>
        <v>200.49105422515828</v>
      </c>
      <c r="I7" s="420">
        <f>C7+SUM(F15:F19)</f>
        <v>2657344.4300000002</v>
      </c>
      <c r="J7" s="420">
        <f>D7+SUM(G15:G19)</f>
        <v>17472914.100000001</v>
      </c>
      <c r="K7" s="420">
        <f>C7+SUM(F8:F19)-F10</f>
        <v>5372525.4299999997</v>
      </c>
      <c r="L7" s="420">
        <f>D7+SUM(G8:G19)-G10</f>
        <v>33177597.436666664</v>
      </c>
      <c r="M7" s="554"/>
    </row>
    <row r="8" spans="1:13" ht="12.95" customHeight="1">
      <c r="A8" s="902"/>
      <c r="B8" s="78" t="s">
        <v>122</v>
      </c>
      <c r="C8" s="437">
        <v>396956.48499999999</v>
      </c>
      <c r="D8" s="437">
        <v>2668755.58</v>
      </c>
      <c r="E8" s="448">
        <f>(C8*1000)/D8</f>
        <v>148.74216581497507</v>
      </c>
      <c r="F8" s="437">
        <v>493482</v>
      </c>
      <c r="G8" s="437">
        <v>2513466.67</v>
      </c>
      <c r="H8" s="448">
        <f t="shared" si="0"/>
        <v>196.33520742091241</v>
      </c>
      <c r="I8" s="420">
        <f>SUM(C7+C8)+SUM(F16:F19)</f>
        <v>2630138.915</v>
      </c>
      <c r="J8" s="420">
        <f>SUM(D7+D8)+SUM(G16:G19)</f>
        <v>17471748.68</v>
      </c>
      <c r="K8" s="420">
        <f>SUM(C7+C8)+SUM(F9:F19)-F10</f>
        <v>5275999.915</v>
      </c>
      <c r="L8" s="420">
        <f>SUM(D7+D8)+SUM(G9:G19)-G10</f>
        <v>33332886.346666668</v>
      </c>
      <c r="M8" s="554"/>
    </row>
    <row r="9" spans="1:13" ht="12.95" customHeight="1">
      <c r="A9" s="427"/>
      <c r="B9" s="90" t="s">
        <v>123</v>
      </c>
      <c r="C9" s="437">
        <v>405948.70199999999</v>
      </c>
      <c r="D9" s="437">
        <v>2775268.8029999998</v>
      </c>
      <c r="E9" s="448">
        <f>(C9*1000)/D9</f>
        <v>146.27365160491087</v>
      </c>
      <c r="F9" s="437">
        <v>519708</v>
      </c>
      <c r="G9" s="437">
        <v>2860383.3333333335</v>
      </c>
      <c r="H9" s="448">
        <f t="shared" si="0"/>
        <v>181.69173129475652</v>
      </c>
      <c r="I9" s="423">
        <f>SUM(C7:C9)+SUM(F17:F19)</f>
        <v>2579159.9170000004</v>
      </c>
      <c r="J9" s="421">
        <f>SUM(D7:D9)+SUM(G17:G19)</f>
        <v>17328471.682999998</v>
      </c>
      <c r="K9" s="421">
        <f>SUM(C7:C9)+SUM(F11:F19)</f>
        <v>5162240.6170000006</v>
      </c>
      <c r="L9" s="439">
        <f>SUM(D7:D9)+SUM(G11:G19)</f>
        <v>33247771.816333331</v>
      </c>
      <c r="M9" s="554"/>
    </row>
    <row r="10" spans="1:13" ht="12.95" customHeight="1">
      <c r="A10" s="427"/>
      <c r="B10" s="794" t="s">
        <v>539</v>
      </c>
      <c r="C10" s="900">
        <f>SUM(C7:C9)</f>
        <v>1166304.1170000001</v>
      </c>
      <c r="D10" s="900">
        <f>SUM(D7:D9)</f>
        <v>7929137.6830000002</v>
      </c>
      <c r="E10" s="425">
        <f>(C10*1000)/D10</f>
        <v>147.09091500587076</v>
      </c>
      <c r="F10" s="900">
        <f>SUM(F7:F9)</f>
        <v>1559478</v>
      </c>
      <c r="G10" s="900">
        <f>SUM(G7:G9)</f>
        <v>8098600.0033333339</v>
      </c>
      <c r="H10" s="425">
        <f>(F10*1000)/G10</f>
        <v>192.56143029142424</v>
      </c>
      <c r="I10" s="420"/>
      <c r="J10" s="420"/>
      <c r="K10" s="420"/>
      <c r="L10" s="420"/>
      <c r="M10" s="554"/>
    </row>
    <row r="11" spans="1:13" ht="12.95" customHeight="1">
      <c r="A11" s="427"/>
      <c r="B11" s="90" t="s">
        <v>124</v>
      </c>
      <c r="C11" s="420"/>
      <c r="D11" s="420"/>
      <c r="E11" s="448"/>
      <c r="F11" s="420">
        <v>468848</v>
      </c>
      <c r="G11" s="420">
        <v>2815050</v>
      </c>
      <c r="H11" s="448">
        <f t="shared" si="0"/>
        <v>166.55050531962132</v>
      </c>
      <c r="I11" s="420"/>
      <c r="J11" s="420"/>
      <c r="K11" s="420"/>
      <c r="L11" s="420"/>
      <c r="M11" s="554"/>
    </row>
    <row r="12" spans="1:13" ht="12.95" customHeight="1">
      <c r="A12" s="427"/>
      <c r="B12" s="90" t="s">
        <v>125</v>
      </c>
      <c r="C12" s="420"/>
      <c r="D12" s="420"/>
      <c r="E12" s="448"/>
      <c r="F12" s="420">
        <v>434545</v>
      </c>
      <c r="G12" s="420">
        <v>2630416.6666666665</v>
      </c>
      <c r="H12" s="448">
        <f t="shared" si="0"/>
        <v>165.20006336131792</v>
      </c>
      <c r="I12" s="420"/>
      <c r="J12" s="420"/>
      <c r="K12" s="420"/>
      <c r="L12" s="420"/>
      <c r="M12" s="554"/>
    </row>
    <row r="13" spans="1:13" ht="12.95" customHeight="1">
      <c r="A13" s="427"/>
      <c r="B13" s="90" t="s">
        <v>126</v>
      </c>
      <c r="C13" s="420"/>
      <c r="D13" s="420"/>
      <c r="E13" s="448"/>
      <c r="F13" s="420">
        <v>392821</v>
      </c>
      <c r="G13" s="420">
        <v>2386266.6666666665</v>
      </c>
      <c r="H13" s="448">
        <f t="shared" si="0"/>
        <v>164.61739397664414</v>
      </c>
      <c r="I13" s="420"/>
      <c r="J13" s="420"/>
      <c r="K13" s="420"/>
      <c r="L13" s="438"/>
      <c r="M13" s="857"/>
    </row>
    <row r="14" spans="1:13" ht="12.95" customHeight="1">
      <c r="A14" s="427"/>
      <c r="B14" s="90" t="s">
        <v>128</v>
      </c>
      <c r="C14" s="420"/>
      <c r="D14" s="420"/>
      <c r="E14" s="448"/>
      <c r="F14" s="420">
        <v>405777</v>
      </c>
      <c r="G14" s="420">
        <v>2499100</v>
      </c>
      <c r="H14" s="448">
        <f t="shared" si="0"/>
        <v>162.36925293105517</v>
      </c>
      <c r="I14" s="420"/>
      <c r="J14" s="420"/>
      <c r="K14" s="420"/>
      <c r="L14" s="420"/>
      <c r="M14" s="554"/>
    </row>
    <row r="15" spans="1:13" ht="12.95" customHeight="1">
      <c r="A15" s="427"/>
      <c r="B15" s="90" t="s">
        <v>129</v>
      </c>
      <c r="C15" s="437"/>
      <c r="D15" s="437"/>
      <c r="E15" s="448"/>
      <c r="F15" s="437">
        <v>424162</v>
      </c>
      <c r="G15" s="437">
        <v>2669921</v>
      </c>
      <c r="H15" s="448">
        <f t="shared" si="0"/>
        <v>158.86687284005782</v>
      </c>
      <c r="I15" s="420"/>
      <c r="J15" s="420"/>
      <c r="K15" s="420"/>
      <c r="L15" s="420"/>
      <c r="M15" s="554"/>
    </row>
    <row r="16" spans="1:13" ht="12.95" customHeight="1">
      <c r="A16" s="427"/>
      <c r="B16" s="90" t="s">
        <v>130</v>
      </c>
      <c r="C16" s="420"/>
      <c r="D16" s="420"/>
      <c r="E16" s="448"/>
      <c r="F16" s="420">
        <v>456927.7</v>
      </c>
      <c r="G16" s="420">
        <v>2918545.8</v>
      </c>
      <c r="H16" s="448">
        <f t="shared" si="0"/>
        <v>156.56005809468539</v>
      </c>
      <c r="I16" s="420"/>
      <c r="J16" s="420"/>
      <c r="K16" s="420"/>
      <c r="L16" s="420"/>
      <c r="M16" s="554"/>
    </row>
    <row r="17" spans="1:13" ht="12.95" customHeight="1">
      <c r="A17" s="427"/>
      <c r="B17" s="90" t="s">
        <v>131</v>
      </c>
      <c r="C17" s="420"/>
      <c r="D17" s="420"/>
      <c r="E17" s="448"/>
      <c r="F17" s="420">
        <v>501694</v>
      </c>
      <c r="G17" s="420">
        <v>3306499</v>
      </c>
      <c r="H17" s="448">
        <f t="shared" si="0"/>
        <v>151.72966935722647</v>
      </c>
      <c r="I17" s="420"/>
      <c r="J17" s="420"/>
      <c r="K17" s="420"/>
      <c r="L17" s="420"/>
      <c r="M17" s="555"/>
    </row>
    <row r="18" spans="1:13" ht="12.95" customHeight="1">
      <c r="A18" s="427"/>
      <c r="B18" s="90" t="s">
        <v>132</v>
      </c>
      <c r="C18" s="420"/>
      <c r="D18" s="420"/>
      <c r="E18" s="448"/>
      <c r="F18" s="420">
        <v>461321</v>
      </c>
      <c r="G18" s="420">
        <v>3116101</v>
      </c>
      <c r="H18" s="448">
        <f t="shared" si="0"/>
        <v>148.04430280019807</v>
      </c>
      <c r="I18" s="420"/>
      <c r="J18" s="420"/>
      <c r="K18" s="420"/>
      <c r="L18" s="438"/>
      <c r="M18" s="780"/>
    </row>
    <row r="19" spans="1:13" ht="12.95" customHeight="1">
      <c r="A19" s="427"/>
      <c r="B19" s="90" t="s">
        <v>133</v>
      </c>
      <c r="C19" s="423"/>
      <c r="D19" s="421"/>
      <c r="E19" s="424"/>
      <c r="F19" s="423">
        <v>449840.8</v>
      </c>
      <c r="G19" s="421">
        <v>2976734</v>
      </c>
      <c r="H19" s="424">
        <f t="shared" si="0"/>
        <v>151.11891086002311</v>
      </c>
      <c r="I19" s="423"/>
      <c r="J19" s="421"/>
      <c r="K19" s="421"/>
      <c r="L19" s="439"/>
      <c r="M19" s="427"/>
    </row>
    <row r="20" spans="1:13" ht="12.95" customHeight="1">
      <c r="A20" s="427"/>
      <c r="B20" s="440" t="s">
        <v>115</v>
      </c>
      <c r="C20" s="423">
        <f>C10</f>
        <v>1166304.1170000001</v>
      </c>
      <c r="D20" s="818">
        <f>D10</f>
        <v>7929137.6830000002</v>
      </c>
      <c r="E20" s="425">
        <f>(C20*1000)/D20</f>
        <v>147.09091500587076</v>
      </c>
      <c r="F20" s="423">
        <f>SUM(F7:F19)-F10</f>
        <v>5555414.5</v>
      </c>
      <c r="G20" s="818">
        <f>SUM(G7:G19)-G10</f>
        <v>33417234.136666667</v>
      </c>
      <c r="H20" s="424">
        <f>(F20*1000)/G20</f>
        <v>166.24399485846098</v>
      </c>
      <c r="I20" s="306"/>
      <c r="J20" s="306"/>
      <c r="K20" s="306"/>
      <c r="L20" s="441"/>
      <c r="M20" s="427"/>
    </row>
    <row r="21" spans="1:13" ht="12.95" customHeight="1">
      <c r="A21" s="427"/>
      <c r="B21" s="442" t="s">
        <v>116</v>
      </c>
      <c r="C21" s="443"/>
      <c r="D21" s="443"/>
      <c r="E21" s="135"/>
      <c r="F21" s="426" t="s">
        <v>142</v>
      </c>
      <c r="G21" s="444"/>
      <c r="H21" s="135"/>
      <c r="I21" s="135"/>
      <c r="J21" s="426" t="s">
        <v>135</v>
      </c>
      <c r="K21" s="135"/>
      <c r="L21" s="78"/>
      <c r="M21" s="427"/>
    </row>
    <row r="22" spans="1:13" ht="12.95" customHeight="1">
      <c r="A22" s="427"/>
      <c r="B22" s="442" t="s">
        <v>335</v>
      </c>
      <c r="C22" s="443"/>
      <c r="D22" s="443"/>
      <c r="E22" s="135"/>
      <c r="F22" s="426" t="s">
        <v>134</v>
      </c>
      <c r="G22" s="444"/>
      <c r="H22" s="135"/>
      <c r="I22" s="135"/>
      <c r="J22" s="426" t="s">
        <v>136</v>
      </c>
      <c r="K22" s="135"/>
      <c r="L22" s="78"/>
      <c r="M22" s="427"/>
    </row>
    <row r="23" spans="1:13" ht="12.95" customHeight="1">
      <c r="A23" s="427"/>
      <c r="B23" s="442"/>
      <c r="C23" s="443"/>
      <c r="D23" s="443"/>
      <c r="E23" s="135"/>
      <c r="F23" s="426"/>
      <c r="G23" s="444"/>
      <c r="H23" s="135"/>
      <c r="I23" s="135"/>
      <c r="J23" s="426"/>
      <c r="K23" s="135"/>
      <c r="L23" s="78"/>
      <c r="M23" s="427"/>
    </row>
    <row r="24" spans="1:13" ht="12.95" customHeight="1">
      <c r="A24" s="427"/>
      <c r="B24" s="442"/>
      <c r="C24" s="443"/>
      <c r="D24" s="443"/>
      <c r="E24" s="135"/>
      <c r="F24" s="426"/>
      <c r="G24" s="444"/>
      <c r="H24" s="135"/>
      <c r="I24" s="135"/>
      <c r="J24" s="426"/>
      <c r="K24" s="135"/>
      <c r="L24" s="78"/>
      <c r="M24" s="427"/>
    </row>
    <row r="25" spans="1:13">
      <c r="A25" s="427"/>
      <c r="B25" s="142"/>
      <c r="C25" s="443"/>
      <c r="D25" s="443"/>
      <c r="E25" s="135"/>
      <c r="F25" s="444"/>
      <c r="G25" s="444"/>
      <c r="H25" s="135"/>
      <c r="I25" s="135"/>
      <c r="J25" s="135"/>
      <c r="K25" s="135"/>
      <c r="L25" s="78"/>
      <c r="M25" s="427"/>
    </row>
    <row r="26" spans="1:13">
      <c r="A26" s="427"/>
      <c r="B26" s="445"/>
      <c r="C26" s="443"/>
      <c r="D26" s="443"/>
      <c r="E26" s="143"/>
      <c r="F26" s="143"/>
      <c r="G26" s="143"/>
      <c r="H26" s="143"/>
      <c r="I26" s="143"/>
      <c r="J26" s="143"/>
      <c r="K26" s="143"/>
      <c r="L26" s="144"/>
      <c r="M26" s="427"/>
    </row>
    <row r="27" spans="1:13">
      <c r="A27" s="427"/>
      <c r="B27" s="140"/>
      <c r="C27" s="135"/>
      <c r="D27" s="135"/>
      <c r="E27" s="135"/>
      <c r="F27" s="135"/>
      <c r="G27" s="135"/>
      <c r="H27" s="135"/>
      <c r="I27" s="135"/>
      <c r="J27" s="135"/>
      <c r="K27" s="135"/>
      <c r="L27" s="78"/>
      <c r="M27" s="427"/>
    </row>
    <row r="28" spans="1:13">
      <c r="A28" s="427"/>
      <c r="B28" s="140"/>
      <c r="C28" s="135"/>
      <c r="D28" s="135"/>
      <c r="E28" s="135"/>
      <c r="F28" s="135"/>
      <c r="G28" s="135"/>
      <c r="H28" s="135"/>
      <c r="I28" s="135"/>
      <c r="J28" s="135"/>
      <c r="K28" s="135"/>
      <c r="L28" s="78"/>
      <c r="M28" s="427"/>
    </row>
    <row r="29" spans="1:13">
      <c r="A29" s="427"/>
      <c r="B29" s="140"/>
      <c r="C29" s="135"/>
      <c r="D29" s="135"/>
      <c r="E29" s="135"/>
      <c r="F29" s="135"/>
      <c r="G29" s="135"/>
      <c r="H29" s="135"/>
      <c r="I29" s="135"/>
      <c r="J29" s="135"/>
      <c r="K29" s="135"/>
      <c r="L29" s="78"/>
      <c r="M29" s="427"/>
    </row>
    <row r="30" spans="1:13">
      <c r="A30" s="427"/>
      <c r="B30" s="140"/>
      <c r="C30" s="135"/>
      <c r="D30" s="135"/>
      <c r="E30" s="135"/>
      <c r="F30" s="135"/>
      <c r="G30" s="135"/>
      <c r="H30" s="135"/>
      <c r="I30" s="135"/>
      <c r="J30" s="135"/>
      <c r="K30" s="135"/>
      <c r="L30" s="78"/>
      <c r="M30" s="427"/>
    </row>
    <row r="31" spans="1:13">
      <c r="A31" s="427"/>
      <c r="B31" s="140"/>
      <c r="C31" s="135"/>
      <c r="D31" s="135"/>
      <c r="E31" s="135"/>
      <c r="F31" s="135"/>
      <c r="G31" s="135"/>
      <c r="H31" s="135"/>
      <c r="I31" s="135"/>
      <c r="J31" s="135"/>
      <c r="K31" s="135"/>
      <c r="L31" s="78"/>
      <c r="M31" s="427"/>
    </row>
    <row r="32" spans="1:13">
      <c r="A32" s="427"/>
      <c r="B32" s="140"/>
      <c r="C32" s="135"/>
      <c r="D32" s="135"/>
      <c r="E32" s="135"/>
      <c r="F32" s="135"/>
      <c r="G32" s="135"/>
      <c r="H32" s="135"/>
      <c r="I32" s="135"/>
      <c r="J32" s="135"/>
      <c r="K32" s="135"/>
      <c r="L32" s="78"/>
      <c r="M32" s="427"/>
    </row>
    <row r="33" spans="1:16">
      <c r="A33" s="427"/>
      <c r="B33" s="140"/>
      <c r="C33" s="135"/>
      <c r="D33" s="135"/>
      <c r="E33" s="135"/>
      <c r="F33" s="135"/>
      <c r="G33" s="135"/>
      <c r="H33" s="135"/>
      <c r="I33" s="135"/>
      <c r="J33" s="135"/>
      <c r="K33" s="135"/>
      <c r="L33" s="78"/>
      <c r="M33" s="427"/>
    </row>
    <row r="34" spans="1:16">
      <c r="A34" s="427"/>
      <c r="B34" s="140"/>
      <c r="C34" s="135"/>
      <c r="D34" s="135"/>
      <c r="E34" s="135"/>
      <c r="F34" s="135"/>
      <c r="G34" s="135"/>
      <c r="H34" s="135"/>
      <c r="I34" s="135"/>
      <c r="J34" s="135"/>
      <c r="K34" s="135"/>
      <c r="L34" s="78"/>
      <c r="M34" s="427"/>
      <c r="P34" s="1220"/>
    </row>
    <row r="35" spans="1:16">
      <c r="A35" s="427"/>
      <c r="B35" s="140"/>
      <c r="C35" s="135"/>
      <c r="D35" s="135"/>
      <c r="E35" s="135"/>
      <c r="F35" s="135"/>
      <c r="G35" s="135"/>
      <c r="H35" s="135"/>
      <c r="I35" s="135"/>
      <c r="J35" s="135"/>
      <c r="K35" s="135"/>
      <c r="L35" s="78"/>
      <c r="M35" s="427"/>
    </row>
    <row r="36" spans="1:16">
      <c r="A36" s="427"/>
      <c r="B36" s="446"/>
      <c r="C36" s="114"/>
      <c r="D36" s="114"/>
      <c r="E36" s="114"/>
      <c r="F36" s="114"/>
      <c r="G36" s="114"/>
      <c r="H36" s="114"/>
      <c r="I36" s="114"/>
      <c r="J36" s="114"/>
      <c r="K36" s="114"/>
      <c r="L36" s="447"/>
      <c r="M36" s="427"/>
    </row>
    <row r="37" spans="1:16" ht="15" customHeight="1">
      <c r="A37" s="427"/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7"/>
    </row>
    <row r="38" spans="1:16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6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6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6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6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6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6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6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6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6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6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</sheetData>
  <mergeCells count="7">
    <mergeCell ref="B1:M1"/>
    <mergeCell ref="B2:L2"/>
    <mergeCell ref="B3:L3"/>
    <mergeCell ref="C5:E5"/>
    <mergeCell ref="F5:H5"/>
    <mergeCell ref="I5:J5"/>
    <mergeCell ref="K5:L5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94"/>
  <sheetViews>
    <sheetView workbookViewId="0">
      <selection activeCell="P16" sqref="P16"/>
    </sheetView>
  </sheetViews>
  <sheetFormatPr defaultColWidth="11.42578125" defaultRowHeight="14.25"/>
  <cols>
    <col min="1" max="1" width="3.14062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3" ht="15" customHeight="1">
      <c r="A1" s="427"/>
      <c r="B1" s="1325" t="s">
        <v>571</v>
      </c>
      <c r="C1" s="1325"/>
      <c r="D1" s="1325"/>
      <c r="E1" s="1325"/>
      <c r="F1" s="1325"/>
      <c r="G1" s="1325"/>
      <c r="H1" s="1325"/>
      <c r="I1" s="1325"/>
      <c r="J1" s="1325"/>
      <c r="K1" s="1325"/>
      <c r="L1" s="1325"/>
      <c r="M1" s="1325"/>
    </row>
    <row r="2" spans="1:13" ht="8.25" customHeight="1">
      <c r="A2" s="427"/>
      <c r="B2" s="1326"/>
      <c r="C2" s="1327"/>
      <c r="D2" s="1327"/>
      <c r="E2" s="1327"/>
      <c r="F2" s="1327"/>
      <c r="G2" s="1327"/>
      <c r="H2" s="1327"/>
      <c r="I2" s="1327"/>
      <c r="J2" s="1327"/>
      <c r="K2" s="1327"/>
      <c r="L2" s="1328"/>
      <c r="M2" s="427"/>
    </row>
    <row r="3" spans="1:13" ht="20.25" customHeight="1">
      <c r="A3" s="427"/>
      <c r="B3" s="1329" t="s">
        <v>137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1"/>
      <c r="M3" s="427"/>
    </row>
    <row r="4" spans="1:13" ht="14.1" customHeight="1">
      <c r="A4" s="427"/>
      <c r="B4" s="430"/>
      <c r="C4" s="431"/>
      <c r="D4" s="431"/>
      <c r="E4" s="432"/>
      <c r="F4" s="432"/>
      <c r="G4" s="432"/>
      <c r="H4" s="432"/>
      <c r="I4" s="432"/>
      <c r="J4" s="432"/>
      <c r="K4" s="432"/>
      <c r="L4" s="433"/>
      <c r="M4" s="427"/>
    </row>
    <row r="5" spans="1:13" ht="12.95" customHeight="1">
      <c r="A5" s="427"/>
      <c r="B5" s="434" t="s">
        <v>118</v>
      </c>
      <c r="C5" s="1332">
        <v>2016</v>
      </c>
      <c r="D5" s="1333"/>
      <c r="E5" s="1334"/>
      <c r="F5" s="1332">
        <v>2015</v>
      </c>
      <c r="G5" s="1333"/>
      <c r="H5" s="1334"/>
      <c r="I5" s="1332" t="s">
        <v>511</v>
      </c>
      <c r="J5" s="1334"/>
      <c r="K5" s="1332" t="s">
        <v>512</v>
      </c>
      <c r="L5" s="1334"/>
      <c r="M5" s="427"/>
    </row>
    <row r="6" spans="1:13" ht="12.95" customHeight="1">
      <c r="A6" s="427"/>
      <c r="B6" s="435"/>
      <c r="C6" s="415" t="s">
        <v>119</v>
      </c>
      <c r="D6" s="416" t="s">
        <v>120</v>
      </c>
      <c r="E6" s="417" t="s">
        <v>11</v>
      </c>
      <c r="F6" s="415" t="s">
        <v>119</v>
      </c>
      <c r="G6" s="416" t="s">
        <v>120</v>
      </c>
      <c r="H6" s="417" t="s">
        <v>11</v>
      </c>
      <c r="I6" s="418" t="s">
        <v>119</v>
      </c>
      <c r="J6" s="419" t="s">
        <v>120</v>
      </c>
      <c r="K6" s="415" t="s">
        <v>119</v>
      </c>
      <c r="L6" s="436" t="s">
        <v>120</v>
      </c>
      <c r="M6" s="427"/>
    </row>
    <row r="7" spans="1:13" ht="12.95" customHeight="1">
      <c r="A7" s="427"/>
      <c r="B7" s="785" t="s">
        <v>121</v>
      </c>
      <c r="C7" s="797">
        <v>37861.644</v>
      </c>
      <c r="D7" s="797">
        <v>250387.41</v>
      </c>
      <c r="E7" s="787">
        <f>(C7*1000)/D7</f>
        <v>151.21225144666818</v>
      </c>
      <c r="F7" s="797">
        <v>39831</v>
      </c>
      <c r="G7" s="797">
        <v>228973.33333333334</v>
      </c>
      <c r="H7" s="787">
        <f t="shared" ref="H7:H19" si="0">(F7*1000)/G7</f>
        <v>173.95475455657134</v>
      </c>
      <c r="I7" s="420">
        <f>C7+SUM(F15:F19)</f>
        <v>263635.94700000004</v>
      </c>
      <c r="J7" s="420">
        <f>D7+SUM(G15:G19)</f>
        <v>1684886.453</v>
      </c>
      <c r="K7" s="420">
        <f>C7+SUM(F8:F19)-F10</f>
        <v>554434.94699999993</v>
      </c>
      <c r="L7" s="1206">
        <f>D7+SUM(G8:G19)-G10</f>
        <v>3406302.7863333328</v>
      </c>
      <c r="M7" s="427"/>
    </row>
    <row r="8" spans="1:13" ht="12.95" customHeight="1">
      <c r="A8" s="427"/>
      <c r="B8" s="788" t="s">
        <v>122</v>
      </c>
      <c r="C8" s="797">
        <v>47089.56</v>
      </c>
      <c r="D8" s="797">
        <v>318061.08</v>
      </c>
      <c r="E8" s="789">
        <f>(C8*1000)/D8</f>
        <v>148.05194021223846</v>
      </c>
      <c r="F8" s="797">
        <v>42123</v>
      </c>
      <c r="G8" s="797">
        <v>235993.33333333334</v>
      </c>
      <c r="H8" s="789">
        <f t="shared" si="0"/>
        <v>178.49233029181616</v>
      </c>
      <c r="I8" s="420">
        <f>SUM(C7+C8)+SUM(F16:F19)</f>
        <v>260547.44200000001</v>
      </c>
      <c r="J8" s="420">
        <f>SUM(D7+D8)+SUM(G16:G19)</f>
        <v>1695986.4200000002</v>
      </c>
      <c r="K8" s="420">
        <f>SUM(C7+C8)+SUM(F9:F19)-F10</f>
        <v>559401.50699999998</v>
      </c>
      <c r="L8" s="438">
        <f>SUM(D7+D8)+SUM(G9:G19)-G10</f>
        <v>3488370.5329999998</v>
      </c>
      <c r="M8" s="427"/>
    </row>
    <row r="9" spans="1:13" ht="12.95" customHeight="1">
      <c r="A9" s="427"/>
      <c r="B9" s="788" t="s">
        <v>123</v>
      </c>
      <c r="C9" s="797">
        <v>45282.055</v>
      </c>
      <c r="D9" s="797">
        <v>306639.14299999998</v>
      </c>
      <c r="E9" s="789">
        <f>(C9*1000)/D9</f>
        <v>147.67212873406709</v>
      </c>
      <c r="F9" s="797">
        <v>50779</v>
      </c>
      <c r="G9" s="797">
        <v>289813.33333333331</v>
      </c>
      <c r="H9" s="789">
        <f>(F9*1000)/G9</f>
        <v>175.21278064041223</v>
      </c>
      <c r="I9" s="423">
        <f>SUM(C7:C9)+SUM(F17:F19)</f>
        <v>258174.897</v>
      </c>
      <c r="J9" s="421">
        <f>SUM(D7:D9)+SUM(G17:G19)</f>
        <v>1704879.1629999999</v>
      </c>
      <c r="K9" s="421">
        <f>SUM(C7:C9)+SUM(F11:F19)</f>
        <v>553904.56200000003</v>
      </c>
      <c r="L9" s="439">
        <f>SUM(D7:D9)+SUM(G11:G19)</f>
        <v>3505196.3426666665</v>
      </c>
      <c r="M9" s="427"/>
    </row>
    <row r="10" spans="1:13" ht="12.95" customHeight="1">
      <c r="A10" s="427"/>
      <c r="B10" s="794" t="s">
        <v>539</v>
      </c>
      <c r="C10" s="900">
        <f>SUM(C7:C9)</f>
        <v>130233.25899999999</v>
      </c>
      <c r="D10" s="900">
        <f>SUM(D7:D9)</f>
        <v>875087.63299999991</v>
      </c>
      <c r="E10" s="425">
        <f>(C10*1000)/D10</f>
        <v>148.82310535406685</v>
      </c>
      <c r="F10" s="900">
        <f>SUM(F7:F9)</f>
        <v>132733</v>
      </c>
      <c r="G10" s="900">
        <f>SUM(G7:G9)</f>
        <v>754780</v>
      </c>
      <c r="H10" s="425">
        <f>(F10*1000)/G10</f>
        <v>175.85654097882826</v>
      </c>
      <c r="I10" s="420"/>
      <c r="J10" s="420"/>
      <c r="K10" s="420"/>
      <c r="L10" s="438"/>
      <c r="M10" s="427"/>
    </row>
    <row r="11" spans="1:13" ht="12.95" customHeight="1">
      <c r="A11" s="427"/>
      <c r="B11" s="788" t="s">
        <v>124</v>
      </c>
      <c r="C11" s="797"/>
      <c r="D11" s="797"/>
      <c r="E11" s="789"/>
      <c r="F11" s="797">
        <v>51658</v>
      </c>
      <c r="G11" s="797">
        <v>306626.66666666669</v>
      </c>
      <c r="H11" s="789">
        <f t="shared" si="0"/>
        <v>168.47197460538331</v>
      </c>
      <c r="I11" s="420"/>
      <c r="J11" s="420"/>
      <c r="K11" s="420"/>
      <c r="L11" s="438"/>
      <c r="M11" s="427"/>
    </row>
    <row r="12" spans="1:13" ht="12.95" customHeight="1">
      <c r="A12" s="427"/>
      <c r="B12" s="788" t="s">
        <v>125</v>
      </c>
      <c r="C12" s="797"/>
      <c r="D12" s="797"/>
      <c r="E12" s="789"/>
      <c r="F12" s="797">
        <v>44442</v>
      </c>
      <c r="G12" s="797">
        <v>266023.33333333331</v>
      </c>
      <c r="H12" s="789">
        <f t="shared" si="0"/>
        <v>167.06053353715842</v>
      </c>
      <c r="I12" s="420"/>
      <c r="J12" s="420"/>
      <c r="K12" s="420"/>
      <c r="L12" s="438"/>
      <c r="M12" s="427"/>
    </row>
    <row r="13" spans="1:13" ht="12.95" customHeight="1">
      <c r="A13" s="427"/>
      <c r="B13" s="788" t="s">
        <v>126</v>
      </c>
      <c r="C13" s="797"/>
      <c r="D13" s="797"/>
      <c r="E13" s="789"/>
      <c r="F13" s="797">
        <v>51099</v>
      </c>
      <c r="G13" s="797">
        <v>307406.66666666669</v>
      </c>
      <c r="H13" s="789">
        <f t="shared" si="0"/>
        <v>166.22606319533298</v>
      </c>
      <c r="I13" s="420"/>
      <c r="J13" s="420"/>
      <c r="K13" s="420"/>
      <c r="L13" s="1221"/>
      <c r="M13" s="427"/>
    </row>
    <row r="14" spans="1:13" ht="12.95" customHeight="1">
      <c r="A14" s="427"/>
      <c r="B14" s="788" t="s">
        <v>128</v>
      </c>
      <c r="C14" s="797"/>
      <c r="D14" s="797"/>
      <c r="E14" s="789"/>
      <c r="F14" s="797">
        <v>50698</v>
      </c>
      <c r="G14" s="797">
        <v>315553</v>
      </c>
      <c r="H14" s="789">
        <f t="shared" si="0"/>
        <v>160.66397720826612</v>
      </c>
      <c r="I14" s="420"/>
      <c r="J14" s="420"/>
      <c r="K14" s="420"/>
      <c r="L14" s="438"/>
      <c r="M14" s="427"/>
    </row>
    <row r="15" spans="1:13" ht="12.95" customHeight="1">
      <c r="A15" s="427"/>
      <c r="B15" s="788" t="s">
        <v>129</v>
      </c>
      <c r="C15" s="797"/>
      <c r="D15" s="797"/>
      <c r="E15" s="789"/>
      <c r="F15" s="797">
        <v>50178.065000000002</v>
      </c>
      <c r="G15" s="797">
        <v>306961.11300000001</v>
      </c>
      <c r="H15" s="789">
        <f>(F15*1000)/G15</f>
        <v>163.4671718172979</v>
      </c>
      <c r="I15" s="420"/>
      <c r="J15" s="420"/>
      <c r="K15" s="420"/>
      <c r="L15" s="438"/>
      <c r="M15" s="427"/>
    </row>
    <row r="16" spans="1:13" ht="12.95" customHeight="1">
      <c r="A16" s="427"/>
      <c r="B16" s="788" t="s">
        <v>130</v>
      </c>
      <c r="C16" s="797"/>
      <c r="D16" s="797"/>
      <c r="E16" s="789"/>
      <c r="F16" s="797">
        <v>47654.6</v>
      </c>
      <c r="G16" s="797">
        <v>297746.40000000002</v>
      </c>
      <c r="H16" s="789">
        <f>(F16*1000)/G16</f>
        <v>160.0509695499257</v>
      </c>
      <c r="I16" s="420"/>
      <c r="J16" s="420"/>
      <c r="K16" s="420"/>
      <c r="L16" s="438"/>
      <c r="M16" s="427"/>
    </row>
    <row r="17" spans="1:13" ht="12.95" customHeight="1">
      <c r="A17" s="427"/>
      <c r="B17" s="788" t="s">
        <v>131</v>
      </c>
      <c r="C17" s="797"/>
      <c r="D17" s="797"/>
      <c r="E17" s="789"/>
      <c r="F17" s="797">
        <v>46968.487000000001</v>
      </c>
      <c r="G17" s="797">
        <v>298776.53000000003</v>
      </c>
      <c r="H17" s="789">
        <f>(F17*1000)/G17</f>
        <v>157.20273275815873</v>
      </c>
      <c r="I17" s="420"/>
      <c r="J17" s="420"/>
      <c r="K17" s="420"/>
      <c r="L17" s="438"/>
      <c r="M17" s="428"/>
    </row>
    <row r="18" spans="1:13" ht="12.95" customHeight="1">
      <c r="A18" s="427"/>
      <c r="B18" s="788" t="s">
        <v>132</v>
      </c>
      <c r="C18" s="797"/>
      <c r="D18" s="797"/>
      <c r="E18" s="789"/>
      <c r="F18" s="797">
        <v>34466</v>
      </c>
      <c r="G18" s="797">
        <v>224483</v>
      </c>
      <c r="H18" s="789">
        <f>(F18*1000)/G18</f>
        <v>153.53501155989539</v>
      </c>
      <c r="I18" s="420"/>
      <c r="J18" s="420"/>
      <c r="K18" s="420"/>
      <c r="L18" s="438"/>
      <c r="M18" s="427"/>
    </row>
    <row r="19" spans="1:13" ht="12.95" customHeight="1">
      <c r="A19" s="427"/>
      <c r="B19" s="788" t="s">
        <v>133</v>
      </c>
      <c r="C19" s="792"/>
      <c r="D19" s="793"/>
      <c r="E19" s="796"/>
      <c r="F19" s="792">
        <v>46507.150999999998</v>
      </c>
      <c r="G19" s="793">
        <v>306532</v>
      </c>
      <c r="H19" s="796">
        <f t="shared" si="0"/>
        <v>151.72037829655631</v>
      </c>
      <c r="I19" s="423"/>
      <c r="J19" s="421"/>
      <c r="K19" s="421"/>
      <c r="L19" s="439"/>
      <c r="M19" s="427"/>
    </row>
    <row r="20" spans="1:13" ht="12.95" customHeight="1">
      <c r="A20" s="427"/>
      <c r="B20" s="794" t="s">
        <v>115</v>
      </c>
      <c r="C20" s="792">
        <f>SUM(C7:C19)-C10</f>
        <v>130233.25899999999</v>
      </c>
      <c r="D20" s="811">
        <f>SUM(D7:D19)-D10</f>
        <v>875087.63299999991</v>
      </c>
      <c r="E20" s="796">
        <f>(C20*1000)/D20</f>
        <v>148.82310535406685</v>
      </c>
      <c r="F20" s="811">
        <f>SUM(F7:F19)-F10</f>
        <v>556404.30299999996</v>
      </c>
      <c r="G20" s="811">
        <f>SUM(G7:G19)-G10</f>
        <v>3384888.7096666666</v>
      </c>
      <c r="H20" s="795">
        <f>(F20*1000)/G20</f>
        <v>164.37890599209479</v>
      </c>
      <c r="I20" s="536"/>
      <c r="J20" s="536"/>
      <c r="K20" s="536"/>
      <c r="L20" s="597"/>
      <c r="M20" s="427"/>
    </row>
    <row r="21" spans="1:13" ht="12.95" customHeight="1">
      <c r="A21" s="427"/>
      <c r="B21" s="442" t="s">
        <v>116</v>
      </c>
      <c r="C21" s="443"/>
      <c r="D21" s="443"/>
      <c r="E21" s="135"/>
      <c r="F21" s="426" t="s">
        <v>143</v>
      </c>
      <c r="G21" s="444"/>
      <c r="H21" s="135"/>
      <c r="I21" s="135"/>
      <c r="J21" s="426" t="s">
        <v>135</v>
      </c>
      <c r="K21" s="135"/>
      <c r="L21" s="78"/>
      <c r="M21" s="427"/>
    </row>
    <row r="22" spans="1:13" ht="12.95" customHeight="1">
      <c r="A22" s="427"/>
      <c r="B22" s="442" t="s">
        <v>335</v>
      </c>
      <c r="C22" s="443"/>
      <c r="D22" s="443"/>
      <c r="E22" s="135"/>
      <c r="F22" s="426" t="s">
        <v>134</v>
      </c>
      <c r="G22" s="444"/>
      <c r="H22" s="135"/>
      <c r="I22" s="135"/>
      <c r="J22" s="426" t="s">
        <v>136</v>
      </c>
      <c r="K22" s="135"/>
      <c r="L22" s="78"/>
      <c r="M22" s="427"/>
    </row>
    <row r="23" spans="1:13">
      <c r="A23" s="427"/>
      <c r="B23" s="142"/>
      <c r="C23" s="443"/>
      <c r="D23" s="443"/>
      <c r="E23" s="135"/>
      <c r="F23" s="444"/>
      <c r="G23" s="444"/>
      <c r="H23" s="135"/>
      <c r="I23" s="135"/>
      <c r="J23" s="135"/>
      <c r="K23" s="135"/>
      <c r="L23" s="78"/>
      <c r="M23" s="427"/>
    </row>
    <row r="24" spans="1:13">
      <c r="A24" s="427"/>
      <c r="B24" s="142"/>
      <c r="C24" s="443"/>
      <c r="D24" s="443"/>
      <c r="E24" s="135"/>
      <c r="F24" s="444"/>
      <c r="G24" s="444"/>
      <c r="H24" s="135"/>
      <c r="I24" s="135"/>
      <c r="J24" s="135"/>
      <c r="K24" s="135"/>
      <c r="L24" s="78"/>
      <c r="M24" s="427"/>
    </row>
    <row r="25" spans="1:13">
      <c r="A25" s="427"/>
      <c r="B25" s="142"/>
      <c r="C25" s="443"/>
      <c r="D25" s="443"/>
      <c r="E25" s="135"/>
      <c r="F25" s="444"/>
      <c r="G25" s="444"/>
      <c r="H25" s="135"/>
      <c r="I25" s="135"/>
      <c r="J25" s="135"/>
      <c r="K25" s="135"/>
      <c r="L25" s="78"/>
      <c r="M25" s="427"/>
    </row>
    <row r="26" spans="1:13">
      <c r="A26" s="427"/>
      <c r="B26" s="445"/>
      <c r="C26" s="443"/>
      <c r="D26" s="443"/>
      <c r="E26" s="143"/>
      <c r="F26" s="143"/>
      <c r="G26" s="143"/>
      <c r="H26" s="143"/>
      <c r="I26" s="143"/>
      <c r="J26" s="143"/>
      <c r="K26" s="143"/>
      <c r="L26" s="144"/>
      <c r="M26" s="427"/>
    </row>
    <row r="27" spans="1:13">
      <c r="A27" s="427"/>
      <c r="B27" s="140"/>
      <c r="C27" s="135"/>
      <c r="D27" s="135"/>
      <c r="E27" s="135"/>
      <c r="F27" s="135"/>
      <c r="G27" s="135"/>
      <c r="H27" s="135"/>
      <c r="I27" s="135"/>
      <c r="J27" s="135"/>
      <c r="K27" s="135"/>
      <c r="L27" s="78"/>
      <c r="M27" s="427"/>
    </row>
    <row r="28" spans="1:13">
      <c r="A28" s="427"/>
      <c r="B28" s="140"/>
      <c r="C28" s="135"/>
      <c r="D28" s="135"/>
      <c r="E28" s="135"/>
      <c r="F28" s="135"/>
      <c r="G28" s="135"/>
      <c r="H28" s="135"/>
      <c r="I28" s="135"/>
      <c r="J28" s="135"/>
      <c r="K28" s="135"/>
      <c r="L28" s="78"/>
      <c r="M28" s="427"/>
    </row>
    <row r="29" spans="1:13">
      <c r="A29" s="427"/>
      <c r="B29" s="140"/>
      <c r="C29" s="135"/>
      <c r="D29" s="135"/>
      <c r="E29" s="135"/>
      <c r="F29" s="135"/>
      <c r="G29" s="135"/>
      <c r="H29" s="135"/>
      <c r="I29" s="135"/>
      <c r="J29" s="135"/>
      <c r="K29" s="135"/>
      <c r="L29" s="78"/>
      <c r="M29" s="427"/>
    </row>
    <row r="30" spans="1:13">
      <c r="A30" s="427"/>
      <c r="B30" s="140"/>
      <c r="C30" s="135"/>
      <c r="D30" s="135"/>
      <c r="E30" s="135"/>
      <c r="F30" s="135"/>
      <c r="G30" s="135"/>
      <c r="H30" s="135"/>
      <c r="I30" s="135"/>
      <c r="J30" s="135"/>
      <c r="K30" s="135"/>
      <c r="L30" s="78"/>
      <c r="M30" s="427"/>
    </row>
    <row r="31" spans="1:13">
      <c r="A31" s="427"/>
      <c r="B31" s="140"/>
      <c r="C31" s="135"/>
      <c r="D31" s="135"/>
      <c r="E31" s="135"/>
      <c r="F31" s="135"/>
      <c r="G31" s="135"/>
      <c r="H31" s="135"/>
      <c r="I31" s="135"/>
      <c r="J31" s="135"/>
      <c r="K31" s="135"/>
      <c r="L31" s="78"/>
      <c r="M31" s="427"/>
    </row>
    <row r="32" spans="1:13">
      <c r="A32" s="427"/>
      <c r="B32" s="140"/>
      <c r="C32" s="135"/>
      <c r="D32" s="135"/>
      <c r="E32" s="135"/>
      <c r="F32" s="135"/>
      <c r="G32" s="135"/>
      <c r="H32" s="135"/>
      <c r="I32" s="135"/>
      <c r="J32" s="135"/>
      <c r="K32" s="135"/>
      <c r="L32" s="78"/>
      <c r="M32" s="427"/>
    </row>
    <row r="33" spans="1:13">
      <c r="A33" s="427"/>
      <c r="B33" s="140"/>
      <c r="C33" s="135"/>
      <c r="D33" s="135"/>
      <c r="E33" s="135"/>
      <c r="F33" s="135"/>
      <c r="G33" s="135"/>
      <c r="H33" s="135"/>
      <c r="I33" s="135"/>
      <c r="J33" s="135"/>
      <c r="K33" s="135"/>
      <c r="L33" s="78"/>
      <c r="M33" s="427"/>
    </row>
    <row r="34" spans="1:13">
      <c r="A34" s="427"/>
      <c r="B34" s="140"/>
      <c r="C34" s="135"/>
      <c r="D34" s="135"/>
      <c r="E34" s="135"/>
      <c r="F34" s="135"/>
      <c r="G34" s="135"/>
      <c r="H34" s="135"/>
      <c r="I34" s="135"/>
      <c r="J34" s="135"/>
      <c r="K34" s="135"/>
      <c r="L34" s="78"/>
      <c r="M34" s="427"/>
    </row>
    <row r="35" spans="1:13">
      <c r="A35" s="427"/>
      <c r="B35" s="140"/>
      <c r="C35" s="135"/>
      <c r="D35" s="135"/>
      <c r="E35" s="135"/>
      <c r="F35" s="135"/>
      <c r="G35" s="135"/>
      <c r="H35" s="135"/>
      <c r="I35" s="135"/>
      <c r="J35" s="135"/>
      <c r="K35" s="135"/>
      <c r="L35" s="78"/>
      <c r="M35" s="427"/>
    </row>
    <row r="36" spans="1:13">
      <c r="A36" s="427"/>
      <c r="B36" s="446"/>
      <c r="C36" s="114"/>
      <c r="D36" s="114"/>
      <c r="E36" s="114"/>
      <c r="F36" s="114"/>
      <c r="G36" s="114"/>
      <c r="H36" s="114"/>
      <c r="I36" s="114"/>
      <c r="J36" s="114"/>
      <c r="K36" s="114"/>
      <c r="L36" s="447"/>
      <c r="M36" s="427"/>
    </row>
    <row r="37" spans="1:13" ht="15" customHeight="1">
      <c r="A37" s="427"/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7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</sheetData>
  <mergeCells count="7">
    <mergeCell ref="B1:M1"/>
    <mergeCell ref="B2:L2"/>
    <mergeCell ref="B3:L3"/>
    <mergeCell ref="C5:E5"/>
    <mergeCell ref="F5:H5"/>
    <mergeCell ref="I5:J5"/>
    <mergeCell ref="K5:L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94"/>
  <sheetViews>
    <sheetView zoomScaleNormal="100" workbookViewId="0">
      <selection activeCell="O26" sqref="O26"/>
    </sheetView>
  </sheetViews>
  <sheetFormatPr defaultColWidth="11.42578125" defaultRowHeight="14.25"/>
  <cols>
    <col min="1" max="1" width="2.710937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5" ht="15" customHeight="1">
      <c r="A1" s="1325" t="s">
        <v>455</v>
      </c>
      <c r="B1" s="1325"/>
      <c r="C1" s="1325"/>
      <c r="D1" s="1325"/>
      <c r="E1" s="1325"/>
      <c r="F1" s="1325"/>
      <c r="G1" s="1325"/>
      <c r="H1" s="1325"/>
      <c r="I1" s="1325"/>
      <c r="J1" s="1325"/>
      <c r="K1" s="1325"/>
      <c r="L1" s="1325"/>
      <c r="M1" s="1325"/>
    </row>
    <row r="2" spans="1:15" ht="8.25" customHeight="1">
      <c r="A2" s="427"/>
      <c r="B2" s="1326"/>
      <c r="C2" s="1327"/>
      <c r="D2" s="1327"/>
      <c r="E2" s="1327"/>
      <c r="F2" s="1327"/>
      <c r="G2" s="1327"/>
      <c r="H2" s="1327"/>
      <c r="I2" s="1327"/>
      <c r="J2" s="1327"/>
      <c r="K2" s="1327"/>
      <c r="L2" s="1328"/>
      <c r="M2" s="427"/>
    </row>
    <row r="3" spans="1:15" ht="20.25" customHeight="1">
      <c r="A3" s="427"/>
      <c r="B3" s="1329" t="s">
        <v>341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1"/>
      <c r="M3" s="427"/>
    </row>
    <row r="4" spans="1:15" ht="14.1" customHeight="1">
      <c r="A4" s="427"/>
      <c r="B4" s="430"/>
      <c r="C4" s="431"/>
      <c r="D4" s="431"/>
      <c r="E4" s="432"/>
      <c r="F4" s="432"/>
      <c r="G4" s="432"/>
      <c r="H4" s="432"/>
      <c r="I4" s="432"/>
      <c r="J4" s="432"/>
      <c r="K4" s="432"/>
      <c r="L4" s="433"/>
      <c r="M4" s="427"/>
    </row>
    <row r="5" spans="1:15" ht="12.95" customHeight="1">
      <c r="A5" s="427"/>
      <c r="B5" s="434" t="s">
        <v>118</v>
      </c>
      <c r="C5" s="1332">
        <v>2016</v>
      </c>
      <c r="D5" s="1333"/>
      <c r="E5" s="1334"/>
      <c r="F5" s="1332">
        <v>2015</v>
      </c>
      <c r="G5" s="1333"/>
      <c r="H5" s="1334"/>
      <c r="I5" s="1332" t="s">
        <v>511</v>
      </c>
      <c r="J5" s="1334"/>
      <c r="K5" s="1332" t="s">
        <v>512</v>
      </c>
      <c r="L5" s="1334"/>
      <c r="M5" s="427"/>
    </row>
    <row r="6" spans="1:15" ht="12.95" customHeight="1">
      <c r="A6" s="427"/>
      <c r="B6" s="435"/>
      <c r="C6" s="415" t="s">
        <v>119</v>
      </c>
      <c r="D6" s="416" t="s">
        <v>120</v>
      </c>
      <c r="E6" s="417" t="s">
        <v>11</v>
      </c>
      <c r="F6" s="415" t="s">
        <v>119</v>
      </c>
      <c r="G6" s="416" t="s">
        <v>120</v>
      </c>
      <c r="H6" s="417" t="s">
        <v>11</v>
      </c>
      <c r="I6" s="418" t="s">
        <v>119</v>
      </c>
      <c r="J6" s="419" t="s">
        <v>120</v>
      </c>
      <c r="K6" s="415" t="s">
        <v>119</v>
      </c>
      <c r="L6" s="436" t="s">
        <v>120</v>
      </c>
      <c r="M6" s="427"/>
    </row>
    <row r="7" spans="1:15" ht="12.95" customHeight="1">
      <c r="A7" s="427"/>
      <c r="B7" s="785" t="s">
        <v>121</v>
      </c>
      <c r="C7" s="786">
        <v>596.52300000000002</v>
      </c>
      <c r="D7" s="786">
        <v>2257.29</v>
      </c>
      <c r="E7" s="787">
        <f>(C7*1000)/D7</f>
        <v>264.26511436279787</v>
      </c>
      <c r="F7" s="786">
        <v>302</v>
      </c>
      <c r="G7" s="786">
        <v>912.33333333333337</v>
      </c>
      <c r="H7" s="787">
        <f t="shared" ref="H7:H19" si="0">(F7*1000)/G7</f>
        <v>331.01936426744612</v>
      </c>
      <c r="I7" s="420">
        <f>C7+SUM(F15:F19)</f>
        <v>4530.4830000000002</v>
      </c>
      <c r="J7" s="420">
        <f>D7+SUM(G15:G19)</f>
        <v>15770.198</v>
      </c>
      <c r="K7" s="420">
        <f>C7+SUM(F8:F19)-F10</f>
        <v>10373.483</v>
      </c>
      <c r="L7" s="1206">
        <f>D7+SUM(G8:G19)-G10</f>
        <v>34651.698000000004</v>
      </c>
      <c r="M7" s="427"/>
    </row>
    <row r="8" spans="1:15" ht="12.95" customHeight="1">
      <c r="A8" s="427"/>
      <c r="B8" s="788" t="s">
        <v>122</v>
      </c>
      <c r="C8" s="786">
        <v>1116.1300000000001</v>
      </c>
      <c r="D8" s="786">
        <v>2282.38</v>
      </c>
      <c r="E8" s="789">
        <f>(C8*1000)/D8</f>
        <v>489.02023326527569</v>
      </c>
      <c r="F8" s="786">
        <v>912</v>
      </c>
      <c r="G8" s="786">
        <v>2816.3333333333335</v>
      </c>
      <c r="H8" s="789">
        <f t="shared" si="0"/>
        <v>323.82530476979525</v>
      </c>
      <c r="I8" s="420">
        <f>SUM(C7+C8)+SUM(F16:F19)</f>
        <v>4841.7260000000006</v>
      </c>
      <c r="J8" s="420">
        <f>SUM(D7+D8)+SUM(G16:G19)</f>
        <v>15744.93</v>
      </c>
      <c r="K8" s="420">
        <f>SUM(C7+C8)+SUM(F9:F19)-F10</f>
        <v>10577.612999999999</v>
      </c>
      <c r="L8" s="438">
        <f>SUM(D7+D8)+SUM(G9:G19)-G10</f>
        <v>34117.744666666666</v>
      </c>
      <c r="M8" s="427"/>
    </row>
    <row r="9" spans="1:15" ht="12.95" customHeight="1">
      <c r="A9" s="427"/>
      <c r="B9" s="788" t="s">
        <v>123</v>
      </c>
      <c r="C9" s="786">
        <v>596.02599999999995</v>
      </c>
      <c r="D9" s="786">
        <v>3605.6019999999999</v>
      </c>
      <c r="E9" s="789">
        <f>(C9*1000)/D9</f>
        <v>165.30554398405593</v>
      </c>
      <c r="F9" s="786">
        <v>1146</v>
      </c>
      <c r="G9" s="786">
        <v>3946.8333333333335</v>
      </c>
      <c r="H9" s="789">
        <f>(F9*1000)/G9</f>
        <v>290.3593598243317</v>
      </c>
      <c r="I9" s="423">
        <f>SUM(C7:C9)+SUM(F17:F19)</f>
        <v>4622.5519999999997</v>
      </c>
      <c r="J9" s="421">
        <f>SUM(D7:D9)+SUM(G17:G19)</f>
        <v>16441.531999999999</v>
      </c>
      <c r="K9" s="421">
        <f>SUM(C7:C9)+SUM(F11:F19)</f>
        <v>10027.638999999999</v>
      </c>
      <c r="L9" s="439">
        <f>SUM(D7:D9)+SUM(G11:G19)</f>
        <v>33776.513333333329</v>
      </c>
      <c r="M9" s="427"/>
    </row>
    <row r="10" spans="1:15" ht="12.95" customHeight="1">
      <c r="A10" s="427"/>
      <c r="B10" s="794" t="s">
        <v>539</v>
      </c>
      <c r="C10" s="900">
        <f>SUM(C7:C9)</f>
        <v>2308.6790000000001</v>
      </c>
      <c r="D10" s="900">
        <f>SUM(D7:D9)</f>
        <v>8145.2719999999999</v>
      </c>
      <c r="E10" s="425">
        <f>(C10*1000)/D10</f>
        <v>283.43792570708507</v>
      </c>
      <c r="F10" s="900">
        <f>SUM(F7:F9)</f>
        <v>2360</v>
      </c>
      <c r="G10" s="900">
        <f>SUM(G7:G9)</f>
        <v>7675.5</v>
      </c>
      <c r="H10" s="425">
        <f>(F10*1000)/G10</f>
        <v>307.47182593967818</v>
      </c>
      <c r="I10" s="420"/>
      <c r="J10" s="420"/>
      <c r="K10" s="420"/>
      <c r="L10" s="438"/>
      <c r="M10" s="427"/>
    </row>
    <row r="11" spans="1:15" ht="12.95" customHeight="1">
      <c r="A11" s="427"/>
      <c r="B11" s="788" t="s">
        <v>124</v>
      </c>
      <c r="C11" s="786"/>
      <c r="D11" s="786"/>
      <c r="E11" s="789"/>
      <c r="F11" s="786">
        <v>607</v>
      </c>
      <c r="G11" s="786">
        <v>1804.8333333333333</v>
      </c>
      <c r="H11" s="789">
        <f t="shared" si="0"/>
        <v>336.31914304183215</v>
      </c>
      <c r="I11" s="420"/>
      <c r="J11" s="420"/>
      <c r="K11" s="420"/>
      <c r="L11" s="438"/>
      <c r="M11" s="427"/>
    </row>
    <row r="12" spans="1:15" ht="12.95" customHeight="1">
      <c r="A12" s="427"/>
      <c r="B12" s="788" t="s">
        <v>125</v>
      </c>
      <c r="C12" s="786"/>
      <c r="D12" s="786"/>
      <c r="E12" s="789"/>
      <c r="F12" s="786">
        <v>795</v>
      </c>
      <c r="G12" s="786">
        <v>2419.6666666666665</v>
      </c>
      <c r="H12" s="789">
        <f t="shared" si="0"/>
        <v>328.55765256922444</v>
      </c>
      <c r="I12" s="420"/>
      <c r="J12" s="420"/>
      <c r="K12" s="420"/>
      <c r="L12" s="438"/>
      <c r="M12" s="427"/>
    </row>
    <row r="13" spans="1:15" ht="12.95" customHeight="1">
      <c r="A13" s="427"/>
      <c r="B13" s="788" t="s">
        <v>126</v>
      </c>
      <c r="C13" s="786"/>
      <c r="D13" s="786"/>
      <c r="E13" s="789"/>
      <c r="F13" s="786">
        <v>1280</v>
      </c>
      <c r="G13" s="786">
        <v>4184.833333333333</v>
      </c>
      <c r="H13" s="789">
        <f t="shared" si="0"/>
        <v>305.86642239834322</v>
      </c>
      <c r="I13" s="420"/>
      <c r="J13" s="420"/>
      <c r="K13" s="420"/>
      <c r="L13" s="438"/>
      <c r="M13" s="427"/>
    </row>
    <row r="14" spans="1:15" ht="12.95" customHeight="1">
      <c r="A14" s="427"/>
      <c r="B14" s="788" t="s">
        <v>128</v>
      </c>
      <c r="C14" s="791"/>
      <c r="D14" s="791"/>
      <c r="E14" s="588"/>
      <c r="F14" s="791">
        <v>1103</v>
      </c>
      <c r="G14" s="791">
        <v>3709</v>
      </c>
      <c r="H14" s="588">
        <f t="shared" si="0"/>
        <v>297.38473982205448</v>
      </c>
      <c r="I14" s="420"/>
      <c r="J14" s="420"/>
      <c r="K14" s="420"/>
      <c r="L14" s="438"/>
      <c r="M14" s="427"/>
    </row>
    <row r="15" spans="1:15" ht="12.95" customHeight="1">
      <c r="A15" s="427"/>
      <c r="B15" s="788" t="s">
        <v>129</v>
      </c>
      <c r="C15" s="786"/>
      <c r="D15" s="786"/>
      <c r="E15" s="789"/>
      <c r="F15" s="786">
        <v>804.88699999999994</v>
      </c>
      <c r="G15" s="786">
        <v>2307.6480000000001</v>
      </c>
      <c r="H15" s="789">
        <f>(F15*1000)/G15</f>
        <v>348.79106345508501</v>
      </c>
      <c r="I15" s="420"/>
      <c r="J15" s="420"/>
      <c r="K15" s="420"/>
      <c r="L15" s="438"/>
      <c r="M15" s="427"/>
    </row>
    <row r="16" spans="1:15" ht="12.95" customHeight="1">
      <c r="A16" s="427"/>
      <c r="B16" s="788" t="s">
        <v>130</v>
      </c>
      <c r="C16" s="786"/>
      <c r="D16" s="786"/>
      <c r="E16" s="789"/>
      <c r="F16" s="786">
        <v>815.2</v>
      </c>
      <c r="G16" s="786">
        <v>2909</v>
      </c>
      <c r="H16" s="789">
        <f>(F16*1000)/G16</f>
        <v>280.2337573049158</v>
      </c>
      <c r="I16" s="420"/>
      <c r="J16" s="420"/>
      <c r="K16" s="420"/>
      <c r="L16" s="438"/>
      <c r="M16" s="427"/>
      <c r="O16" s="1220"/>
    </row>
    <row r="17" spans="1:13" ht="12.95" customHeight="1">
      <c r="A17" s="427"/>
      <c r="B17" s="788" t="s">
        <v>131</v>
      </c>
      <c r="C17" s="786"/>
      <c r="D17" s="786"/>
      <c r="E17" s="789"/>
      <c r="F17" s="786">
        <v>1003.873</v>
      </c>
      <c r="G17" s="786">
        <v>4042.26</v>
      </c>
      <c r="H17" s="789">
        <f>(F17*1000)/G17</f>
        <v>248.34449045830797</v>
      </c>
      <c r="I17" s="420"/>
      <c r="J17" s="420"/>
      <c r="K17" s="420"/>
      <c r="L17" s="438"/>
      <c r="M17" s="428"/>
    </row>
    <row r="18" spans="1:13" ht="12.95" customHeight="1">
      <c r="A18" s="427"/>
      <c r="B18" s="788" t="s">
        <v>132</v>
      </c>
      <c r="C18" s="786"/>
      <c r="D18" s="786"/>
      <c r="E18" s="789"/>
      <c r="F18" s="786">
        <v>455</v>
      </c>
      <c r="G18" s="786">
        <v>1629</v>
      </c>
      <c r="H18" s="789">
        <f>(F18*1000)/G18</f>
        <v>279.31246163290365</v>
      </c>
      <c r="I18" s="420"/>
      <c r="J18" s="420"/>
      <c r="K18" s="420"/>
      <c r="L18" s="438"/>
      <c r="M18" s="427"/>
    </row>
    <row r="19" spans="1:13" ht="12.95" customHeight="1">
      <c r="A19" s="427"/>
      <c r="B19" s="788" t="s">
        <v>133</v>
      </c>
      <c r="C19" s="792"/>
      <c r="D19" s="793"/>
      <c r="E19" s="796"/>
      <c r="F19" s="792">
        <v>855</v>
      </c>
      <c r="G19" s="793">
        <v>2625</v>
      </c>
      <c r="H19" s="796">
        <f t="shared" si="0"/>
        <v>325.71428571428572</v>
      </c>
      <c r="I19" s="423"/>
      <c r="J19" s="421"/>
      <c r="K19" s="421"/>
      <c r="L19" s="439"/>
      <c r="M19" s="427"/>
    </row>
    <row r="20" spans="1:13" ht="12.95" customHeight="1">
      <c r="A20" s="427"/>
      <c r="B20" s="794" t="s">
        <v>115</v>
      </c>
      <c r="C20" s="792">
        <f>SUM(C7:C19)-C10</f>
        <v>2308.6790000000001</v>
      </c>
      <c r="D20" s="811">
        <f>SUM(D7:D19)-D10</f>
        <v>8145.2719999999999</v>
      </c>
      <c r="E20" s="796">
        <f>(C20*1000)/D20</f>
        <v>283.43792570708507</v>
      </c>
      <c r="F20" s="793">
        <f>SUM(F7:F19)-F10</f>
        <v>10078.960000000001</v>
      </c>
      <c r="G20" s="793">
        <f>SUM(G7:G19)-G10</f>
        <v>33306.741333333332</v>
      </c>
      <c r="H20" s="796">
        <f>(F20*1000)/G20</f>
        <v>302.61021032138603</v>
      </c>
      <c r="I20" s="536"/>
      <c r="J20" s="536"/>
      <c r="K20" s="536"/>
      <c r="L20" s="597"/>
      <c r="M20" s="427"/>
    </row>
    <row r="21" spans="1:13" ht="12.95" customHeight="1">
      <c r="A21" s="427"/>
      <c r="B21" s="442" t="s">
        <v>116</v>
      </c>
      <c r="C21" s="443"/>
      <c r="D21" s="443"/>
      <c r="E21" s="426" t="s">
        <v>144</v>
      </c>
      <c r="F21" s="523"/>
      <c r="G21" s="444"/>
      <c r="H21" s="135"/>
      <c r="I21" s="135"/>
      <c r="J21" s="426" t="s">
        <v>135</v>
      </c>
      <c r="K21" s="135"/>
      <c r="L21" s="78"/>
      <c r="M21" s="427"/>
    </row>
    <row r="22" spans="1:13" ht="12.95" customHeight="1">
      <c r="A22" s="427"/>
      <c r="B22" s="442" t="s">
        <v>335</v>
      </c>
      <c r="C22" s="443"/>
      <c r="D22" s="443"/>
      <c r="E22" s="426" t="s">
        <v>134</v>
      </c>
      <c r="F22" s="523"/>
      <c r="G22" s="444"/>
      <c r="H22" s="135"/>
      <c r="I22" s="135"/>
      <c r="J22" s="426" t="s">
        <v>136</v>
      </c>
      <c r="K22" s="135"/>
      <c r="L22" s="78"/>
      <c r="M22" s="427"/>
    </row>
    <row r="23" spans="1:13">
      <c r="A23" s="427"/>
      <c r="B23" s="142"/>
      <c r="C23" s="443"/>
      <c r="D23" s="443"/>
      <c r="E23" s="135"/>
      <c r="F23" s="444"/>
      <c r="G23" s="444"/>
      <c r="H23" s="135"/>
      <c r="I23" s="135"/>
      <c r="J23" s="135"/>
      <c r="K23" s="135"/>
      <c r="L23" s="78"/>
      <c r="M23" s="427"/>
    </row>
    <row r="24" spans="1:13">
      <c r="A24" s="427"/>
      <c r="B24" s="142"/>
      <c r="C24" s="443"/>
      <c r="D24" s="443"/>
      <c r="E24" s="135"/>
      <c r="F24" s="444"/>
      <c r="G24" s="444"/>
      <c r="H24" s="135"/>
      <c r="I24" s="135"/>
      <c r="J24" s="135"/>
      <c r="K24" s="135"/>
      <c r="L24" s="78"/>
      <c r="M24" s="427"/>
    </row>
    <row r="25" spans="1:13">
      <c r="A25" s="427"/>
      <c r="B25" s="142"/>
      <c r="C25" s="443"/>
      <c r="D25" s="443"/>
      <c r="E25" s="135"/>
      <c r="F25" s="444"/>
      <c r="G25" s="444"/>
      <c r="H25" s="135"/>
      <c r="I25" s="135"/>
      <c r="J25" s="135"/>
      <c r="K25" s="135"/>
      <c r="L25" s="78"/>
      <c r="M25" s="427"/>
    </row>
    <row r="26" spans="1:13">
      <c r="A26" s="427"/>
      <c r="B26" s="142"/>
      <c r="C26" s="443"/>
      <c r="D26" s="443"/>
      <c r="E26" s="135"/>
      <c r="F26" s="444"/>
      <c r="G26" s="444"/>
      <c r="H26" s="135"/>
      <c r="I26" s="135"/>
      <c r="J26" s="135"/>
      <c r="K26" s="135"/>
      <c r="L26" s="78"/>
      <c r="M26" s="427"/>
    </row>
    <row r="27" spans="1:13">
      <c r="A27" s="427"/>
      <c r="B27" s="142"/>
      <c r="C27" s="443"/>
      <c r="D27" s="443"/>
      <c r="E27" s="135"/>
      <c r="F27" s="444"/>
      <c r="G27" s="444"/>
      <c r="H27" s="135"/>
      <c r="I27" s="135"/>
      <c r="J27" s="135"/>
      <c r="K27" s="135"/>
      <c r="L27" s="78"/>
      <c r="M27" s="427"/>
    </row>
    <row r="28" spans="1:13">
      <c r="A28" s="427"/>
      <c r="B28" s="140"/>
      <c r="C28" s="135"/>
      <c r="D28" s="135"/>
      <c r="E28" s="135"/>
      <c r="F28" s="135"/>
      <c r="G28" s="135"/>
      <c r="H28" s="135"/>
      <c r="I28" s="135"/>
      <c r="J28" s="135"/>
      <c r="K28" s="135"/>
      <c r="L28" s="78"/>
      <c r="M28" s="427"/>
    </row>
    <row r="29" spans="1:13">
      <c r="A29" s="427"/>
      <c r="B29" s="140"/>
      <c r="C29" s="135"/>
      <c r="D29" s="135"/>
      <c r="E29" s="135"/>
      <c r="F29" s="135"/>
      <c r="G29" s="135"/>
      <c r="H29" s="135"/>
      <c r="I29" s="135"/>
      <c r="J29" s="135"/>
      <c r="K29" s="135"/>
      <c r="L29" s="78"/>
      <c r="M29" s="427"/>
    </row>
    <row r="30" spans="1:13">
      <c r="A30" s="427"/>
      <c r="B30" s="140"/>
      <c r="C30" s="135"/>
      <c r="D30" s="135"/>
      <c r="E30" s="135"/>
      <c r="F30" s="135"/>
      <c r="G30" s="135"/>
      <c r="H30" s="135"/>
      <c r="I30" s="135"/>
      <c r="J30" s="135"/>
      <c r="K30" s="135"/>
      <c r="L30" s="78"/>
      <c r="M30" s="427"/>
    </row>
    <row r="31" spans="1:13">
      <c r="A31" s="427"/>
      <c r="B31" s="140"/>
      <c r="C31" s="135"/>
      <c r="D31" s="135"/>
      <c r="E31" s="135"/>
      <c r="F31" s="135"/>
      <c r="G31" s="135"/>
      <c r="H31" s="135"/>
      <c r="I31" s="135"/>
      <c r="J31" s="135"/>
      <c r="K31" s="135"/>
      <c r="L31" s="78"/>
      <c r="M31" s="427"/>
    </row>
    <row r="32" spans="1:13">
      <c r="A32" s="427"/>
      <c r="B32" s="140"/>
      <c r="C32" s="135"/>
      <c r="D32" s="135"/>
      <c r="E32" s="135"/>
      <c r="F32" s="135"/>
      <c r="G32" s="135"/>
      <c r="H32" s="135"/>
      <c r="I32" s="135"/>
      <c r="J32" s="135"/>
      <c r="K32" s="135"/>
      <c r="L32" s="78"/>
      <c r="M32" s="427"/>
    </row>
    <row r="33" spans="1:13">
      <c r="A33" s="427"/>
      <c r="B33" s="140"/>
      <c r="C33" s="135"/>
      <c r="D33" s="135"/>
      <c r="E33" s="135"/>
      <c r="F33" s="135"/>
      <c r="G33" s="135"/>
      <c r="H33" s="135"/>
      <c r="I33" s="135"/>
      <c r="J33" s="135"/>
      <c r="K33" s="135"/>
      <c r="L33" s="78"/>
      <c r="M33" s="427"/>
    </row>
    <row r="34" spans="1:13">
      <c r="A34" s="427"/>
      <c r="B34" s="140"/>
      <c r="C34" s="135"/>
      <c r="D34" s="135"/>
      <c r="E34" s="135"/>
      <c r="F34" s="135"/>
      <c r="G34" s="135"/>
      <c r="H34" s="135"/>
      <c r="I34" s="135"/>
      <c r="J34" s="135"/>
      <c r="K34" s="135"/>
      <c r="L34" s="78"/>
      <c r="M34" s="427"/>
    </row>
    <row r="35" spans="1:13">
      <c r="A35" s="427"/>
      <c r="B35" s="140"/>
      <c r="C35" s="135"/>
      <c r="D35" s="135"/>
      <c r="E35" s="135"/>
      <c r="F35" s="135"/>
      <c r="G35" s="135"/>
      <c r="H35" s="135"/>
      <c r="I35" s="135"/>
      <c r="J35" s="135"/>
      <c r="K35" s="135"/>
      <c r="L35" s="78"/>
      <c r="M35" s="427"/>
    </row>
    <row r="36" spans="1:13">
      <c r="A36" s="427"/>
      <c r="B36" s="446"/>
      <c r="C36" s="114"/>
      <c r="D36" s="114"/>
      <c r="E36" s="114"/>
      <c r="F36" s="114"/>
      <c r="G36" s="114"/>
      <c r="H36" s="114"/>
      <c r="I36" s="114"/>
      <c r="J36" s="114"/>
      <c r="K36" s="114"/>
      <c r="L36" s="447"/>
      <c r="M36" s="427"/>
    </row>
    <row r="37" spans="1:13" ht="15" customHeight="1">
      <c r="A37" s="427"/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7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</sheetData>
  <mergeCells count="7">
    <mergeCell ref="A1:M1"/>
    <mergeCell ref="B2:L2"/>
    <mergeCell ref="B3:L3"/>
    <mergeCell ref="C5:E5"/>
    <mergeCell ref="F5:H5"/>
    <mergeCell ref="I5:J5"/>
    <mergeCell ref="K5:L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94"/>
  <sheetViews>
    <sheetView workbookViewId="0">
      <selection activeCell="P19" sqref="P19"/>
    </sheetView>
  </sheetViews>
  <sheetFormatPr defaultColWidth="11.42578125" defaultRowHeight="14.25"/>
  <cols>
    <col min="1" max="1" width="2.710937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3" ht="15" customHeight="1">
      <c r="A1" s="1325" t="s">
        <v>456</v>
      </c>
      <c r="B1" s="1325"/>
      <c r="C1" s="1325"/>
      <c r="D1" s="1325"/>
      <c r="E1" s="1325"/>
      <c r="F1" s="1325"/>
      <c r="G1" s="1325"/>
      <c r="H1" s="1325"/>
      <c r="I1" s="1325"/>
      <c r="J1" s="1325"/>
      <c r="K1" s="1325"/>
      <c r="L1" s="1325"/>
      <c r="M1" s="1325"/>
    </row>
    <row r="2" spans="1:13" ht="8.25" customHeight="1">
      <c r="A2" s="427"/>
      <c r="B2" s="1326"/>
      <c r="C2" s="1327"/>
      <c r="D2" s="1327"/>
      <c r="E2" s="1327"/>
      <c r="F2" s="1327"/>
      <c r="G2" s="1327"/>
      <c r="H2" s="1327"/>
      <c r="I2" s="1327"/>
      <c r="J2" s="1327"/>
      <c r="K2" s="1327"/>
      <c r="L2" s="1328"/>
      <c r="M2" s="427"/>
    </row>
    <row r="3" spans="1:13" ht="20.25" customHeight="1">
      <c r="A3" s="427"/>
      <c r="B3" s="1329" t="s">
        <v>342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1"/>
      <c r="M3" s="427"/>
    </row>
    <row r="4" spans="1:13" ht="14.1" customHeight="1">
      <c r="A4" s="427"/>
      <c r="B4" s="430"/>
      <c r="C4" s="431"/>
      <c r="D4" s="431"/>
      <c r="E4" s="432"/>
      <c r="F4" s="432"/>
      <c r="G4" s="432"/>
      <c r="H4" s="432"/>
      <c r="I4" s="432"/>
      <c r="J4" s="432"/>
      <c r="K4" s="432"/>
      <c r="L4" s="433"/>
      <c r="M4" s="427"/>
    </row>
    <row r="5" spans="1:13" ht="12.95" customHeight="1">
      <c r="A5" s="427"/>
      <c r="B5" s="434" t="s">
        <v>118</v>
      </c>
      <c r="C5" s="1332">
        <v>2016</v>
      </c>
      <c r="D5" s="1333"/>
      <c r="E5" s="1334"/>
      <c r="F5" s="1332">
        <v>2015</v>
      </c>
      <c r="G5" s="1333"/>
      <c r="H5" s="1334"/>
      <c r="I5" s="1332" t="s">
        <v>511</v>
      </c>
      <c r="J5" s="1334"/>
      <c r="K5" s="1332" t="s">
        <v>512</v>
      </c>
      <c r="L5" s="1334"/>
      <c r="M5" s="427"/>
    </row>
    <row r="6" spans="1:13" ht="12.95" customHeight="1">
      <c r="A6" s="427"/>
      <c r="B6" s="435"/>
      <c r="C6" s="415" t="s">
        <v>119</v>
      </c>
      <c r="D6" s="416" t="s">
        <v>120</v>
      </c>
      <c r="E6" s="901" t="s">
        <v>11</v>
      </c>
      <c r="F6" s="415" t="s">
        <v>119</v>
      </c>
      <c r="G6" s="416" t="s">
        <v>120</v>
      </c>
      <c r="H6" s="417" t="s">
        <v>11</v>
      </c>
      <c r="I6" s="418" t="s">
        <v>119</v>
      </c>
      <c r="J6" s="419" t="s">
        <v>120</v>
      </c>
      <c r="K6" s="415" t="s">
        <v>119</v>
      </c>
      <c r="L6" s="436" t="s">
        <v>120</v>
      </c>
      <c r="M6" s="427"/>
    </row>
    <row r="7" spans="1:13" ht="12.95" customHeight="1">
      <c r="A7" s="427"/>
      <c r="B7" s="785" t="s">
        <v>121</v>
      </c>
      <c r="C7" s="786">
        <v>1704.2429999999999</v>
      </c>
      <c r="D7" s="786">
        <v>17190.07</v>
      </c>
      <c r="E7" s="787">
        <f>(C7*1000)/D7</f>
        <v>99.141132060544251</v>
      </c>
      <c r="F7" s="786">
        <v>2615</v>
      </c>
      <c r="G7" s="786">
        <v>25696.666666666668</v>
      </c>
      <c r="H7" s="787">
        <f t="shared" ref="H7:H19" si="0">(F7*1000)/G7</f>
        <v>101.76417174730834</v>
      </c>
      <c r="I7" s="420">
        <f>C7+SUM(F15:F19)</f>
        <v>12681.019</v>
      </c>
      <c r="J7" s="420">
        <f>D7+SUM(G15:G19)</f>
        <v>110919.47</v>
      </c>
      <c r="K7" s="420">
        <f>C7+SUM(F8:F19)-F10</f>
        <v>35843.019000000008</v>
      </c>
      <c r="L7" s="420">
        <f>D7+SUM(G8:G19)-G10</f>
        <v>274416.13666666666</v>
      </c>
      <c r="M7" s="554"/>
    </row>
    <row r="8" spans="1:13" ht="12.95" customHeight="1">
      <c r="A8" s="427"/>
      <c r="B8" s="788" t="s">
        <v>122</v>
      </c>
      <c r="C8" s="786">
        <v>2375.0749999999998</v>
      </c>
      <c r="D8" s="786">
        <v>20005.36</v>
      </c>
      <c r="E8" s="789">
        <f>(C8*1000)/D8</f>
        <v>118.72193252208407</v>
      </c>
      <c r="F8" s="786">
        <v>3503</v>
      </c>
      <c r="G8" s="786">
        <v>24613.333333333332</v>
      </c>
      <c r="H8" s="789">
        <f t="shared" si="0"/>
        <v>142.32123510292524</v>
      </c>
      <c r="I8" s="420">
        <f>SUM(C7+C8)+SUM(F16:F19)</f>
        <v>13003.217999999999</v>
      </c>
      <c r="J8" s="420">
        <f>SUM(D7+D8)+SUM(G16:G19)</f>
        <v>114420.82999999999</v>
      </c>
      <c r="K8" s="420">
        <f>SUM(C7+C8)+SUM(F9:F19)-F10</f>
        <v>34715.094000000005</v>
      </c>
      <c r="L8" s="438">
        <f>SUM(D7+D8)+SUM(G9:G19)-G10</f>
        <v>269808.16333333327</v>
      </c>
      <c r="M8" s="427"/>
    </row>
    <row r="9" spans="1:13" ht="12.95" customHeight="1">
      <c r="A9" s="427"/>
      <c r="B9" s="788" t="s">
        <v>123</v>
      </c>
      <c r="C9" s="786">
        <v>2992.078</v>
      </c>
      <c r="D9" s="786">
        <v>22923.373</v>
      </c>
      <c r="E9" s="789">
        <f>(C9*1000)/D9</f>
        <v>130.52520673986328</v>
      </c>
      <c r="F9" s="786">
        <v>3664</v>
      </c>
      <c r="G9" s="786">
        <v>21926.666666666668</v>
      </c>
      <c r="H9" s="789">
        <f>(F9*1000)/G9</f>
        <v>167.10246275463666</v>
      </c>
      <c r="I9" s="423">
        <f>SUM(C7:C9)+SUM(F17:F19)</f>
        <v>14343.295999999998</v>
      </c>
      <c r="J9" s="421">
        <f>SUM(D7:D9)+SUM(G17:G19)</f>
        <v>123208.34299999999</v>
      </c>
      <c r="K9" s="421">
        <f>SUM(C7:C9)+SUM(F11:F19)</f>
        <v>34043.171999999999</v>
      </c>
      <c r="L9" s="439">
        <f>SUM(D7:D9)+SUM(G11:G19)</f>
        <v>270804.86966666667</v>
      </c>
      <c r="M9" s="427"/>
    </row>
    <row r="10" spans="1:13" ht="12.95" customHeight="1">
      <c r="A10" s="427"/>
      <c r="B10" s="794" t="s">
        <v>539</v>
      </c>
      <c r="C10" s="900">
        <f>SUM(C7:C9)</f>
        <v>7071.3959999999997</v>
      </c>
      <c r="D10" s="900">
        <f>SUM(D7:D9)</f>
        <v>60118.803</v>
      </c>
      <c r="E10" s="425">
        <f>(C10*1000)/D10</f>
        <v>117.62369919441011</v>
      </c>
      <c r="F10" s="900">
        <f>SUM(F7:F9)</f>
        <v>9782</v>
      </c>
      <c r="G10" s="900">
        <f>SUM(G7:G9)</f>
        <v>72236.666666666672</v>
      </c>
      <c r="H10" s="425">
        <f>(F10*1000)/G10</f>
        <v>135.41599372433205</v>
      </c>
      <c r="I10" s="420"/>
      <c r="J10" s="420"/>
      <c r="K10" s="420"/>
      <c r="L10" s="438"/>
      <c r="M10" s="427"/>
    </row>
    <row r="11" spans="1:13" ht="12.95" customHeight="1">
      <c r="A11" s="427"/>
      <c r="B11" s="788" t="s">
        <v>124</v>
      </c>
      <c r="C11" s="786"/>
      <c r="D11" s="786"/>
      <c r="E11" s="789"/>
      <c r="F11" s="786">
        <v>4108</v>
      </c>
      <c r="G11" s="786">
        <v>26433.333333333332</v>
      </c>
      <c r="H11" s="789">
        <f t="shared" si="0"/>
        <v>155.40983606557378</v>
      </c>
      <c r="I11" s="420"/>
      <c r="J11" s="420"/>
      <c r="K11" s="420"/>
      <c r="L11" s="438"/>
      <c r="M11" s="427"/>
    </row>
    <row r="12" spans="1:13" ht="12.95" customHeight="1">
      <c r="A12" s="427"/>
      <c r="B12" s="788" t="s">
        <v>125</v>
      </c>
      <c r="C12" s="786"/>
      <c r="D12" s="786"/>
      <c r="E12" s="789"/>
      <c r="F12" s="786">
        <v>4077</v>
      </c>
      <c r="G12" s="786">
        <v>28123.333333333332</v>
      </c>
      <c r="H12" s="789">
        <f t="shared" si="0"/>
        <v>144.96859073130261</v>
      </c>
      <c r="I12" s="420"/>
      <c r="J12" s="420"/>
      <c r="K12" s="420"/>
      <c r="L12" s="438"/>
      <c r="M12" s="427"/>
    </row>
    <row r="13" spans="1:13" ht="12.95" customHeight="1">
      <c r="A13" s="427"/>
      <c r="B13" s="788" t="s">
        <v>126</v>
      </c>
      <c r="C13" s="786"/>
      <c r="D13" s="786"/>
      <c r="E13" s="789"/>
      <c r="F13" s="786">
        <v>4392</v>
      </c>
      <c r="G13" s="786">
        <v>32890</v>
      </c>
      <c r="H13" s="789">
        <f t="shared" si="0"/>
        <v>133.53602918820309</v>
      </c>
      <c r="I13" s="420"/>
      <c r="J13" s="420"/>
      <c r="K13" s="420"/>
      <c r="L13" s="438"/>
      <c r="M13" s="427"/>
    </row>
    <row r="14" spans="1:13" ht="12.95" customHeight="1">
      <c r="A14" s="427"/>
      <c r="B14" s="788" t="s">
        <v>128</v>
      </c>
      <c r="C14" s="786"/>
      <c r="D14" s="786"/>
      <c r="E14" s="789"/>
      <c r="F14" s="786">
        <v>3418</v>
      </c>
      <c r="G14" s="786">
        <v>29510</v>
      </c>
      <c r="H14" s="789">
        <f>(F14*1000)/G14</f>
        <v>115.82514401897662</v>
      </c>
      <c r="I14" s="420"/>
      <c r="J14" s="420"/>
      <c r="K14" s="420"/>
      <c r="L14" s="438"/>
      <c r="M14" s="427"/>
    </row>
    <row r="15" spans="1:13" ht="12.95" customHeight="1">
      <c r="A15" s="427"/>
      <c r="B15" s="788" t="s">
        <v>129</v>
      </c>
      <c r="C15" s="786"/>
      <c r="D15" s="786"/>
      <c r="E15" s="789"/>
      <c r="F15" s="786">
        <v>2052.8760000000002</v>
      </c>
      <c r="G15" s="786">
        <v>16504</v>
      </c>
      <c r="H15" s="789">
        <f>(F15*1000)/G15</f>
        <v>124.38657295201165</v>
      </c>
      <c r="I15" s="420"/>
      <c r="J15" s="420"/>
      <c r="K15" s="420"/>
      <c r="L15" s="438"/>
      <c r="M15" s="427"/>
    </row>
    <row r="16" spans="1:13" ht="12.95" customHeight="1">
      <c r="A16" s="427"/>
      <c r="B16" s="788" t="s">
        <v>130</v>
      </c>
      <c r="C16" s="786"/>
      <c r="D16" s="786"/>
      <c r="E16" s="789"/>
      <c r="F16" s="786">
        <v>1652</v>
      </c>
      <c r="G16" s="786">
        <v>14135.86</v>
      </c>
      <c r="H16" s="789">
        <f>(F16*1000)/G16</f>
        <v>116.86589991694881</v>
      </c>
      <c r="I16" s="420"/>
      <c r="J16" s="420"/>
      <c r="K16" s="420"/>
      <c r="L16" s="438"/>
      <c r="M16" s="427"/>
    </row>
    <row r="17" spans="1:15" ht="12.95" customHeight="1">
      <c r="A17" s="427"/>
      <c r="B17" s="788" t="s">
        <v>131</v>
      </c>
      <c r="C17" s="786"/>
      <c r="D17" s="786"/>
      <c r="E17" s="789"/>
      <c r="F17" s="786">
        <v>2708.9</v>
      </c>
      <c r="G17" s="786">
        <v>24522.54</v>
      </c>
      <c r="H17" s="789">
        <f>(F17*1000)/G17</f>
        <v>110.46571847777595</v>
      </c>
      <c r="I17" s="420"/>
      <c r="J17" s="420"/>
      <c r="K17" s="420"/>
      <c r="L17" s="438"/>
      <c r="M17" s="428"/>
    </row>
    <row r="18" spans="1:15" ht="12.95" customHeight="1">
      <c r="A18" s="427"/>
      <c r="B18" s="788" t="s">
        <v>132</v>
      </c>
      <c r="C18" s="786"/>
      <c r="D18" s="786"/>
      <c r="E18" s="789"/>
      <c r="F18" s="786">
        <v>2088</v>
      </c>
      <c r="G18" s="786">
        <v>18027</v>
      </c>
      <c r="H18" s="789">
        <f>(F18*1000)/G18</f>
        <v>115.82626060908638</v>
      </c>
      <c r="I18" s="420"/>
      <c r="J18" s="420"/>
      <c r="K18" s="420"/>
      <c r="L18" s="438"/>
      <c r="M18" s="427"/>
    </row>
    <row r="19" spans="1:15" ht="12.95" customHeight="1">
      <c r="A19" s="427"/>
      <c r="B19" s="788" t="s">
        <v>133</v>
      </c>
      <c r="C19" s="792"/>
      <c r="D19" s="793"/>
      <c r="E19" s="796"/>
      <c r="F19" s="792">
        <v>2475</v>
      </c>
      <c r="G19" s="793">
        <v>20540</v>
      </c>
      <c r="H19" s="796">
        <f t="shared" si="0"/>
        <v>120.49659201557935</v>
      </c>
      <c r="I19" s="423"/>
      <c r="J19" s="421"/>
      <c r="K19" s="421"/>
      <c r="L19" s="439"/>
      <c r="M19" s="427"/>
    </row>
    <row r="20" spans="1:15" ht="12.95" customHeight="1">
      <c r="A20" s="427"/>
      <c r="B20" s="794" t="s">
        <v>115</v>
      </c>
      <c r="C20" s="792">
        <f>SUM(C7:C19)-C10</f>
        <v>7071.3959999999997</v>
      </c>
      <c r="D20" s="811">
        <f>SUM(D7:D19)-D10</f>
        <v>60118.803</v>
      </c>
      <c r="E20" s="798">
        <f>(C20*1000)/D20</f>
        <v>117.62369919441011</v>
      </c>
      <c r="F20" s="811">
        <f>SUM(F7:F19)-F10</f>
        <v>36753.776000000005</v>
      </c>
      <c r="G20" s="811">
        <f>SUM(G7:G19)-G10</f>
        <v>282922.73333333328</v>
      </c>
      <c r="H20" s="795">
        <f>(F20*1000)/G20</f>
        <v>129.90746825811812</v>
      </c>
      <c r="I20" s="536"/>
      <c r="J20" s="536"/>
      <c r="K20" s="536"/>
      <c r="L20" s="597"/>
      <c r="M20" s="427"/>
    </row>
    <row r="21" spans="1:15" ht="12.95" customHeight="1">
      <c r="A21" s="427"/>
      <c r="B21" s="442" t="s">
        <v>116</v>
      </c>
      <c r="C21" s="443"/>
      <c r="D21" s="426" t="s">
        <v>357</v>
      </c>
      <c r="E21" s="523"/>
      <c r="F21" s="426"/>
      <c r="G21" s="444"/>
      <c r="H21" s="135"/>
      <c r="I21" s="135"/>
      <c r="J21" s="426" t="s">
        <v>135</v>
      </c>
      <c r="K21" s="135"/>
      <c r="L21" s="78"/>
      <c r="M21" s="427"/>
      <c r="O21" s="1220"/>
    </row>
    <row r="22" spans="1:15" ht="12.95" customHeight="1">
      <c r="A22" s="427"/>
      <c r="B22" s="442" t="s">
        <v>335</v>
      </c>
      <c r="C22" s="443"/>
      <c r="D22" s="426" t="s">
        <v>134</v>
      </c>
      <c r="E22" s="523"/>
      <c r="F22" s="523"/>
      <c r="G22" s="444"/>
      <c r="H22" s="135"/>
      <c r="I22" s="135"/>
      <c r="J22" s="426" t="s">
        <v>136</v>
      </c>
      <c r="K22" s="135"/>
      <c r="L22" s="78"/>
      <c r="M22" s="427"/>
    </row>
    <row r="23" spans="1:15">
      <c r="A23" s="427"/>
      <c r="B23" s="142"/>
      <c r="C23" s="443"/>
      <c r="D23" s="443"/>
      <c r="E23" s="135"/>
      <c r="F23" s="444"/>
      <c r="G23" s="444"/>
      <c r="H23" s="135"/>
      <c r="I23" s="135"/>
      <c r="J23" s="135"/>
      <c r="K23" s="135"/>
      <c r="L23" s="78"/>
      <c r="M23" s="427"/>
    </row>
    <row r="24" spans="1:15">
      <c r="A24" s="427"/>
      <c r="B24" s="445"/>
      <c r="C24" s="443"/>
      <c r="D24" s="443"/>
      <c r="E24" s="143"/>
      <c r="F24" s="143"/>
      <c r="G24" s="143"/>
      <c r="H24" s="143"/>
      <c r="I24" s="143"/>
      <c r="J24" s="143"/>
      <c r="K24" s="143"/>
      <c r="L24" s="144"/>
      <c r="M24" s="427"/>
    </row>
    <row r="25" spans="1:15">
      <c r="A25" s="427"/>
      <c r="B25" s="140"/>
      <c r="C25" s="135"/>
      <c r="D25" s="135"/>
      <c r="E25" s="135"/>
      <c r="F25" s="135"/>
      <c r="G25" s="135"/>
      <c r="H25" s="135"/>
      <c r="I25" s="135"/>
      <c r="J25" s="135"/>
      <c r="K25" s="135"/>
      <c r="L25" s="78"/>
      <c r="M25" s="427"/>
    </row>
    <row r="26" spans="1:15">
      <c r="A26" s="427"/>
      <c r="B26" s="140"/>
      <c r="C26" s="135"/>
      <c r="D26" s="135"/>
      <c r="E26" s="135"/>
      <c r="F26" s="135"/>
      <c r="G26" s="135"/>
      <c r="H26" s="135"/>
      <c r="I26" s="135"/>
      <c r="J26" s="135"/>
      <c r="K26" s="135"/>
      <c r="L26" s="78"/>
      <c r="M26" s="427"/>
    </row>
    <row r="27" spans="1:15">
      <c r="A27" s="427"/>
      <c r="B27" s="140"/>
      <c r="C27" s="135"/>
      <c r="D27" s="135"/>
      <c r="E27" s="135"/>
      <c r="F27" s="135"/>
      <c r="G27" s="135"/>
      <c r="H27" s="135"/>
      <c r="I27" s="135"/>
      <c r="J27" s="135"/>
      <c r="K27" s="135"/>
      <c r="L27" s="78"/>
      <c r="M27" s="427"/>
    </row>
    <row r="28" spans="1:15">
      <c r="A28" s="427"/>
      <c r="B28" s="140"/>
      <c r="C28" s="135"/>
      <c r="D28" s="135"/>
      <c r="E28" s="135"/>
      <c r="F28" s="135"/>
      <c r="G28" s="135"/>
      <c r="H28" s="135"/>
      <c r="I28" s="135"/>
      <c r="J28" s="135"/>
      <c r="K28" s="135"/>
      <c r="L28" s="78"/>
      <c r="M28" s="427"/>
    </row>
    <row r="29" spans="1:15">
      <c r="A29" s="427"/>
      <c r="B29" s="140"/>
      <c r="C29" s="135"/>
      <c r="D29" s="135"/>
      <c r="E29" s="135"/>
      <c r="F29" s="135"/>
      <c r="G29" s="135"/>
      <c r="H29" s="135"/>
      <c r="I29" s="135"/>
      <c r="J29" s="135"/>
      <c r="K29" s="135"/>
      <c r="L29" s="78"/>
      <c r="M29" s="427"/>
    </row>
    <row r="30" spans="1:15">
      <c r="A30" s="427"/>
      <c r="B30" s="140"/>
      <c r="C30" s="135"/>
      <c r="D30" s="135"/>
      <c r="E30" s="135"/>
      <c r="F30" s="135"/>
      <c r="G30" s="135"/>
      <c r="H30" s="135"/>
      <c r="I30" s="135"/>
      <c r="J30" s="135"/>
      <c r="K30" s="135"/>
      <c r="L30" s="78"/>
      <c r="M30" s="427"/>
    </row>
    <row r="31" spans="1:15">
      <c r="A31" s="427"/>
      <c r="B31" s="140"/>
      <c r="C31" s="135"/>
      <c r="D31" s="135"/>
      <c r="E31" s="135"/>
      <c r="F31" s="135"/>
      <c r="G31" s="135"/>
      <c r="H31" s="135"/>
      <c r="I31" s="135"/>
      <c r="J31" s="135"/>
      <c r="K31" s="135"/>
      <c r="L31" s="78"/>
      <c r="M31" s="427"/>
    </row>
    <row r="32" spans="1:15">
      <c r="A32" s="427"/>
      <c r="B32" s="140"/>
      <c r="C32" s="135"/>
      <c r="D32" s="135"/>
      <c r="E32" s="135"/>
      <c r="F32" s="135"/>
      <c r="G32" s="135"/>
      <c r="H32" s="135"/>
      <c r="I32" s="135"/>
      <c r="J32" s="135"/>
      <c r="K32" s="135"/>
      <c r="L32" s="78"/>
      <c r="M32" s="427"/>
    </row>
    <row r="33" spans="1:13">
      <c r="A33" s="427"/>
      <c r="B33" s="140"/>
      <c r="C33" s="135"/>
      <c r="D33" s="135"/>
      <c r="E33" s="135"/>
      <c r="F33" s="135"/>
      <c r="G33" s="135"/>
      <c r="H33" s="135"/>
      <c r="I33" s="135"/>
      <c r="J33" s="135"/>
      <c r="K33" s="135"/>
      <c r="L33" s="78"/>
      <c r="M33" s="427"/>
    </row>
    <row r="34" spans="1:13">
      <c r="A34" s="427"/>
      <c r="B34" s="140"/>
      <c r="C34" s="135"/>
      <c r="D34" s="135"/>
      <c r="E34" s="135"/>
      <c r="F34" s="135"/>
      <c r="G34" s="135"/>
      <c r="H34" s="135"/>
      <c r="I34" s="135"/>
      <c r="J34" s="135"/>
      <c r="K34" s="135"/>
      <c r="L34" s="78"/>
      <c r="M34" s="427"/>
    </row>
    <row r="35" spans="1:13">
      <c r="A35" s="427"/>
      <c r="B35" s="140"/>
      <c r="C35" s="135"/>
      <c r="D35" s="135"/>
      <c r="E35" s="135"/>
      <c r="F35" s="135"/>
      <c r="G35" s="135"/>
      <c r="H35" s="135"/>
      <c r="I35" s="135"/>
      <c r="J35" s="135"/>
      <c r="K35" s="135"/>
      <c r="L35" s="78"/>
      <c r="M35" s="427"/>
    </row>
    <row r="36" spans="1:13">
      <c r="A36" s="427"/>
      <c r="B36" s="446"/>
      <c r="C36" s="114"/>
      <c r="D36" s="114"/>
      <c r="E36" s="114"/>
      <c r="F36" s="114"/>
      <c r="G36" s="114"/>
      <c r="H36" s="114"/>
      <c r="I36" s="114"/>
      <c r="J36" s="114"/>
      <c r="K36" s="114"/>
      <c r="L36" s="447"/>
      <c r="M36" s="427"/>
    </row>
    <row r="37" spans="1:13" ht="15" customHeight="1">
      <c r="A37" s="427"/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7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</sheetData>
  <mergeCells count="7">
    <mergeCell ref="A1:M1"/>
    <mergeCell ref="B2:L2"/>
    <mergeCell ref="B3:L3"/>
    <mergeCell ref="C5:E5"/>
    <mergeCell ref="F5:H5"/>
    <mergeCell ref="I5:J5"/>
    <mergeCell ref="K5:L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3"/>
  <sheetViews>
    <sheetView workbookViewId="0">
      <selection activeCell="U27" sqref="U27"/>
    </sheetView>
  </sheetViews>
  <sheetFormatPr defaultColWidth="11.42578125" defaultRowHeight="14.25"/>
  <cols>
    <col min="1" max="1" width="2.7109375" style="2" customWidth="1"/>
    <col min="2" max="2" width="10.85546875" style="2" customWidth="1"/>
    <col min="3" max="3" width="10.28515625" style="2" bestFit="1" customWidth="1"/>
    <col min="4" max="4" width="7" style="2" bestFit="1" customWidth="1"/>
    <col min="5" max="5" width="6.5703125" style="2" bestFit="1" customWidth="1"/>
    <col min="6" max="6" width="11.28515625" style="2" bestFit="1" customWidth="1"/>
    <col min="7" max="7" width="5.7109375" style="2" bestFit="1" customWidth="1"/>
    <col min="8" max="8" width="6.5703125" style="2" bestFit="1" customWidth="1"/>
    <col min="9" max="9" width="7.85546875" style="2" bestFit="1" customWidth="1"/>
    <col min="10" max="10" width="5.28515625" style="2" bestFit="1" customWidth="1"/>
    <col min="11" max="11" width="6.5703125" style="2" bestFit="1" customWidth="1"/>
    <col min="12" max="12" width="12.140625" style="2" customWidth="1"/>
    <col min="13" max="13" width="10.5703125" style="2" customWidth="1"/>
    <col min="14" max="14" width="11.42578125" style="2" customWidth="1"/>
    <col min="15" max="15" width="10.140625" style="2" customWidth="1"/>
    <col min="16" max="16" width="7.85546875" style="2" bestFit="1" customWidth="1"/>
    <col min="17" max="17" width="5.7109375" style="2" bestFit="1" customWidth="1"/>
    <col min="18" max="18" width="2.7109375" style="2" customWidth="1"/>
    <col min="19" max="16384" width="11.42578125" style="2"/>
  </cols>
  <sheetData>
    <row r="1" spans="1:20" ht="15" customHeight="1">
      <c r="A1" s="1335" t="s">
        <v>457</v>
      </c>
      <c r="B1" s="1335"/>
      <c r="C1" s="1335"/>
      <c r="D1" s="1335"/>
      <c r="E1" s="1335"/>
      <c r="F1" s="1335"/>
      <c r="G1" s="1335"/>
      <c r="H1" s="1335"/>
      <c r="I1" s="1335"/>
      <c r="J1" s="1335"/>
      <c r="K1" s="1335"/>
      <c r="L1" s="1335"/>
      <c r="M1" s="1335"/>
      <c r="N1" s="1335"/>
      <c r="O1" s="1335"/>
      <c r="P1" s="1335"/>
      <c r="Q1" s="1335"/>
      <c r="R1" s="1335"/>
    </row>
    <row r="2" spans="1:20" ht="15" customHeight="1">
      <c r="A2" s="427"/>
      <c r="B2" s="1326" t="s">
        <v>361</v>
      </c>
      <c r="C2" s="1327"/>
      <c r="D2" s="1327"/>
      <c r="E2" s="1327"/>
      <c r="F2" s="1327"/>
      <c r="G2" s="1327"/>
      <c r="H2" s="1327"/>
      <c r="I2" s="1327"/>
      <c r="J2" s="1327"/>
      <c r="K2" s="1327"/>
      <c r="L2" s="1327"/>
      <c r="M2" s="1327"/>
      <c r="N2" s="1327"/>
      <c r="O2" s="1327"/>
      <c r="P2" s="1327"/>
      <c r="Q2" s="1328"/>
      <c r="R2" s="427"/>
    </row>
    <row r="3" spans="1:20" ht="14.1" customHeight="1" thickBot="1">
      <c r="A3" s="427"/>
      <c r="B3" s="541"/>
      <c r="C3" s="542"/>
      <c r="D3" s="542"/>
      <c r="E3" s="542"/>
      <c r="F3" s="542"/>
      <c r="G3" s="542"/>
      <c r="H3" s="542"/>
      <c r="I3" s="543"/>
      <c r="J3" s="543"/>
      <c r="K3" s="543"/>
      <c r="L3" s="543"/>
      <c r="M3" s="543"/>
      <c r="N3" s="543"/>
      <c r="O3" s="543"/>
      <c r="P3" s="543"/>
      <c r="Q3" s="544"/>
      <c r="R3" s="427"/>
    </row>
    <row r="4" spans="1:20" ht="12.95" customHeight="1">
      <c r="A4" s="427"/>
      <c r="B4" s="1347" t="s">
        <v>118</v>
      </c>
      <c r="C4" s="1344">
        <v>2016</v>
      </c>
      <c r="D4" s="1345"/>
      <c r="E4" s="1345"/>
      <c r="F4" s="1345"/>
      <c r="G4" s="1345"/>
      <c r="H4" s="1345"/>
      <c r="I4" s="1345"/>
      <c r="J4" s="1345"/>
      <c r="K4" s="1346"/>
      <c r="L4" s="1336">
        <v>2015</v>
      </c>
      <c r="M4" s="1337"/>
      <c r="N4" s="1338"/>
      <c r="O4" s="1338"/>
      <c r="P4" s="1338"/>
      <c r="Q4" s="549"/>
      <c r="R4" s="427"/>
    </row>
    <row r="5" spans="1:20" ht="12.95" customHeight="1">
      <c r="A5" s="427"/>
      <c r="B5" s="1348"/>
      <c r="C5" s="1341" t="s">
        <v>119</v>
      </c>
      <c r="D5" s="1339" t="s">
        <v>364</v>
      </c>
      <c r="E5" s="1340"/>
      <c r="F5" s="1341" t="s">
        <v>120</v>
      </c>
      <c r="G5" s="1343" t="s">
        <v>364</v>
      </c>
      <c r="H5" s="1340"/>
      <c r="I5" s="539" t="s">
        <v>11</v>
      </c>
      <c r="J5" s="1343" t="s">
        <v>364</v>
      </c>
      <c r="K5" s="1340"/>
      <c r="L5" s="1341" t="s">
        <v>119</v>
      </c>
      <c r="M5" s="540" t="s">
        <v>367</v>
      </c>
      <c r="N5" s="1341" t="s">
        <v>120</v>
      </c>
      <c r="O5" s="540" t="s">
        <v>367</v>
      </c>
      <c r="P5" s="539" t="s">
        <v>11</v>
      </c>
      <c r="Q5" s="540" t="s">
        <v>369</v>
      </c>
      <c r="R5" s="427"/>
    </row>
    <row r="6" spans="1:20" ht="12.95" customHeight="1" thickBot="1">
      <c r="A6" s="427"/>
      <c r="B6" s="1342"/>
      <c r="C6" s="1342"/>
      <c r="D6" s="545" t="s">
        <v>365</v>
      </c>
      <c r="E6" s="546" t="s">
        <v>513</v>
      </c>
      <c r="F6" s="1342"/>
      <c r="G6" s="546" t="s">
        <v>365</v>
      </c>
      <c r="H6" s="547" t="s">
        <v>513</v>
      </c>
      <c r="I6" s="548" t="s">
        <v>366</v>
      </c>
      <c r="J6" s="546" t="s">
        <v>365</v>
      </c>
      <c r="K6" s="547" t="s">
        <v>513</v>
      </c>
      <c r="L6" s="1342"/>
      <c r="M6" s="545" t="s">
        <v>368</v>
      </c>
      <c r="N6" s="1342"/>
      <c r="O6" s="545" t="s">
        <v>368</v>
      </c>
      <c r="P6" s="548" t="s">
        <v>366</v>
      </c>
      <c r="Q6" s="546" t="s">
        <v>12</v>
      </c>
      <c r="R6" s="427"/>
    </row>
    <row r="7" spans="1:20" ht="12.95" customHeight="1">
      <c r="A7" s="427"/>
      <c r="B7" s="90" t="s">
        <v>121</v>
      </c>
      <c r="C7" s="799">
        <f>'Exp. Verde'!C7+'Exp. Solúvel'!C7+'Exp. Torrado'!C7+'Exp. Extrato'!C7</f>
        <v>403561.34</v>
      </c>
      <c r="D7" s="801">
        <v>0</v>
      </c>
      <c r="E7" s="801">
        <f>(C7/L7-1)*100</f>
        <v>-31.487830964491124</v>
      </c>
      <c r="F7" s="799">
        <f>'Exp. Verde'!D7+'Exp. Solúvel'!D7+'Exp. Torrado'!D7+'Exp. Extrato'!D7</f>
        <v>2754948.07</v>
      </c>
      <c r="G7" s="800" t="s">
        <v>362</v>
      </c>
      <c r="H7" s="801">
        <f>(F7/N7-1)*100</f>
        <v>-7.5623869463327331</v>
      </c>
      <c r="I7" s="802">
        <f>(C7*1000)/F7</f>
        <v>146.48600617724168</v>
      </c>
      <c r="J7" s="803" t="s">
        <v>362</v>
      </c>
      <c r="K7" s="801">
        <f>(I7/P7-1)*100</f>
        <v>-25.88280162996832</v>
      </c>
      <c r="L7" s="799">
        <f>'Exp. Verde'!F7+'Exp. Solúvel'!F7+'Exp. Torrado'!F7+'Exp. Extrato'!F7</f>
        <v>589036</v>
      </c>
      <c r="M7" s="800" t="s">
        <v>362</v>
      </c>
      <c r="N7" s="804">
        <f>'Exp. Verde'!G7+'Exp. Solúvel'!G7+'Exp. Torrado'!G7+'Exp. Extrato'!G7</f>
        <v>2980332.3333333335</v>
      </c>
      <c r="O7" s="800" t="s">
        <v>362</v>
      </c>
      <c r="P7" s="789">
        <f>(L7*1000)/N7</f>
        <v>197.64104607126026</v>
      </c>
      <c r="Q7" s="800" t="s">
        <v>362</v>
      </c>
      <c r="R7" s="427"/>
    </row>
    <row r="8" spans="1:20" ht="12.95" customHeight="1">
      <c r="A8" s="902"/>
      <c r="B8" s="90" t="s">
        <v>122</v>
      </c>
      <c r="C8" s="799">
        <f>'Exp. Verde'!C8+'Exp. Solúvel'!C8+'Exp. Torrado'!C8+'Exp. Extrato'!C8</f>
        <v>447537.25</v>
      </c>
      <c r="D8" s="805">
        <f>(C8/C7-1)*100</f>
        <v>10.896958068381867</v>
      </c>
      <c r="E8" s="805">
        <f>(C8/L8-1)*100</f>
        <v>-17.125800896263101</v>
      </c>
      <c r="F8" s="799">
        <f>'Exp. Verde'!D8+'Exp. Solúvel'!D8+'Exp. Torrado'!D8+'Exp. Extrato'!D8</f>
        <v>3009104.4</v>
      </c>
      <c r="G8" s="805">
        <f>(F8/F7-1)*100</f>
        <v>9.2254490299702887</v>
      </c>
      <c r="H8" s="805">
        <f>(F8/N8-1)*100</f>
        <v>8.3624038977392789</v>
      </c>
      <c r="I8" s="806">
        <f>(C8*1000)/F8</f>
        <v>148.72772443521734</v>
      </c>
      <c r="J8" s="805">
        <f>(I8/I7-1)*100</f>
        <v>1.5303292897911991</v>
      </c>
      <c r="K8" s="805">
        <f>(I8/P8-1)*100</f>
        <v>-23.521261874233979</v>
      </c>
      <c r="L8" s="799">
        <f>'Exp. Verde'!F8+'Exp. Solúvel'!F8+'Exp. Torrado'!F8+'Exp. Extrato'!F8</f>
        <v>540020</v>
      </c>
      <c r="M8" s="805">
        <f>(L8/L7-1)*100</f>
        <v>-8.3213929199573489</v>
      </c>
      <c r="N8" s="799">
        <f>'Exp. Verde'!G8+'Exp. Solúvel'!G8+'Exp. Torrado'!G8+'Exp. Extrato'!G8</f>
        <v>2776889.6700000004</v>
      </c>
      <c r="O8" s="805">
        <f>(N8/N7-1)*100</f>
        <v>-6.8261737477375188</v>
      </c>
      <c r="P8" s="808">
        <f>(L8*1000)/N8</f>
        <v>194.4693755153765</v>
      </c>
      <c r="Q8" s="805">
        <f>(P8/P7-1)*100</f>
        <v>-1.6047630889082676</v>
      </c>
      <c r="R8" s="427"/>
    </row>
    <row r="9" spans="1:20" ht="12.95" customHeight="1">
      <c r="A9" s="427"/>
      <c r="B9" s="899" t="s">
        <v>123</v>
      </c>
      <c r="C9" s="593">
        <f>'Exp. Verde'!C9+'Exp. Solúvel'!C9+'Exp. Torrado'!C9+'Exp. Extrato'!C9</f>
        <v>454818.86099999998</v>
      </c>
      <c r="D9" s="809">
        <f>(C9/C8-1)*100</f>
        <v>1.6270402072676493</v>
      </c>
      <c r="E9" s="809">
        <f>(C9/L9-1)*100</f>
        <v>-20.941902877991726</v>
      </c>
      <c r="F9" s="593">
        <f>'Exp. Verde'!D9+'Exp. Solúvel'!D9+'Exp. Torrado'!D9+'Exp. Extrato'!D9</f>
        <v>3108436.9210000001</v>
      </c>
      <c r="G9" s="809">
        <f>(F9/F8-1)*100</f>
        <v>3.3010659583629032</v>
      </c>
      <c r="H9" s="809">
        <f>(F9/N9-1)*100</f>
        <v>-2.129463208227822</v>
      </c>
      <c r="I9" s="810">
        <f>(C9*1000)/F9</f>
        <v>146.31754562150886</v>
      </c>
      <c r="J9" s="809">
        <f>(I9/I8-1)*100</f>
        <v>-1.620530955382371</v>
      </c>
      <c r="K9" s="809">
        <f>(I9/P9-1)*100</f>
        <v>-19.221759976435948</v>
      </c>
      <c r="L9" s="593">
        <f>'Exp. Verde'!F9+'Exp. Solúvel'!F9+'Exp. Torrado'!F9+'Exp. Extrato'!F9</f>
        <v>575297</v>
      </c>
      <c r="M9" s="809">
        <f>(L9/L8-1)*100</f>
        <v>6.5325358320062143</v>
      </c>
      <c r="N9" s="593">
        <f>'Exp. Verde'!G9+'Exp. Solúvel'!G9+'Exp. Torrado'!G9+'Exp. Extrato'!G9</f>
        <v>3176070.166666667</v>
      </c>
      <c r="O9" s="809">
        <f>(N9/N8-1)*100</f>
        <v>14.375093867761279</v>
      </c>
      <c r="P9" s="1205">
        <f>(L9*1000)/N9</f>
        <v>181.13485213199266</v>
      </c>
      <c r="Q9" s="809">
        <f>(P9/P8-1)*100</f>
        <v>-6.8568757152868471</v>
      </c>
      <c r="R9" s="427"/>
    </row>
    <row r="10" spans="1:20" ht="12.95" customHeight="1">
      <c r="A10" s="427"/>
      <c r="B10" s="90" t="s">
        <v>124</v>
      </c>
      <c r="C10" s="799"/>
      <c r="D10" s="801"/>
      <c r="E10" s="801"/>
      <c r="F10" s="799"/>
      <c r="G10" s="801"/>
      <c r="H10" s="801"/>
      <c r="I10" s="802"/>
      <c r="J10" s="805"/>
      <c r="K10" s="801"/>
      <c r="L10" s="799"/>
      <c r="M10" s="801"/>
      <c r="N10" s="799"/>
      <c r="O10" s="801"/>
      <c r="P10" s="789"/>
      <c r="Q10" s="801"/>
      <c r="R10" s="427"/>
      <c r="T10" s="538" t="s">
        <v>307</v>
      </c>
    </row>
    <row r="11" spans="1:20" ht="12.95" customHeight="1">
      <c r="A11" s="427"/>
      <c r="B11" s="90" t="s">
        <v>125</v>
      </c>
      <c r="C11" s="799"/>
      <c r="D11" s="801"/>
      <c r="E11" s="801"/>
      <c r="F11" s="799"/>
      <c r="G11" s="801"/>
      <c r="H11" s="801"/>
      <c r="I11" s="802"/>
      <c r="J11" s="805"/>
      <c r="K11" s="801"/>
      <c r="L11" s="799"/>
      <c r="M11" s="801"/>
      <c r="N11" s="799"/>
      <c r="O11" s="801"/>
      <c r="P11" s="789"/>
      <c r="Q11" s="801"/>
      <c r="R11" s="427"/>
    </row>
    <row r="12" spans="1:20" ht="12.95" customHeight="1">
      <c r="A12" s="427"/>
      <c r="B12" s="90" t="s">
        <v>126</v>
      </c>
      <c r="C12" s="799"/>
      <c r="D12" s="801"/>
      <c r="E12" s="801"/>
      <c r="F12" s="799"/>
      <c r="G12" s="801"/>
      <c r="H12" s="801"/>
      <c r="I12" s="802"/>
      <c r="J12" s="805"/>
      <c r="K12" s="801"/>
      <c r="L12" s="799"/>
      <c r="M12" s="801"/>
      <c r="N12" s="799"/>
      <c r="O12" s="801"/>
      <c r="P12" s="789"/>
      <c r="Q12" s="801"/>
      <c r="R12" s="427"/>
    </row>
    <row r="13" spans="1:20" ht="12.95" customHeight="1">
      <c r="A13" s="427"/>
      <c r="B13" s="90" t="s">
        <v>128</v>
      </c>
      <c r="C13" s="799"/>
      <c r="D13" s="801"/>
      <c r="E13" s="801"/>
      <c r="F13" s="799"/>
      <c r="G13" s="801"/>
      <c r="H13" s="801"/>
      <c r="I13" s="802"/>
      <c r="J13" s="805"/>
      <c r="K13" s="801"/>
      <c r="L13" s="799"/>
      <c r="M13" s="801"/>
      <c r="N13" s="799"/>
      <c r="O13" s="801"/>
      <c r="P13" s="789"/>
      <c r="Q13" s="801"/>
      <c r="R13" s="427"/>
      <c r="S13" s="526"/>
    </row>
    <row r="14" spans="1:20" ht="12.95" customHeight="1">
      <c r="A14" s="427"/>
      <c r="B14" s="90" t="s">
        <v>129</v>
      </c>
      <c r="C14" s="799"/>
      <c r="D14" s="801"/>
      <c r="E14" s="801"/>
      <c r="F14" s="799"/>
      <c r="G14" s="801"/>
      <c r="H14" s="801"/>
      <c r="I14" s="802"/>
      <c r="J14" s="805"/>
      <c r="K14" s="801"/>
      <c r="L14" s="799"/>
      <c r="M14" s="801"/>
      <c r="N14" s="799"/>
      <c r="O14" s="801"/>
      <c r="P14" s="789"/>
      <c r="Q14" s="801"/>
      <c r="R14" s="427"/>
    </row>
    <row r="15" spans="1:20" ht="12.95" customHeight="1">
      <c r="A15" s="427"/>
      <c r="B15" s="90" t="s">
        <v>130</v>
      </c>
      <c r="C15" s="799"/>
      <c r="D15" s="801"/>
      <c r="E15" s="805"/>
      <c r="F15" s="799"/>
      <c r="G15" s="801"/>
      <c r="H15" s="805"/>
      <c r="I15" s="802"/>
      <c r="J15" s="805"/>
      <c r="K15" s="805"/>
      <c r="L15" s="799"/>
      <c r="M15" s="801"/>
      <c r="N15" s="799"/>
      <c r="O15" s="801"/>
      <c r="P15" s="789"/>
      <c r="Q15" s="805"/>
      <c r="R15" s="427"/>
    </row>
    <row r="16" spans="1:20">
      <c r="A16" s="427"/>
      <c r="B16" s="90" t="s">
        <v>131</v>
      </c>
      <c r="C16" s="799"/>
      <c r="D16" s="805"/>
      <c r="E16" s="805"/>
      <c r="F16" s="799"/>
      <c r="G16" s="805"/>
      <c r="H16" s="805"/>
      <c r="I16" s="806"/>
      <c r="J16" s="805"/>
      <c r="K16" s="805"/>
      <c r="L16" s="807"/>
      <c r="M16" s="805"/>
      <c r="N16" s="807"/>
      <c r="O16" s="805"/>
      <c r="P16" s="808"/>
      <c r="Q16" s="805"/>
      <c r="R16" s="428"/>
    </row>
    <row r="17" spans="1:18">
      <c r="A17" s="427"/>
      <c r="B17" s="90" t="s">
        <v>132</v>
      </c>
      <c r="C17" s="799"/>
      <c r="D17" s="805"/>
      <c r="E17" s="805"/>
      <c r="F17" s="799"/>
      <c r="G17" s="805"/>
      <c r="H17" s="805"/>
      <c r="I17" s="806"/>
      <c r="J17" s="805"/>
      <c r="K17" s="805"/>
      <c r="L17" s="807"/>
      <c r="M17" s="805"/>
      <c r="N17" s="807"/>
      <c r="O17" s="805"/>
      <c r="P17" s="808"/>
      <c r="Q17" s="805"/>
      <c r="R17" s="427"/>
    </row>
    <row r="18" spans="1:18">
      <c r="A18" s="427"/>
      <c r="B18" s="90" t="s">
        <v>133</v>
      </c>
      <c r="C18" s="593"/>
      <c r="D18" s="809"/>
      <c r="E18" s="809"/>
      <c r="F18" s="593"/>
      <c r="G18" s="809"/>
      <c r="H18" s="809"/>
      <c r="I18" s="810"/>
      <c r="J18" s="809"/>
      <c r="K18" s="809"/>
      <c r="L18" s="790"/>
      <c r="M18" s="809"/>
      <c r="N18" s="807"/>
      <c r="O18" s="801"/>
      <c r="P18" s="796"/>
      <c r="Q18" s="809"/>
      <c r="R18" s="427"/>
    </row>
    <row r="19" spans="1:18">
      <c r="A19" s="427"/>
      <c r="B19" s="440" t="s">
        <v>115</v>
      </c>
      <c r="C19" s="824">
        <f>SUM(C7:C18)</f>
        <v>1305917.4510000001</v>
      </c>
      <c r="D19" s="825">
        <v>0</v>
      </c>
      <c r="E19" s="823">
        <f>(C19/L19-1)*100</f>
        <v>-23.377525019758227</v>
      </c>
      <c r="F19" s="826">
        <f>SUM(F7:F18)</f>
        <v>8872489.3909999989</v>
      </c>
      <c r="G19" s="825">
        <v>0</v>
      </c>
      <c r="H19" s="907">
        <f>(F19/N19-1)*100</f>
        <v>-0.68063125937145585</v>
      </c>
      <c r="I19" s="830">
        <f>(C19*1000)/F19</f>
        <v>147.18726542797398</v>
      </c>
      <c r="J19" s="827">
        <v>0</v>
      </c>
      <c r="K19" s="823">
        <f>(I19/P19-1)*100</f>
        <v>-22.852434573622247</v>
      </c>
      <c r="L19" s="828">
        <f>SUM(L7:L18)</f>
        <v>1704353</v>
      </c>
      <c r="M19" s="823">
        <v>0</v>
      </c>
      <c r="N19" s="828">
        <f>SUM(N7:N18)</f>
        <v>8933292.1700000018</v>
      </c>
      <c r="O19" s="829">
        <v>0</v>
      </c>
      <c r="P19" s="836">
        <f>(L19*1000)/N19</f>
        <v>190.78666269570803</v>
      </c>
      <c r="Q19" s="827">
        <v>0</v>
      </c>
      <c r="R19" s="427"/>
    </row>
    <row r="20" spans="1:18">
      <c r="A20" s="427"/>
      <c r="B20" s="442" t="s">
        <v>116</v>
      </c>
      <c r="C20" s="443"/>
      <c r="D20" s="443"/>
      <c r="E20" s="819"/>
      <c r="F20" s="443"/>
      <c r="G20" s="443"/>
      <c r="H20" s="443"/>
      <c r="I20" s="135"/>
      <c r="J20" s="135"/>
      <c r="K20" s="135"/>
      <c r="L20" s="426"/>
      <c r="M20" s="426"/>
      <c r="N20" s="444"/>
      <c r="O20" s="444"/>
      <c r="P20" s="135"/>
      <c r="Q20" s="78"/>
      <c r="R20" s="427"/>
    </row>
    <row r="21" spans="1:18">
      <c r="A21" s="427"/>
      <c r="B21" s="442" t="s">
        <v>335</v>
      </c>
      <c r="C21" s="443"/>
      <c r="D21" s="443"/>
      <c r="E21" s="443"/>
      <c r="F21" s="443"/>
      <c r="G21" s="443"/>
      <c r="H21" s="443"/>
      <c r="I21" s="135"/>
      <c r="J21" s="135"/>
      <c r="K21" s="135"/>
      <c r="L21" s="426" t="s">
        <v>134</v>
      </c>
      <c r="M21" s="426"/>
      <c r="N21" s="426" t="s">
        <v>363</v>
      </c>
      <c r="O21" s="444"/>
      <c r="P21" s="135"/>
      <c r="Q21" s="78"/>
      <c r="R21" s="427"/>
    </row>
    <row r="22" spans="1:18">
      <c r="A22" s="427"/>
      <c r="B22" s="142"/>
      <c r="C22" s="443"/>
      <c r="D22" s="443"/>
      <c r="E22" s="443"/>
      <c r="F22" s="443"/>
      <c r="G22" s="443"/>
      <c r="H22" s="443"/>
      <c r="I22" s="135"/>
      <c r="J22" s="135"/>
      <c r="K22" s="135"/>
      <c r="L22" s="444"/>
      <c r="M22" s="444"/>
      <c r="N22" s="444"/>
      <c r="O22" s="444"/>
      <c r="P22" s="135"/>
      <c r="Q22" s="78"/>
      <c r="R22" s="427"/>
    </row>
    <row r="23" spans="1:18">
      <c r="A23" s="427"/>
      <c r="B23" s="445"/>
      <c r="C23" s="443"/>
      <c r="D23" s="443"/>
      <c r="E23" s="443"/>
      <c r="F23" s="443"/>
      <c r="G23" s="443"/>
      <c r="H23" s="443"/>
      <c r="I23" s="143"/>
      <c r="J23" s="143"/>
      <c r="K23" s="143"/>
      <c r="L23" s="143"/>
      <c r="M23" s="143"/>
      <c r="N23" s="143"/>
      <c r="O23" s="143"/>
      <c r="P23" s="143"/>
      <c r="Q23" s="144"/>
      <c r="R23" s="427"/>
    </row>
    <row r="24" spans="1:18">
      <c r="A24" s="427"/>
      <c r="B24" s="140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78"/>
      <c r="R24" s="427"/>
    </row>
    <row r="25" spans="1:18">
      <c r="A25" s="427"/>
      <c r="B25" s="140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78"/>
      <c r="R25" s="427"/>
    </row>
    <row r="26" spans="1:18">
      <c r="A26" s="427"/>
      <c r="B26" s="140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78"/>
      <c r="R26" s="427"/>
    </row>
    <row r="27" spans="1:18">
      <c r="A27" s="427"/>
      <c r="B27" s="140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78"/>
      <c r="R27" s="427"/>
    </row>
    <row r="28" spans="1:18">
      <c r="A28" s="427"/>
      <c r="B28" s="140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78"/>
      <c r="R28" s="427"/>
    </row>
    <row r="29" spans="1:18">
      <c r="A29" s="427"/>
      <c r="B29" s="140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78"/>
      <c r="R29" s="427"/>
    </row>
    <row r="30" spans="1:18">
      <c r="A30" s="427"/>
      <c r="B30" s="140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78"/>
      <c r="R30" s="427"/>
    </row>
    <row r="31" spans="1:18">
      <c r="A31" s="427"/>
      <c r="B31" s="140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78"/>
      <c r="R31" s="427"/>
    </row>
    <row r="32" spans="1:18">
      <c r="A32" s="427"/>
      <c r="B32" s="140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78"/>
      <c r="R32" s="427"/>
    </row>
    <row r="33" spans="1:18">
      <c r="A33" s="427"/>
      <c r="B33" s="140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78"/>
      <c r="R33" s="427"/>
    </row>
    <row r="34" spans="1:18">
      <c r="A34" s="427"/>
      <c r="B34" s="140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78"/>
      <c r="R34" s="427"/>
    </row>
    <row r="35" spans="1:18">
      <c r="A35" s="427"/>
      <c r="B35" s="446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447"/>
      <c r="R35" s="427"/>
    </row>
    <row r="36" spans="1:18">
      <c r="A36" s="427"/>
      <c r="B36" s="429"/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  <c r="R36" s="427"/>
    </row>
    <row r="37" spans="1:18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8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8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8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8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8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8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8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8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8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8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8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2:17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2:17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2:17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2:17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2:17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2:17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2:17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2:17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2:17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2:17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2:17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2:17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2:17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2:17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2:17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2:17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2:17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2:17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2:17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2:17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2:17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2:17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2:17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2:17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2:17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2:17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2:17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2:17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2:17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2:17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2:17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2:17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2:17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2:17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2:17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2:17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2:17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2:17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2:17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2:17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2:17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2:17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2:17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</sheetData>
  <mergeCells count="12">
    <mergeCell ref="A1:R1"/>
    <mergeCell ref="B2:Q2"/>
    <mergeCell ref="L4:P4"/>
    <mergeCell ref="D5:E5"/>
    <mergeCell ref="C5:C6"/>
    <mergeCell ref="G5:H5"/>
    <mergeCell ref="F5:F6"/>
    <mergeCell ref="L5:L6"/>
    <mergeCell ref="N5:N6"/>
    <mergeCell ref="J5:K5"/>
    <mergeCell ref="C4:K4"/>
    <mergeCell ref="B4:B6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E21" sqref="E21"/>
    </sheetView>
  </sheetViews>
  <sheetFormatPr defaultRowHeight="12.75"/>
  <cols>
    <col min="1" max="1" width="2.7109375" customWidth="1"/>
    <col min="2" max="2" width="126.42578125" customWidth="1"/>
    <col min="3" max="3" width="2.7109375" customWidth="1"/>
    <col min="4" max="4" width="8.85546875" bestFit="1" customWidth="1"/>
  </cols>
  <sheetData>
    <row r="1" spans="1:3" ht="16.5" customHeight="1">
      <c r="A1" s="58"/>
      <c r="B1" s="294"/>
      <c r="C1" s="58"/>
    </row>
    <row r="2" spans="1:3" ht="13.5" customHeight="1">
      <c r="A2" s="60"/>
      <c r="B2" s="385"/>
      <c r="C2" s="59"/>
    </row>
    <row r="3" spans="1:3" ht="17.100000000000001" customHeight="1">
      <c r="A3" s="60"/>
      <c r="B3" s="390" t="s">
        <v>334</v>
      </c>
      <c r="C3" s="59"/>
    </row>
    <row r="4" spans="1:3" ht="17.100000000000001" customHeight="1">
      <c r="A4" s="60"/>
      <c r="B4" s="390" t="s">
        <v>310</v>
      </c>
      <c r="C4" s="59"/>
    </row>
    <row r="5" spans="1:3" ht="17.100000000000001" customHeight="1">
      <c r="A5" s="60"/>
      <c r="B5" s="390" t="s">
        <v>311</v>
      </c>
      <c r="C5" s="59"/>
    </row>
    <row r="6" spans="1:3" ht="17.100000000000001" customHeight="1">
      <c r="A6" s="60"/>
      <c r="B6" s="390"/>
      <c r="C6" s="59"/>
    </row>
    <row r="7" spans="1:3" ht="17.100000000000001" customHeight="1">
      <c r="A7" s="60"/>
      <c r="B7" s="391" t="s">
        <v>312</v>
      </c>
      <c r="C7" s="59"/>
    </row>
    <row r="8" spans="1:3" ht="17.100000000000001" customHeight="1">
      <c r="A8" s="60"/>
      <c r="B8" s="391" t="s">
        <v>313</v>
      </c>
      <c r="C8" s="59"/>
    </row>
    <row r="9" spans="1:3" ht="17.100000000000001" customHeight="1">
      <c r="A9" s="60"/>
      <c r="B9" s="391" t="s">
        <v>314</v>
      </c>
      <c r="C9" s="59"/>
    </row>
    <row r="10" spans="1:3" ht="17.100000000000001" customHeight="1">
      <c r="A10" s="60"/>
      <c r="B10" s="391" t="s">
        <v>315</v>
      </c>
      <c r="C10" s="59"/>
    </row>
    <row r="11" spans="1:3" ht="17.100000000000001" customHeight="1">
      <c r="A11" s="60"/>
      <c r="B11" s="386"/>
      <c r="C11" s="59"/>
    </row>
    <row r="12" spans="1:3" ht="17.100000000000001" customHeight="1">
      <c r="A12" s="60"/>
      <c r="B12" s="391" t="s">
        <v>316</v>
      </c>
      <c r="C12" s="59"/>
    </row>
    <row r="13" spans="1:3" ht="17.100000000000001" customHeight="1">
      <c r="A13" s="60"/>
      <c r="B13" s="391" t="s">
        <v>317</v>
      </c>
      <c r="C13" s="59"/>
    </row>
    <row r="14" spans="1:3" ht="17.100000000000001" customHeight="1">
      <c r="A14" s="60"/>
      <c r="B14" s="392" t="s">
        <v>318</v>
      </c>
      <c r="C14" s="59"/>
    </row>
    <row r="15" spans="1:3" ht="17.100000000000001" customHeight="1">
      <c r="A15" s="60"/>
      <c r="B15" s="392"/>
      <c r="C15" s="59"/>
    </row>
    <row r="16" spans="1:3" ht="17.100000000000001" customHeight="1">
      <c r="A16" s="60"/>
      <c r="B16" s="843" t="s">
        <v>330</v>
      </c>
      <c r="C16" s="59"/>
    </row>
    <row r="17" spans="1:4" ht="17.100000000000001" customHeight="1">
      <c r="A17" s="60"/>
      <c r="B17" s="843" t="s">
        <v>319</v>
      </c>
      <c r="C17" s="59"/>
    </row>
    <row r="18" spans="1:4" ht="17.100000000000001" customHeight="1">
      <c r="A18" s="60"/>
      <c r="B18" s="844" t="s">
        <v>320</v>
      </c>
      <c r="C18" s="59"/>
    </row>
    <row r="19" spans="1:4" ht="17.100000000000001" customHeight="1">
      <c r="A19" s="60"/>
      <c r="B19" s="844" t="s">
        <v>321</v>
      </c>
      <c r="C19" s="59"/>
    </row>
    <row r="20" spans="1:4" ht="17.100000000000001" customHeight="1">
      <c r="A20" s="60"/>
      <c r="B20" s="844" t="s">
        <v>322</v>
      </c>
      <c r="C20" s="59"/>
    </row>
    <row r="21" spans="1:4" ht="17.100000000000001" customHeight="1">
      <c r="A21" s="60"/>
      <c r="B21" s="393" t="s">
        <v>490</v>
      </c>
      <c r="C21" s="59"/>
    </row>
    <row r="22" spans="1:4" ht="17.100000000000001" customHeight="1">
      <c r="A22" s="60"/>
      <c r="B22" s="393" t="s">
        <v>323</v>
      </c>
      <c r="C22" s="59"/>
    </row>
    <row r="23" spans="1:4" ht="17.100000000000001" customHeight="1">
      <c r="A23" s="60"/>
      <c r="B23" s="393" t="s">
        <v>324</v>
      </c>
      <c r="C23" s="59"/>
    </row>
    <row r="24" spans="1:4" ht="17.100000000000001" customHeight="1">
      <c r="A24" s="60"/>
      <c r="B24" s="393" t="s">
        <v>325</v>
      </c>
      <c r="C24" s="59"/>
    </row>
    <row r="25" spans="1:4" ht="17.100000000000001" customHeight="1">
      <c r="A25" s="60"/>
      <c r="B25" s="393" t="s">
        <v>326</v>
      </c>
      <c r="C25" s="59"/>
    </row>
    <row r="26" spans="1:4" ht="11.25" customHeight="1">
      <c r="A26" s="60"/>
      <c r="B26" s="394" t="s">
        <v>327</v>
      </c>
      <c r="C26" s="59"/>
    </row>
    <row r="27" spans="1:4" ht="17.100000000000001" customHeight="1">
      <c r="A27" s="60"/>
      <c r="B27" s="393" t="s">
        <v>328</v>
      </c>
      <c r="C27" s="60"/>
    </row>
    <row r="28" spans="1:4" ht="17.100000000000001" customHeight="1">
      <c r="A28" s="60"/>
      <c r="B28" s="389"/>
      <c r="C28" s="60"/>
    </row>
    <row r="29" spans="1:4" ht="16.5" customHeight="1">
      <c r="A29" s="59"/>
      <c r="B29" s="59"/>
      <c r="C29" s="59"/>
      <c r="D29" s="51"/>
    </row>
    <row r="30" spans="1:4" ht="15">
      <c r="D30" s="51"/>
    </row>
    <row r="31" spans="1:4" ht="15">
      <c r="D31" s="51"/>
    </row>
    <row r="32" spans="1:4" ht="15">
      <c r="D32" s="51"/>
    </row>
    <row r="33" spans="4:4" ht="15">
      <c r="D33" s="51"/>
    </row>
  </sheetData>
  <hyperlinks>
    <hyperlink ref="B26" r:id="rId1" display="http://www.agricultura.gov.br/vegetal/estatisticas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29"/>
  <sheetViews>
    <sheetView workbookViewId="0">
      <selection activeCell="L10" sqref="L10"/>
    </sheetView>
  </sheetViews>
  <sheetFormatPr defaultRowHeight="12.75"/>
  <cols>
    <col min="1" max="1" width="20.85546875" customWidth="1"/>
    <col min="2" max="2" width="10.28515625" bestFit="1" customWidth="1"/>
    <col min="3" max="3" width="8.7109375" bestFit="1" customWidth="1"/>
    <col min="4" max="4" width="8.85546875" bestFit="1" customWidth="1"/>
    <col min="5" max="5" width="10.28515625" bestFit="1" customWidth="1"/>
    <col min="6" max="6" width="8.7109375" bestFit="1" customWidth="1"/>
    <col min="7" max="7" width="8.85546875" bestFit="1" customWidth="1"/>
    <col min="8" max="9" width="8.140625" bestFit="1" customWidth="1"/>
    <col min="10" max="10" width="8.85546875" bestFit="1" customWidth="1"/>
  </cols>
  <sheetData>
    <row r="1" spans="1:11">
      <c r="A1" s="1363" t="s">
        <v>458</v>
      </c>
      <c r="B1" s="1363"/>
      <c r="C1" s="1363"/>
      <c r="D1" s="1363"/>
      <c r="E1" s="1363"/>
      <c r="F1" s="1363"/>
      <c r="G1" s="1363"/>
      <c r="H1" s="1363"/>
      <c r="I1" s="1363"/>
      <c r="J1" s="1363"/>
    </row>
    <row r="2" spans="1:11" ht="15.75">
      <c r="A2" s="1349" t="s">
        <v>139</v>
      </c>
      <c r="B2" s="1349"/>
      <c r="C2" s="1349"/>
      <c r="D2" s="1349"/>
      <c r="E2" s="1349"/>
      <c r="F2" s="1349"/>
      <c r="G2" s="1349"/>
      <c r="H2" s="1349"/>
      <c r="I2" s="1349"/>
      <c r="J2" s="1349"/>
    </row>
    <row r="3" spans="1:11">
      <c r="A3" s="411"/>
      <c r="B3" s="411"/>
      <c r="C3" s="411"/>
      <c r="D3" s="411"/>
      <c r="E3" s="411"/>
      <c r="F3" s="411"/>
      <c r="G3" s="412"/>
      <c r="H3" s="411"/>
      <c r="I3" s="411"/>
      <c r="J3" s="411"/>
    </row>
    <row r="4" spans="1:11">
      <c r="A4" s="1350" t="s">
        <v>84</v>
      </c>
      <c r="B4" s="1352" t="s">
        <v>555</v>
      </c>
      <c r="C4" s="1353"/>
      <c r="D4" s="1353"/>
      <c r="E4" s="1352" t="s">
        <v>556</v>
      </c>
      <c r="F4" s="1353"/>
      <c r="G4" s="1353"/>
      <c r="H4" s="1354" t="s">
        <v>105</v>
      </c>
      <c r="I4" s="1354"/>
      <c r="J4" s="1355"/>
    </row>
    <row r="5" spans="1:11">
      <c r="A5" s="1351"/>
      <c r="B5" s="246" t="s">
        <v>106</v>
      </c>
      <c r="C5" s="246" t="s">
        <v>107</v>
      </c>
      <c r="D5" s="246" t="s">
        <v>108</v>
      </c>
      <c r="E5" s="246" t="s">
        <v>106</v>
      </c>
      <c r="F5" s="246" t="s">
        <v>107</v>
      </c>
      <c r="G5" s="246" t="s">
        <v>108</v>
      </c>
      <c r="H5" s="1356" t="s">
        <v>510</v>
      </c>
      <c r="I5" s="1356"/>
      <c r="J5" s="1357"/>
    </row>
    <row r="6" spans="1:11">
      <c r="A6" s="247"/>
      <c r="B6" s="248" t="s">
        <v>109</v>
      </c>
      <c r="C6" s="248" t="s">
        <v>140</v>
      </c>
      <c r="D6" s="250" t="s">
        <v>141</v>
      </c>
      <c r="E6" s="248" t="s">
        <v>109</v>
      </c>
      <c r="F6" s="248" t="s">
        <v>140</v>
      </c>
      <c r="G6" s="246" t="s">
        <v>141</v>
      </c>
      <c r="H6" s="248" t="s">
        <v>106</v>
      </c>
      <c r="I6" s="248" t="s">
        <v>107</v>
      </c>
      <c r="J6" s="251" t="s">
        <v>108</v>
      </c>
    </row>
    <row r="7" spans="1:11">
      <c r="A7" s="18" t="s">
        <v>13</v>
      </c>
      <c r="B7" s="19">
        <f>Exportações!D14</f>
        <v>1166304.1170000001</v>
      </c>
      <c r="C7" s="19">
        <v>475748.261</v>
      </c>
      <c r="D7" s="23">
        <f t="shared" ref="D7:D12" si="0">(B7*1000)/C7</f>
        <v>2451.5152499947867</v>
      </c>
      <c r="E7" s="19">
        <f>Exportações!G14</f>
        <v>1559478</v>
      </c>
      <c r="F7" s="19">
        <v>485916.06199999998</v>
      </c>
      <c r="G7" s="23">
        <f t="shared" ref="G7:G12" si="1">(E7*1000)/F7</f>
        <v>3209.3567633497987</v>
      </c>
      <c r="H7" s="918">
        <f t="shared" ref="H7:J12" si="2">SUM(B7-E7)*100/E7</f>
        <v>-25.211890324839459</v>
      </c>
      <c r="I7" s="918">
        <f t="shared" si="2"/>
        <v>-2.0925015234421247</v>
      </c>
      <c r="J7" s="919">
        <f t="shared" si="2"/>
        <v>-23.613501683870361</v>
      </c>
    </row>
    <row r="8" spans="1:11">
      <c r="A8" s="18" t="s">
        <v>112</v>
      </c>
      <c r="B8" s="19">
        <f>Exportações!D15</f>
        <v>130233.25899999999</v>
      </c>
      <c r="C8" s="19">
        <v>20194.330000000002</v>
      </c>
      <c r="D8" s="23">
        <f t="shared" si="0"/>
        <v>6449.0012295530469</v>
      </c>
      <c r="E8" s="19">
        <f>Exportações!G15</f>
        <v>132733</v>
      </c>
      <c r="F8" s="19">
        <v>17418.214</v>
      </c>
      <c r="G8" s="23">
        <f t="shared" si="1"/>
        <v>7620.3564843100448</v>
      </c>
      <c r="H8" s="918">
        <f t="shared" si="2"/>
        <v>-1.8832852418012167</v>
      </c>
      <c r="I8" s="918">
        <f t="shared" si="2"/>
        <v>15.938006043558783</v>
      </c>
      <c r="J8" s="919">
        <f t="shared" si="2"/>
        <v>-15.371397088427075</v>
      </c>
    </row>
    <row r="9" spans="1:11">
      <c r="A9" s="18" t="s">
        <v>113</v>
      </c>
      <c r="B9" s="19">
        <f>Exportações!D16</f>
        <v>2308.6790000000001</v>
      </c>
      <c r="C9" s="524">
        <v>410.68599999999998</v>
      </c>
      <c r="D9" s="23">
        <f t="shared" si="0"/>
        <v>5621.5186298047656</v>
      </c>
      <c r="E9" s="19">
        <f>Exportações!G16</f>
        <v>2360</v>
      </c>
      <c r="F9" s="19">
        <v>386.76299999999998</v>
      </c>
      <c r="G9" s="23">
        <f t="shared" si="1"/>
        <v>6101.9280541313419</v>
      </c>
      <c r="H9" s="918">
        <f t="shared" si="2"/>
        <v>-2.174618644067793</v>
      </c>
      <c r="I9" s="918">
        <f t="shared" si="2"/>
        <v>6.1854417304654277</v>
      </c>
      <c r="J9" s="919">
        <f t="shared" si="2"/>
        <v>-7.8730758551194748</v>
      </c>
    </row>
    <row r="10" spans="1:11">
      <c r="A10" s="20" t="s">
        <v>114</v>
      </c>
      <c r="B10" s="19">
        <f>Exportações!D17</f>
        <v>7071.3959999999997</v>
      </c>
      <c r="C10" s="524">
        <v>1387.357</v>
      </c>
      <c r="D10" s="23">
        <f t="shared" si="0"/>
        <v>5097.0269368302461</v>
      </c>
      <c r="E10" s="19">
        <f>Exportações!G17</f>
        <v>9782</v>
      </c>
      <c r="F10" s="19">
        <v>1667.2190000000001</v>
      </c>
      <c r="G10" s="23">
        <f t="shared" si="1"/>
        <v>5867.255591496978</v>
      </c>
      <c r="H10" s="918">
        <f t="shared" si="2"/>
        <v>-27.710120629728074</v>
      </c>
      <c r="I10" s="920">
        <f t="shared" si="2"/>
        <v>-16.786157067547819</v>
      </c>
      <c r="J10" s="921">
        <f t="shared" si="2"/>
        <v>-13.127579711764609</v>
      </c>
    </row>
    <row r="11" spans="1:11">
      <c r="A11" s="20" t="s">
        <v>275</v>
      </c>
      <c r="B11" s="19">
        <f>Exportações!D18</f>
        <v>7.5869999999999997</v>
      </c>
      <c r="C11" s="19">
        <v>1.42</v>
      </c>
      <c r="D11" s="23">
        <f t="shared" si="0"/>
        <v>5342.9577464788736</v>
      </c>
      <c r="E11" s="19">
        <f>Exportações!G18</f>
        <v>17.047999999999998</v>
      </c>
      <c r="F11" s="19">
        <v>0.73199999999999998</v>
      </c>
      <c r="G11" s="23">
        <f t="shared" si="1"/>
        <v>23289.617486338797</v>
      </c>
      <c r="H11" s="918">
        <f t="shared" si="2"/>
        <v>-55.496245893946501</v>
      </c>
      <c r="I11" s="918">
        <f t="shared" si="2"/>
        <v>93.989071038251367</v>
      </c>
      <c r="J11" s="921">
        <f t="shared" si="2"/>
        <v>-77.058628165048475</v>
      </c>
      <c r="K11" s="4"/>
    </row>
    <row r="12" spans="1:11">
      <c r="A12" s="252" t="s">
        <v>115</v>
      </c>
      <c r="B12" s="253">
        <f>SUM(B7:B11)</f>
        <v>1305925.0380000002</v>
      </c>
      <c r="C12" s="253">
        <f>SUM(C7:C11)</f>
        <v>497742.054</v>
      </c>
      <c r="D12" s="930">
        <f t="shared" si="0"/>
        <v>2623.6984146812724</v>
      </c>
      <c r="E12" s="253">
        <f>SUM(E7:E11)</f>
        <v>1704370.048</v>
      </c>
      <c r="F12" s="253">
        <f>SUM(F7:F11)</f>
        <v>505388.98999999993</v>
      </c>
      <c r="G12" s="930">
        <f t="shared" si="1"/>
        <v>3372.3925169006952</v>
      </c>
      <c r="H12" s="922">
        <f>SUM(B12-E12)*100/E12</f>
        <v>-23.37784628799108</v>
      </c>
      <c r="I12" s="923">
        <f t="shared" si="2"/>
        <v>-1.5130792619759938</v>
      </c>
      <c r="J12" s="924">
        <f t="shared" si="2"/>
        <v>-22.20068092511039</v>
      </c>
    </row>
    <row r="13" spans="1:11">
      <c r="A13" s="254" t="s">
        <v>116</v>
      </c>
      <c r="B13" s="903"/>
      <c r="C13" s="903"/>
      <c r="D13" s="904"/>
      <c r="E13" s="903"/>
      <c r="F13" s="903"/>
      <c r="G13" s="904"/>
      <c r="H13" s="905"/>
      <c r="I13" s="906"/>
      <c r="J13" s="905"/>
    </row>
    <row r="14" spans="1:11">
      <c r="A14" s="249" t="s">
        <v>335</v>
      </c>
      <c r="B14" s="6"/>
      <c r="C14" s="6"/>
      <c r="D14" s="6"/>
      <c r="E14" s="6"/>
      <c r="F14" s="6"/>
      <c r="G14" s="21"/>
      <c r="H14" s="6"/>
      <c r="I14" s="6"/>
      <c r="J14" s="6"/>
    </row>
    <row r="15" spans="1:11">
      <c r="A15" s="22" t="s">
        <v>142</v>
      </c>
      <c r="B15" s="6"/>
      <c r="C15" s="6"/>
      <c r="D15" s="6"/>
      <c r="E15" s="6"/>
      <c r="F15" s="6"/>
      <c r="G15" s="21"/>
      <c r="H15" s="6"/>
      <c r="I15" s="6"/>
      <c r="J15" s="6"/>
    </row>
    <row r="16" spans="1:11">
      <c r="A16" s="22" t="s">
        <v>143</v>
      </c>
      <c r="B16" s="6"/>
      <c r="C16" s="6"/>
      <c r="D16" s="6"/>
      <c r="E16" s="6"/>
      <c r="F16" s="6"/>
      <c r="G16" s="21"/>
      <c r="H16" s="6"/>
      <c r="I16" s="6"/>
      <c r="J16" s="6"/>
    </row>
    <row r="17" spans="1:10">
      <c r="A17" s="22" t="s">
        <v>144</v>
      </c>
      <c r="B17" s="6"/>
      <c r="C17" s="6"/>
      <c r="D17" s="6"/>
      <c r="E17" s="6"/>
      <c r="F17" s="6"/>
      <c r="G17" s="21"/>
      <c r="H17" s="6"/>
      <c r="I17" s="6"/>
      <c r="J17" s="6"/>
    </row>
    <row r="18" spans="1:10">
      <c r="A18" s="22" t="s">
        <v>370</v>
      </c>
      <c r="B18" s="6"/>
      <c r="C18" s="6"/>
      <c r="D18" s="6"/>
      <c r="E18" s="6"/>
      <c r="F18" s="6"/>
      <c r="G18" s="21"/>
      <c r="H18" s="6"/>
      <c r="I18" s="6"/>
      <c r="J18" s="6"/>
    </row>
    <row r="19" spans="1:10">
      <c r="A19" s="22"/>
      <c r="B19" s="6"/>
      <c r="C19" s="6"/>
      <c r="D19" s="6"/>
      <c r="E19" s="6"/>
      <c r="F19" s="6"/>
      <c r="G19" s="21"/>
      <c r="H19" s="6"/>
      <c r="I19" s="6"/>
      <c r="J19" s="6"/>
    </row>
    <row r="20" spans="1:10">
      <c r="A20" s="1358" t="s">
        <v>145</v>
      </c>
      <c r="B20" s="1358"/>
      <c r="C20" s="1358"/>
      <c r="D20" s="1358"/>
      <c r="E20" s="1358"/>
      <c r="F20" s="1358"/>
      <c r="G20" s="1358"/>
      <c r="H20" s="1358"/>
      <c r="I20" s="1358"/>
      <c r="J20" s="1358"/>
    </row>
    <row r="21" spans="1:10">
      <c r="A21" s="1358" t="s">
        <v>336</v>
      </c>
      <c r="B21" s="1358"/>
      <c r="C21" s="1358"/>
      <c r="D21" s="1358"/>
      <c r="E21" s="1358"/>
      <c r="F21" s="1358"/>
      <c r="G21" s="1358"/>
      <c r="H21" s="1358"/>
      <c r="I21" s="1358"/>
      <c r="J21" s="1358"/>
    </row>
    <row r="22" spans="1:10">
      <c r="A22" s="255"/>
      <c r="B22" s="255"/>
      <c r="C22" s="255"/>
      <c r="D22" s="255"/>
      <c r="E22" s="255"/>
      <c r="F22" s="255"/>
      <c r="G22" s="256"/>
      <c r="H22" s="255"/>
      <c r="I22" s="255"/>
      <c r="J22" s="255"/>
    </row>
    <row r="23" spans="1:10">
      <c r="A23" s="1359" t="s">
        <v>146</v>
      </c>
      <c r="B23" s="1360"/>
      <c r="C23" s="1360"/>
      <c r="D23" s="255"/>
      <c r="E23" s="255"/>
      <c r="F23" s="255"/>
      <c r="G23" s="256"/>
      <c r="H23" s="255"/>
      <c r="I23" s="255"/>
      <c r="J23" s="255"/>
    </row>
    <row r="24" spans="1:10">
      <c r="A24" s="6"/>
      <c r="B24" s="6"/>
      <c r="C24" s="6"/>
      <c r="D24" s="6"/>
      <c r="E24" s="6"/>
      <c r="F24" s="6"/>
      <c r="G24" s="21"/>
      <c r="H24" s="6"/>
      <c r="I24" s="6"/>
      <c r="J24" s="6"/>
    </row>
    <row r="25" spans="1:10">
      <c r="A25" s="1350" t="s">
        <v>147</v>
      </c>
      <c r="B25" s="1362" t="str">
        <f>B4</f>
        <v>Jan a Mar/2016</v>
      </c>
      <c r="C25" s="1356"/>
      <c r="D25" s="1356"/>
      <c r="E25" s="1362" t="str">
        <f>E4</f>
        <v>Jan a Mar/2015</v>
      </c>
      <c r="F25" s="1356"/>
      <c r="G25" s="1356"/>
      <c r="H25" s="1354" t="s">
        <v>105</v>
      </c>
      <c r="I25" s="1354"/>
      <c r="J25" s="1355"/>
    </row>
    <row r="26" spans="1:10">
      <c r="A26" s="1361"/>
      <c r="B26" s="257" t="s">
        <v>106</v>
      </c>
      <c r="C26" s="248" t="s">
        <v>148</v>
      </c>
      <c r="D26" s="250" t="s">
        <v>108</v>
      </c>
      <c r="E26" s="248" t="s">
        <v>106</v>
      </c>
      <c r="F26" s="248" t="s">
        <v>148</v>
      </c>
      <c r="G26" s="246" t="s">
        <v>108</v>
      </c>
      <c r="H26" s="1354" t="str">
        <f>H5</f>
        <v>(16/15)</v>
      </c>
      <c r="I26" s="1354"/>
      <c r="J26" s="1355"/>
    </row>
    <row r="27" spans="1:10">
      <c r="A27" s="258"/>
      <c r="B27" s="259" t="s">
        <v>149</v>
      </c>
      <c r="C27" s="260" t="s">
        <v>140</v>
      </c>
      <c r="D27" s="261" t="s">
        <v>141</v>
      </c>
      <c r="E27" s="259" t="s">
        <v>149</v>
      </c>
      <c r="F27" s="260" t="s">
        <v>140</v>
      </c>
      <c r="G27" s="262" t="s">
        <v>141</v>
      </c>
      <c r="H27" s="260" t="s">
        <v>106</v>
      </c>
      <c r="I27" s="260" t="s">
        <v>107</v>
      </c>
      <c r="J27" s="263" t="s">
        <v>108</v>
      </c>
    </row>
    <row r="28" spans="1:10">
      <c r="A28" s="564" t="s">
        <v>337</v>
      </c>
      <c r="B28" s="524">
        <v>616404.95299999998</v>
      </c>
      <c r="C28" s="524">
        <v>255112.25399999999</v>
      </c>
      <c r="D28" s="781">
        <f t="shared" ref="D28:D45" si="3">(B28*1000)/C28</f>
        <v>2416.210681122358</v>
      </c>
      <c r="E28" s="524">
        <v>891176.51300000004</v>
      </c>
      <c r="F28" s="524">
        <v>273918.902</v>
      </c>
      <c r="G28" s="781">
        <f t="shared" ref="G28:G45" si="4">(E28*1000)/F28</f>
        <v>3253.431970167579</v>
      </c>
      <c r="H28" s="920">
        <f t="shared" ref="H28:H45" si="5">SUM(B28-E28)*100/E28</f>
        <v>-30.832450809887991</v>
      </c>
      <c r="I28" s="920">
        <f t="shared" ref="I28:I45" si="6">SUM(C28-F28)*100/F28</f>
        <v>-6.8657722642302419</v>
      </c>
      <c r="J28" s="921">
        <f t="shared" ref="J28:J45" si="7">SUM(D28-G28)*100/G28</f>
        <v>-25.733480728109313</v>
      </c>
    </row>
    <row r="29" spans="1:10">
      <c r="A29" s="18" t="s">
        <v>280</v>
      </c>
      <c r="B29" s="19">
        <v>214258.47700000001</v>
      </c>
      <c r="C29" s="19">
        <v>87756.133000000002</v>
      </c>
      <c r="D29" s="23">
        <f t="shared" si="3"/>
        <v>2441.5214034100613</v>
      </c>
      <c r="E29" s="19">
        <v>298356.15600000002</v>
      </c>
      <c r="F29" s="19">
        <v>94465.248000000007</v>
      </c>
      <c r="G29" s="23">
        <f t="shared" si="4"/>
        <v>3158.3694778422641</v>
      </c>
      <c r="H29" s="918">
        <f t="shared" si="5"/>
        <v>-28.187009823252986</v>
      </c>
      <c r="I29" s="918">
        <f t="shared" si="6"/>
        <v>-7.1022044000773743</v>
      </c>
      <c r="J29" s="919">
        <f t="shared" si="7"/>
        <v>-22.696776911672139</v>
      </c>
    </row>
    <row r="30" spans="1:10">
      <c r="A30" s="18" t="s">
        <v>281</v>
      </c>
      <c r="B30" s="19">
        <v>113628.588</v>
      </c>
      <c r="C30" s="19">
        <v>38687.444000000003</v>
      </c>
      <c r="D30" s="23">
        <f t="shared" si="3"/>
        <v>2937.0921480364532</v>
      </c>
      <c r="E30" s="19">
        <v>134782.37899999999</v>
      </c>
      <c r="F30" s="19">
        <v>35884.341999999997</v>
      </c>
      <c r="G30" s="23">
        <f t="shared" si="4"/>
        <v>3756.0220276576342</v>
      </c>
      <c r="H30" s="918">
        <f t="shared" si="5"/>
        <v>-15.694774908224453</v>
      </c>
      <c r="I30" s="918">
        <f t="shared" si="6"/>
        <v>7.8114905938640504</v>
      </c>
      <c r="J30" s="919">
        <f t="shared" si="7"/>
        <v>-21.803117063503745</v>
      </c>
    </row>
    <row r="31" spans="1:10">
      <c r="A31" s="18" t="s">
        <v>283</v>
      </c>
      <c r="B31" s="19">
        <v>28253.26</v>
      </c>
      <c r="C31" s="19">
        <v>12444.084999999999</v>
      </c>
      <c r="D31" s="23">
        <f>(B31*1000)/C31</f>
        <v>2270.4168285575038</v>
      </c>
      <c r="E31" s="19">
        <v>30494.539000000001</v>
      </c>
      <c r="F31" s="19">
        <v>11513.24</v>
      </c>
      <c r="G31" s="23">
        <f>(E31*1000)/F31</f>
        <v>2648.6496416299842</v>
      </c>
      <c r="H31" s="918">
        <f>SUM(B31-E31)*100/E31</f>
        <v>-7.3497717083048943</v>
      </c>
      <c r="I31" s="918">
        <f>SUM(C31-F31)*100/F31</f>
        <v>8.0849960567138304</v>
      </c>
      <c r="J31" s="919">
        <f>SUM(D31-G31)*100/G31</f>
        <v>-14.280213099068671</v>
      </c>
    </row>
    <row r="32" spans="1:10">
      <c r="A32" s="18" t="s">
        <v>282</v>
      </c>
      <c r="B32" s="19">
        <v>27925.562999999998</v>
      </c>
      <c r="C32" s="19">
        <v>10996.6</v>
      </c>
      <c r="D32" s="23">
        <f t="shared" si="3"/>
        <v>2539.472473309932</v>
      </c>
      <c r="E32" s="19">
        <v>32297.234</v>
      </c>
      <c r="F32" s="19">
        <v>9109.8649999999998</v>
      </c>
      <c r="G32" s="23">
        <f t="shared" si="4"/>
        <v>3545.3032509263312</v>
      </c>
      <c r="H32" s="918">
        <f t="shared" si="5"/>
        <v>-13.535744268379149</v>
      </c>
      <c r="I32" s="918">
        <f t="shared" si="6"/>
        <v>20.710899667558198</v>
      </c>
      <c r="J32" s="919">
        <f t="shared" si="7"/>
        <v>-28.370796697111643</v>
      </c>
    </row>
    <row r="33" spans="1:10">
      <c r="A33" s="18" t="s">
        <v>338</v>
      </c>
      <c r="B33" s="19">
        <v>16668.718000000001</v>
      </c>
      <c r="C33" s="19">
        <v>6581.7290000000003</v>
      </c>
      <c r="D33" s="23">
        <f t="shared" ref="D33:D41" si="8">(B33*1000)/C33</f>
        <v>2532.5743433070547</v>
      </c>
      <c r="E33" s="782">
        <v>19047.64</v>
      </c>
      <c r="F33" s="19">
        <v>6060.36</v>
      </c>
      <c r="G33" s="23">
        <f>(F34*1000)/F33</f>
        <v>1016.3389633619125</v>
      </c>
      <c r="H33" s="918">
        <f t="shared" ref="H33:J33" si="9">SUM(B33-E33)*100/E33</f>
        <v>-12.489326761740555</v>
      </c>
      <c r="I33" s="918">
        <f t="shared" si="9"/>
        <v>8.602937779273848</v>
      </c>
      <c r="J33" s="919">
        <f t="shared" si="9"/>
        <v>149.18599351240451</v>
      </c>
    </row>
    <row r="34" spans="1:10">
      <c r="A34" s="18" t="s">
        <v>339</v>
      </c>
      <c r="B34" s="19">
        <v>15263.402</v>
      </c>
      <c r="C34" s="19">
        <v>6316.3050000000003</v>
      </c>
      <c r="D34" s="23">
        <f t="shared" ref="D34:D40" si="10">(B34*1000)/C34</f>
        <v>2416.5080691955186</v>
      </c>
      <c r="E34" s="19">
        <v>19399.351999999999</v>
      </c>
      <c r="F34" s="19">
        <v>6159.38</v>
      </c>
      <c r="G34" s="23">
        <f t="shared" ref="G34:G40" si="11">(E34*1000)/F34</f>
        <v>3149.5624559614766</v>
      </c>
      <c r="H34" s="918">
        <f t="shared" ref="H34:J38" si="12">SUM(B34-E34)*100/E34</f>
        <v>-21.320042030269871</v>
      </c>
      <c r="I34" s="918">
        <f t="shared" si="12"/>
        <v>2.547740194629982</v>
      </c>
      <c r="J34" s="919">
        <f t="shared" si="12"/>
        <v>-23.274800770451026</v>
      </c>
    </row>
    <row r="35" spans="1:10">
      <c r="A35" s="18" t="s">
        <v>293</v>
      </c>
      <c r="B35" s="19">
        <v>15264.617</v>
      </c>
      <c r="C35" s="19">
        <v>7101.8069999999998</v>
      </c>
      <c r="D35" s="23">
        <f t="shared" si="10"/>
        <v>2149.3990191510416</v>
      </c>
      <c r="E35" s="23">
        <v>14379.696</v>
      </c>
      <c r="F35" s="19">
        <v>6143.1949999999997</v>
      </c>
      <c r="G35" s="23">
        <f t="shared" si="11"/>
        <v>2340.7520028258914</v>
      </c>
      <c r="H35" s="918">
        <f t="shared" si="12"/>
        <v>6.1539618083720296</v>
      </c>
      <c r="I35" s="918">
        <f t="shared" si="12"/>
        <v>15.604453382970917</v>
      </c>
      <c r="J35" s="919">
        <f t="shared" si="12"/>
        <v>-8.1748507934132881</v>
      </c>
    </row>
    <row r="36" spans="1:10">
      <c r="A36" s="564" t="s">
        <v>433</v>
      </c>
      <c r="B36" s="19">
        <v>12047.27</v>
      </c>
      <c r="C36" s="19">
        <v>3681.8690000000001</v>
      </c>
      <c r="D36" s="23">
        <f t="shared" si="10"/>
        <v>3272.0528622827155</v>
      </c>
      <c r="E36" s="19">
        <v>10276.828</v>
      </c>
      <c r="F36" s="19">
        <v>2783.78</v>
      </c>
      <c r="G36" s="23">
        <f t="shared" si="11"/>
        <v>3691.6810954888674</v>
      </c>
      <c r="H36" s="918">
        <f t="shared" si="12"/>
        <v>17.227514170714944</v>
      </c>
      <c r="I36" s="918">
        <f t="shared" si="12"/>
        <v>32.261493365136609</v>
      </c>
      <c r="J36" s="919">
        <f t="shared" si="12"/>
        <v>-11.366860309763107</v>
      </c>
    </row>
    <row r="37" spans="1:10">
      <c r="A37" s="18" t="s">
        <v>286</v>
      </c>
      <c r="B37" s="19">
        <v>11767.184999999999</v>
      </c>
      <c r="C37" s="19">
        <v>5690.491</v>
      </c>
      <c r="D37" s="23">
        <f t="shared" si="10"/>
        <v>2067.8681329959049</v>
      </c>
      <c r="E37" s="19">
        <v>13008.49</v>
      </c>
      <c r="F37" s="19">
        <v>5005.0739999999996</v>
      </c>
      <c r="G37" s="23">
        <f t="shared" si="11"/>
        <v>2599.0604734315621</v>
      </c>
      <c r="H37" s="918">
        <f t="shared" si="12"/>
        <v>-9.5422681648677159</v>
      </c>
      <c r="I37" s="918">
        <f t="shared" si="12"/>
        <v>13.694442879366029</v>
      </c>
      <c r="J37" s="919">
        <f t="shared" si="12"/>
        <v>-20.437859983085321</v>
      </c>
    </row>
    <row r="38" spans="1:10">
      <c r="A38" s="564" t="s">
        <v>516</v>
      </c>
      <c r="B38" s="19">
        <v>11098.665999999999</v>
      </c>
      <c r="C38" s="19">
        <v>5285.85</v>
      </c>
      <c r="D38" s="23">
        <f t="shared" si="10"/>
        <v>2099.6937105668908</v>
      </c>
      <c r="E38" s="19">
        <v>12974.186</v>
      </c>
      <c r="F38" s="19">
        <v>5152.55</v>
      </c>
      <c r="G38" s="23">
        <f t="shared" si="11"/>
        <v>2518.0126345207714</v>
      </c>
      <c r="H38" s="918">
        <f t="shared" si="12"/>
        <v>-14.455781657515937</v>
      </c>
      <c r="I38" s="918">
        <f t="shared" si="12"/>
        <v>2.5870685388788108</v>
      </c>
      <c r="J38" s="919">
        <f t="shared" si="12"/>
        <v>-16.613058974324613</v>
      </c>
    </row>
    <row r="39" spans="1:10">
      <c r="A39" s="564" t="s">
        <v>541</v>
      </c>
      <c r="B39" s="19">
        <v>10300.148999999999</v>
      </c>
      <c r="C39" s="782">
        <v>3961.75</v>
      </c>
      <c r="D39" s="23">
        <f t="shared" si="10"/>
        <v>2599.8987821038681</v>
      </c>
      <c r="E39" s="782">
        <v>15901.058999999999</v>
      </c>
      <c r="F39" s="782">
        <v>4697.1099999999997</v>
      </c>
      <c r="G39" s="23">
        <f t="shared" si="11"/>
        <v>3385.2856330807667</v>
      </c>
      <c r="H39" s="918">
        <f t="shared" ref="H39:J39" si="13">SUM(B39-E39)*100/E39</f>
        <v>-35.223503038382539</v>
      </c>
      <c r="I39" s="918">
        <f t="shared" si="13"/>
        <v>-15.655583965459607</v>
      </c>
      <c r="J39" s="919">
        <f t="shared" si="13"/>
        <v>-23.200017254147035</v>
      </c>
    </row>
    <row r="40" spans="1:10">
      <c r="A40" s="564" t="s">
        <v>515</v>
      </c>
      <c r="B40" s="19">
        <v>8456.5470000000005</v>
      </c>
      <c r="C40" s="19">
        <v>4518.1859999999997</v>
      </c>
      <c r="D40" s="23">
        <f t="shared" si="10"/>
        <v>1871.6686298439242</v>
      </c>
      <c r="E40" s="19">
        <v>9064.7340000000004</v>
      </c>
      <c r="F40" s="19">
        <v>3885.6</v>
      </c>
      <c r="G40" s="23">
        <f t="shared" si="11"/>
        <v>2332.9045707226683</v>
      </c>
      <c r="H40" s="918">
        <f t="shared" ref="H40:J40" si="14">SUM(B40-E40)*100/E40</f>
        <v>-6.7093750351637444</v>
      </c>
      <c r="I40" s="918">
        <f t="shared" si="14"/>
        <v>16.280265596046938</v>
      </c>
      <c r="J40" s="919">
        <f t="shared" si="14"/>
        <v>-19.770887616541728</v>
      </c>
    </row>
    <row r="41" spans="1:10">
      <c r="A41" s="783" t="s">
        <v>540</v>
      </c>
      <c r="B41" s="19">
        <v>6944.0259999999998</v>
      </c>
      <c r="C41" s="19">
        <v>2592</v>
      </c>
      <c r="D41" s="23">
        <f t="shared" si="8"/>
        <v>2679.0223765432097</v>
      </c>
      <c r="E41" s="19">
        <v>0</v>
      </c>
      <c r="F41" s="19">
        <v>0</v>
      </c>
      <c r="G41" s="23">
        <v>0</v>
      </c>
      <c r="H41" s="918">
        <v>0</v>
      </c>
      <c r="I41" s="918">
        <v>0</v>
      </c>
      <c r="J41" s="919">
        <v>0</v>
      </c>
    </row>
    <row r="42" spans="1:10">
      <c r="A42" s="564" t="s">
        <v>514</v>
      </c>
      <c r="B42" s="19">
        <v>6518.4560000000001</v>
      </c>
      <c r="C42" s="19">
        <v>2490.2959999999998</v>
      </c>
      <c r="D42" s="23">
        <f>(B42*1000)/C42</f>
        <v>2617.5426535640745</v>
      </c>
      <c r="E42" s="19">
        <v>5298.3239999999996</v>
      </c>
      <c r="F42" s="19">
        <v>1348.59</v>
      </c>
      <c r="G42" s="23">
        <f>(E42*1000)/F42</f>
        <v>3928.787845082642</v>
      </c>
      <c r="H42" s="918">
        <f>SUM(B42-E42)*100/E42</f>
        <v>23.028640755076523</v>
      </c>
      <c r="I42" s="918">
        <f>SUM(C42-F42)*100/F42</f>
        <v>84.659236684240582</v>
      </c>
      <c r="J42" s="919">
        <f>SUM(D42-G42)*100/G42</f>
        <v>-33.375311755755682</v>
      </c>
    </row>
    <row r="43" spans="1:10">
      <c r="A43" s="264" t="s">
        <v>127</v>
      </c>
      <c r="B43" s="265">
        <f>SUM(B28:B42)</f>
        <v>1114799.8769999999</v>
      </c>
      <c r="C43" s="265">
        <f>SUM(C28:C42)</f>
        <v>453216.79899999988</v>
      </c>
      <c r="D43" s="266">
        <f t="shared" si="3"/>
        <v>2459.7496815205213</v>
      </c>
      <c r="E43" s="265">
        <f>SUM(E28:E42)</f>
        <v>1506457.1299999997</v>
      </c>
      <c r="F43" s="265">
        <f>SUM(F28:F42)</f>
        <v>466127.23600000003</v>
      </c>
      <c r="G43" s="266">
        <f t="shared" si="4"/>
        <v>3231.8582001932186</v>
      </c>
      <c r="H43" s="925">
        <f t="shared" si="5"/>
        <v>-25.998566119169944</v>
      </c>
      <c r="I43" s="925">
        <f t="shared" si="6"/>
        <v>-2.7697238013356831</v>
      </c>
      <c r="J43" s="926">
        <f t="shared" si="7"/>
        <v>-23.89054441270153</v>
      </c>
    </row>
    <row r="44" spans="1:10">
      <c r="A44" s="24" t="s">
        <v>150</v>
      </c>
      <c r="B44" s="25">
        <f>B45-B43</f>
        <v>51504.240000000224</v>
      </c>
      <c r="C44" s="25">
        <f>C45-C43</f>
        <v>22531.462000000116</v>
      </c>
      <c r="D44" s="23">
        <f t="shared" si="3"/>
        <v>2285.8809605874649</v>
      </c>
      <c r="E44" s="25">
        <f>E45-E43</f>
        <v>53020.870000000345</v>
      </c>
      <c r="F44" s="25">
        <f>F45-F43</f>
        <v>19788.825999999943</v>
      </c>
      <c r="G44" s="23">
        <f t="shared" si="4"/>
        <v>2679.3337815998025</v>
      </c>
      <c r="H44" s="918">
        <f t="shared" si="5"/>
        <v>-2.8604396721519492</v>
      </c>
      <c r="I44" s="918">
        <f t="shared" si="6"/>
        <v>13.859518497965373</v>
      </c>
      <c r="J44" s="919">
        <f t="shared" si="7"/>
        <v>-14.684725871571365</v>
      </c>
    </row>
    <row r="45" spans="1:10">
      <c r="A45" s="267" t="s">
        <v>151</v>
      </c>
      <c r="B45" s="268">
        <f>B7</f>
        <v>1166304.1170000001</v>
      </c>
      <c r="C45" s="245">
        <f>C7</f>
        <v>475748.261</v>
      </c>
      <c r="D45" s="269">
        <f t="shared" si="3"/>
        <v>2451.5152499947867</v>
      </c>
      <c r="E45" s="245">
        <f>E7</f>
        <v>1559478</v>
      </c>
      <c r="F45" s="245">
        <f>F7</f>
        <v>485916.06199999998</v>
      </c>
      <c r="G45" s="269">
        <f t="shared" si="4"/>
        <v>3209.3567633497987</v>
      </c>
      <c r="H45" s="922">
        <f t="shared" si="5"/>
        <v>-25.211890324839459</v>
      </c>
      <c r="I45" s="922">
        <f t="shared" si="6"/>
        <v>-2.0925015234421247</v>
      </c>
      <c r="J45" s="927">
        <f t="shared" si="7"/>
        <v>-23.613501683870361</v>
      </c>
    </row>
    <row r="46" spans="1:10">
      <c r="A46" s="254" t="s">
        <v>116</v>
      </c>
      <c r="B46" s="6"/>
      <c r="C46" s="6"/>
      <c r="D46" s="6"/>
      <c r="E46" s="6"/>
      <c r="F46" s="6"/>
      <c r="G46" s="21"/>
      <c r="H46" s="6"/>
      <c r="I46" s="6"/>
      <c r="J46" s="6"/>
    </row>
    <row r="47" spans="1:10">
      <c r="A47" s="1358" t="s">
        <v>152</v>
      </c>
      <c r="B47" s="1358"/>
      <c r="C47" s="1358"/>
      <c r="D47" s="1358"/>
      <c r="E47" s="1358"/>
      <c r="F47" s="1358"/>
      <c r="G47" s="1358"/>
      <c r="H47" s="1358"/>
      <c r="I47" s="1358"/>
      <c r="J47" s="1358"/>
    </row>
    <row r="48" spans="1:10">
      <c r="A48" s="1358" t="s">
        <v>336</v>
      </c>
      <c r="B48" s="1358"/>
      <c r="C48" s="1358"/>
      <c r="D48" s="1358"/>
      <c r="E48" s="1358"/>
      <c r="F48" s="1358"/>
      <c r="G48" s="1358"/>
      <c r="H48" s="1358"/>
      <c r="I48" s="1358"/>
      <c r="J48" s="1358"/>
    </row>
    <row r="49" spans="1:10">
      <c r="A49" s="255"/>
      <c r="B49" s="255"/>
      <c r="C49" s="255"/>
      <c r="D49" s="255"/>
      <c r="E49" s="255"/>
      <c r="F49" s="255"/>
      <c r="G49" s="256"/>
      <c r="H49" s="255"/>
      <c r="I49" s="255"/>
      <c r="J49" s="255"/>
    </row>
    <row r="50" spans="1:10">
      <c r="A50" s="1359" t="s">
        <v>153</v>
      </c>
      <c r="B50" s="1360"/>
      <c r="C50" s="1360"/>
      <c r="D50" s="255"/>
      <c r="E50" s="255"/>
      <c r="F50" s="255"/>
      <c r="G50" s="256"/>
      <c r="H50" s="255"/>
      <c r="I50" s="255"/>
      <c r="J50" s="255"/>
    </row>
    <row r="51" spans="1:10">
      <c r="A51" s="6"/>
      <c r="B51" s="6"/>
      <c r="C51" s="6"/>
      <c r="D51" s="6"/>
      <c r="E51" s="6"/>
      <c r="F51" s="6"/>
      <c r="G51" s="21"/>
      <c r="H51" s="6"/>
      <c r="I51" s="6"/>
      <c r="J51" s="6"/>
    </row>
    <row r="52" spans="1:10">
      <c r="A52" s="1350" t="s">
        <v>147</v>
      </c>
      <c r="B52" s="1362" t="str">
        <f>B4</f>
        <v>Jan a Mar/2016</v>
      </c>
      <c r="C52" s="1356"/>
      <c r="D52" s="1356"/>
      <c r="E52" s="1362" t="str">
        <f>E4</f>
        <v>Jan a Mar/2015</v>
      </c>
      <c r="F52" s="1356"/>
      <c r="G52" s="1356"/>
      <c r="H52" s="1354" t="s">
        <v>105</v>
      </c>
      <c r="I52" s="1354"/>
      <c r="J52" s="1355"/>
    </row>
    <row r="53" spans="1:10">
      <c r="A53" s="1361"/>
      <c r="B53" s="257" t="s">
        <v>106</v>
      </c>
      <c r="C53" s="248" t="s">
        <v>148</v>
      </c>
      <c r="D53" s="250" t="s">
        <v>108</v>
      </c>
      <c r="E53" s="248" t="s">
        <v>106</v>
      </c>
      <c r="F53" s="248" t="s">
        <v>148</v>
      </c>
      <c r="G53" s="246" t="s">
        <v>108</v>
      </c>
      <c r="H53" s="1354" t="str">
        <f>H5</f>
        <v>(16/15)</v>
      </c>
      <c r="I53" s="1354"/>
      <c r="J53" s="1355"/>
    </row>
    <row r="54" spans="1:10">
      <c r="A54" s="258"/>
      <c r="B54" s="257" t="s">
        <v>149</v>
      </c>
      <c r="C54" s="248" t="s">
        <v>140</v>
      </c>
      <c r="D54" s="250" t="s">
        <v>141</v>
      </c>
      <c r="E54" s="248" t="s">
        <v>149</v>
      </c>
      <c r="F54" s="248" t="s">
        <v>140</v>
      </c>
      <c r="G54" s="246" t="s">
        <v>141</v>
      </c>
      <c r="H54" s="248" t="s">
        <v>106</v>
      </c>
      <c r="I54" s="248" t="s">
        <v>107</v>
      </c>
      <c r="J54" s="251" t="s">
        <v>108</v>
      </c>
    </row>
    <row r="55" spans="1:10">
      <c r="A55" s="564" t="s">
        <v>337</v>
      </c>
      <c r="B55" s="524">
        <v>23079.224999999999</v>
      </c>
      <c r="C55" s="524">
        <v>3376.3679999999999</v>
      </c>
      <c r="D55" s="781">
        <f t="shared" ref="D55:D72" si="15">(B55*1000)/C55</f>
        <v>6835.5182255014861</v>
      </c>
      <c r="E55" s="524">
        <v>21335.403999999999</v>
      </c>
      <c r="F55" s="524">
        <v>2799.8939999999998</v>
      </c>
      <c r="G55" s="781">
        <f t="shared" ref="G55:G72" si="16">(E55*1000)/F55</f>
        <v>7620.0756171483645</v>
      </c>
      <c r="H55" s="920">
        <f t="shared" ref="H55:H72" si="17">SUM(B55-E55)*100/E55</f>
        <v>8.1733676100063537</v>
      </c>
      <c r="I55" s="920">
        <f t="shared" ref="I55:I72" si="18">SUM(C55-F55)*100/F55</f>
        <v>20.589136588742296</v>
      </c>
      <c r="J55" s="921">
        <f t="shared" ref="J55:J72" si="19">SUM(D55-G55)*100/G55</f>
        <v>-10.295926590036657</v>
      </c>
    </row>
    <row r="56" spans="1:10">
      <c r="A56" s="564" t="s">
        <v>280</v>
      </c>
      <c r="B56" s="524">
        <v>21178.886999999999</v>
      </c>
      <c r="C56" s="524">
        <v>3776.203</v>
      </c>
      <c r="D56" s="781">
        <f>(B56*1000)/C56</f>
        <v>5608.5138961014545</v>
      </c>
      <c r="E56" s="524">
        <v>23735.454000000002</v>
      </c>
      <c r="F56" s="524">
        <v>3343.5230000000001</v>
      </c>
      <c r="G56" s="781">
        <f>(E56*1000)/F56</f>
        <v>7098.9354641795489</v>
      </c>
      <c r="H56" s="920">
        <f>SUM(B56-E56)*100/E56</f>
        <v>-10.771089527084683</v>
      </c>
      <c r="I56" s="920">
        <f>SUM(C56-F56)*100/F56</f>
        <v>12.940841142710843</v>
      </c>
      <c r="J56" s="921">
        <f>SUM(D56-G56)*100/G56</f>
        <v>-20.995000949066213</v>
      </c>
    </row>
    <row r="57" spans="1:10">
      <c r="A57" s="18" t="s">
        <v>339</v>
      </c>
      <c r="B57" s="19">
        <v>18253.208999999999</v>
      </c>
      <c r="C57" s="19">
        <v>2764.8960000000002</v>
      </c>
      <c r="D57" s="781">
        <f t="shared" si="15"/>
        <v>6601.7705548418453</v>
      </c>
      <c r="E57" s="19">
        <v>12988.75</v>
      </c>
      <c r="F57" s="19">
        <v>1744.961</v>
      </c>
      <c r="G57" s="781">
        <f t="shared" si="16"/>
        <v>7443.5761028469979</v>
      </c>
      <c r="H57" s="920">
        <f t="shared" si="17"/>
        <v>40.530913290347407</v>
      </c>
      <c r="I57" s="920">
        <f t="shared" si="18"/>
        <v>58.450303473831227</v>
      </c>
      <c r="J57" s="919">
        <f>SUM(D57-G57)*100/G57</f>
        <v>-11.309154852103697</v>
      </c>
    </row>
    <row r="58" spans="1:10">
      <c r="A58" s="18" t="s">
        <v>281</v>
      </c>
      <c r="B58" s="19">
        <v>10170.953</v>
      </c>
      <c r="C58" s="19">
        <v>1472.4870000000001</v>
      </c>
      <c r="D58" s="23">
        <f>(B58*1000)/C58</f>
        <v>6907.3295723493648</v>
      </c>
      <c r="E58" s="19">
        <v>8656.9439999999995</v>
      </c>
      <c r="F58" s="19">
        <v>1116.2449999999999</v>
      </c>
      <c r="G58" s="23">
        <f>(E58*1000)/F58</f>
        <v>7755.4157017500647</v>
      </c>
      <c r="H58" s="918">
        <f t="shared" ref="H58:I60" si="20">SUM(B58-E58)*100/E58</f>
        <v>17.488954531760861</v>
      </c>
      <c r="I58" s="918">
        <f t="shared" si="20"/>
        <v>31.914319884971508</v>
      </c>
      <c r="J58" s="919">
        <f>SUM(D58-G58)*100/G58</f>
        <v>-10.935405167376436</v>
      </c>
    </row>
    <row r="59" spans="1:10">
      <c r="A59" s="18" t="s">
        <v>285</v>
      </c>
      <c r="B59" s="19">
        <v>5143.607</v>
      </c>
      <c r="C59" s="19">
        <v>914.4</v>
      </c>
      <c r="D59" s="23">
        <f>(B59*1000)/C59</f>
        <v>5625.1170166229222</v>
      </c>
      <c r="E59" s="19">
        <v>7813.81</v>
      </c>
      <c r="F59" s="19">
        <v>1203.96</v>
      </c>
      <c r="G59" s="23">
        <f>(E59*1000)/F59</f>
        <v>6490.0910329246817</v>
      </c>
      <c r="H59" s="918">
        <f t="shared" si="20"/>
        <v>-34.172868293444559</v>
      </c>
      <c r="I59" s="918">
        <f t="shared" si="20"/>
        <v>-24.050632911392409</v>
      </c>
      <c r="J59" s="919">
        <f>SUM(D59-G59)*100/G59</f>
        <v>-13.327609919701995</v>
      </c>
    </row>
    <row r="60" spans="1:10">
      <c r="A60" s="18" t="s">
        <v>287</v>
      </c>
      <c r="B60" s="19">
        <v>4836.7139999999999</v>
      </c>
      <c r="C60" s="19">
        <v>882.32500000000005</v>
      </c>
      <c r="D60" s="23">
        <f>(B60*1000)/C60</f>
        <v>5481.7827897883426</v>
      </c>
      <c r="E60" s="23">
        <v>4164.3140000000003</v>
      </c>
      <c r="F60" s="19">
        <v>608.97</v>
      </c>
      <c r="G60" s="23">
        <f>(E60*1000)/F60</f>
        <v>6838.2908846084374</v>
      </c>
      <c r="H60" s="918">
        <f t="shared" si="20"/>
        <v>16.14671708233336</v>
      </c>
      <c r="I60" s="918">
        <f t="shared" si="20"/>
        <v>44.888089725273822</v>
      </c>
      <c r="J60" s="919">
        <f>SUM(D60-G60)*100/G60</f>
        <v>-19.836946361455766</v>
      </c>
    </row>
    <row r="61" spans="1:10">
      <c r="A61" s="18" t="s">
        <v>286</v>
      </c>
      <c r="B61" s="19">
        <v>3397.5819999999999</v>
      </c>
      <c r="C61" s="19">
        <v>571.55100000000004</v>
      </c>
      <c r="D61" s="23">
        <f t="shared" si="15"/>
        <v>5944.4948919693952</v>
      </c>
      <c r="E61" s="19">
        <v>4864.2070000000003</v>
      </c>
      <c r="F61" s="19">
        <v>732.13300000000004</v>
      </c>
      <c r="G61" s="23">
        <f t="shared" si="16"/>
        <v>6643.8843761994058</v>
      </c>
      <c r="H61" s="918">
        <f t="shared" ref="H61:J68" si="21">SUM(B61-E61)*100/E61</f>
        <v>-30.151368969289351</v>
      </c>
      <c r="I61" s="918">
        <f t="shared" si="21"/>
        <v>-21.933446518597027</v>
      </c>
      <c r="J61" s="919">
        <f t="shared" si="21"/>
        <v>-10.526816010457004</v>
      </c>
    </row>
    <row r="62" spans="1:10">
      <c r="A62" s="18" t="s">
        <v>282</v>
      </c>
      <c r="B62" s="19">
        <v>2946.4609999999998</v>
      </c>
      <c r="C62" s="19">
        <v>439.34199999999998</v>
      </c>
      <c r="D62" s="23">
        <f>(B62*1000)/C62</f>
        <v>6706.5315858715994</v>
      </c>
      <c r="E62" s="19">
        <v>4468.42</v>
      </c>
      <c r="F62" s="19">
        <v>509.96199999999999</v>
      </c>
      <c r="G62" s="23">
        <f>(E62*1000)/F62</f>
        <v>8762.2607174652239</v>
      </c>
      <c r="H62" s="918">
        <f t="shared" ref="H62:J63" si="22">SUM(B62-E62)*100/E62</f>
        <v>-34.060339001257717</v>
      </c>
      <c r="I62" s="918">
        <f t="shared" si="22"/>
        <v>-13.84809064204784</v>
      </c>
      <c r="J62" s="919">
        <f t="shared" si="22"/>
        <v>-23.46117283974532</v>
      </c>
    </row>
    <row r="63" spans="1:10">
      <c r="A63" s="18" t="s">
        <v>292</v>
      </c>
      <c r="B63" s="19">
        <v>2920.3679999999999</v>
      </c>
      <c r="C63" s="19">
        <v>352.23500000000001</v>
      </c>
      <c r="D63" s="23">
        <f>(B63*1000)/C63</f>
        <v>8290.9648388149963</v>
      </c>
      <c r="E63" s="23">
        <v>2324.9949999999999</v>
      </c>
      <c r="F63" s="19">
        <v>245.82599999999999</v>
      </c>
      <c r="G63" s="23">
        <f>(E63*1000)/F63</f>
        <v>9457.8889132963977</v>
      </c>
      <c r="H63" s="918">
        <f t="shared" si="22"/>
        <v>25.607495930098779</v>
      </c>
      <c r="I63" s="918">
        <f t="shared" si="22"/>
        <v>43.286308201736198</v>
      </c>
      <c r="J63" s="919">
        <f t="shared" si="22"/>
        <v>-12.338102986607067</v>
      </c>
    </row>
    <row r="64" spans="1:10">
      <c r="A64" s="18" t="s">
        <v>284</v>
      </c>
      <c r="B64" s="19">
        <v>2857.6129999999998</v>
      </c>
      <c r="C64" s="782">
        <v>389.80700000000002</v>
      </c>
      <c r="D64" s="23">
        <f>(B57*1000)/C57</f>
        <v>6601.7705548418453</v>
      </c>
      <c r="E64" s="23">
        <v>3834.4520000000002</v>
      </c>
      <c r="F64" s="782">
        <v>418.34699999999998</v>
      </c>
      <c r="G64" s="23">
        <f>(E57*1000)/F57</f>
        <v>7443.5761028469979</v>
      </c>
      <c r="H64" s="918">
        <f>SUM(B57-E57)*100/E57</f>
        <v>40.530913290347407</v>
      </c>
      <c r="I64" s="918">
        <f>SUM(C57-F57)*100/F57</f>
        <v>58.450303473831227</v>
      </c>
      <c r="J64" s="919">
        <f t="shared" si="21"/>
        <v>-11.309154852103697</v>
      </c>
    </row>
    <row r="65" spans="1:10">
      <c r="A65" s="18" t="s">
        <v>340</v>
      </c>
      <c r="B65" s="19">
        <v>2545.826</v>
      </c>
      <c r="C65" s="19">
        <v>480.6</v>
      </c>
      <c r="D65" s="23">
        <f>(B65*1000)/C65</f>
        <v>5297.1826883062831</v>
      </c>
      <c r="E65" s="19">
        <v>2029.3979999999999</v>
      </c>
      <c r="F65" s="19">
        <v>331.8</v>
      </c>
      <c r="G65" s="23">
        <f>(E65*1000)/F65</f>
        <v>6116.32911392405</v>
      </c>
      <c r="H65" s="918">
        <f t="shared" ref="H65:J67" si="23">SUM(B65-E65)*100/E65</f>
        <v>25.447349411007604</v>
      </c>
      <c r="I65" s="918">
        <f t="shared" si="23"/>
        <v>44.846292947558773</v>
      </c>
      <c r="J65" s="919">
        <f t="shared" si="23"/>
        <v>-13.39277874620824</v>
      </c>
    </row>
    <row r="66" spans="1:10">
      <c r="A66" s="564" t="s">
        <v>542</v>
      </c>
      <c r="B66" s="19">
        <v>1896.2339999999999</v>
      </c>
      <c r="C66" s="19">
        <v>380.495</v>
      </c>
      <c r="D66" s="23">
        <f>(B66*1000)/C66</f>
        <v>4983.5976819669113</v>
      </c>
      <c r="E66" s="19">
        <v>2908.02</v>
      </c>
      <c r="F66" s="19">
        <v>438.33499999999998</v>
      </c>
      <c r="G66" s="23">
        <f>(E66*1000)/F66</f>
        <v>6634.2409344451162</v>
      </c>
      <c r="H66" s="918">
        <f t="shared" si="23"/>
        <v>-34.792951905420182</v>
      </c>
      <c r="I66" s="918">
        <f t="shared" si="23"/>
        <v>-13.195387089782923</v>
      </c>
      <c r="J66" s="919">
        <f t="shared" si="23"/>
        <v>-24.880664853578516</v>
      </c>
    </row>
    <row r="67" spans="1:10">
      <c r="A67" s="564" t="s">
        <v>543</v>
      </c>
      <c r="B67" s="19">
        <v>1594.6479999999999</v>
      </c>
      <c r="C67" s="19">
        <v>204.15600000000001</v>
      </c>
      <c r="D67" s="23">
        <f>(B67*1000)/C67</f>
        <v>7810.928897509747</v>
      </c>
      <c r="E67" s="19">
        <v>1199.3589999999999</v>
      </c>
      <c r="F67" s="19">
        <v>126.651</v>
      </c>
      <c r="G67" s="23">
        <f>(E67*1000)/F67</f>
        <v>9469.7949483225566</v>
      </c>
      <c r="H67" s="918">
        <f t="shared" si="23"/>
        <v>32.958355254765259</v>
      </c>
      <c r="I67" s="918">
        <f t="shared" si="23"/>
        <v>61.195726839898626</v>
      </c>
      <c r="J67" s="919">
        <f t="shared" si="23"/>
        <v>-17.517444251595489</v>
      </c>
    </row>
    <row r="68" spans="1:10">
      <c r="A68" s="564" t="s">
        <v>517</v>
      </c>
      <c r="B68" s="19">
        <v>1445.1610000000001</v>
      </c>
      <c r="C68" s="19">
        <v>186.03</v>
      </c>
      <c r="D68" s="23">
        <f t="shared" si="15"/>
        <v>7768.4298231468047</v>
      </c>
      <c r="E68" s="19">
        <v>691.077</v>
      </c>
      <c r="F68" s="19">
        <v>75.673000000000002</v>
      </c>
      <c r="G68" s="23">
        <f t="shared" si="16"/>
        <v>9132.4118245609388</v>
      </c>
      <c r="H68" s="918">
        <f t="shared" si="21"/>
        <v>109.11721848650731</v>
      </c>
      <c r="I68" s="918">
        <f t="shared" si="21"/>
        <v>145.83404913245147</v>
      </c>
      <c r="J68" s="919">
        <f t="shared" si="21"/>
        <v>-14.935616435362745</v>
      </c>
    </row>
    <row r="69" spans="1:10">
      <c r="A69" s="564" t="s">
        <v>518</v>
      </c>
      <c r="B69" s="19">
        <v>1134.299</v>
      </c>
      <c r="C69" s="19">
        <v>178.33600000000001</v>
      </c>
      <c r="D69" s="23">
        <f t="shared" si="15"/>
        <v>6360.4600305042159</v>
      </c>
      <c r="E69" s="19">
        <v>869.18100000000004</v>
      </c>
      <c r="F69" s="19">
        <v>113.43300000000001</v>
      </c>
      <c r="G69" s="23">
        <f t="shared" si="16"/>
        <v>7662.5056200576546</v>
      </c>
      <c r="H69" s="918">
        <f t="shared" si="17"/>
        <v>30.502047329612584</v>
      </c>
      <c r="I69" s="918">
        <f t="shared" si="18"/>
        <v>57.217035606922146</v>
      </c>
      <c r="J69" s="919">
        <f t="shared" si="19"/>
        <v>-16.992425899762562</v>
      </c>
    </row>
    <row r="70" spans="1:10">
      <c r="A70" s="270" t="s">
        <v>127</v>
      </c>
      <c r="B70" s="265">
        <f>SUM(B55:B69)</f>
        <v>103400.78699999998</v>
      </c>
      <c r="C70" s="265">
        <f>SUM(C55:C69)</f>
        <v>16369.231000000005</v>
      </c>
      <c r="D70" s="266">
        <f t="shared" si="15"/>
        <v>6316.7773122634744</v>
      </c>
      <c r="E70" s="265">
        <f>SUM(E55:E69)</f>
        <v>101883.78499999999</v>
      </c>
      <c r="F70" s="265">
        <f>SUM(F55:F69)</f>
        <v>13809.712999999996</v>
      </c>
      <c r="G70" s="266">
        <f t="shared" si="16"/>
        <v>7377.690253229739</v>
      </c>
      <c r="H70" s="925">
        <f t="shared" si="17"/>
        <v>1.4889533206878733</v>
      </c>
      <c r="I70" s="925">
        <f t="shared" si="18"/>
        <v>18.534186771296479</v>
      </c>
      <c r="J70" s="926">
        <f t="shared" si="19"/>
        <v>-14.380014673316323</v>
      </c>
    </row>
    <row r="71" spans="1:10">
      <c r="A71" s="24" t="s">
        <v>150</v>
      </c>
      <c r="B71" s="25">
        <f>B72-B70</f>
        <v>26832.472000000009</v>
      </c>
      <c r="C71" s="25">
        <f>C72-C70</f>
        <v>3825.0989999999965</v>
      </c>
      <c r="D71" s="23">
        <f t="shared" si="15"/>
        <v>7014.843798814104</v>
      </c>
      <c r="E71" s="25">
        <f>E72-E70</f>
        <v>30849.215000000011</v>
      </c>
      <c r="F71" s="25">
        <f>F72-F70</f>
        <v>3608.5010000000038</v>
      </c>
      <c r="G71" s="23">
        <f t="shared" si="16"/>
        <v>8549.0387836943864</v>
      </c>
      <c r="H71" s="918">
        <f t="shared" si="17"/>
        <v>-13.020567946380487</v>
      </c>
      <c r="I71" s="918">
        <f t="shared" si="18"/>
        <v>6.0024370230184898</v>
      </c>
      <c r="J71" s="919">
        <f t="shared" si="19"/>
        <v>-17.945818514783888</v>
      </c>
    </row>
    <row r="72" spans="1:10">
      <c r="A72" s="267" t="s">
        <v>151</v>
      </c>
      <c r="B72" s="268">
        <f>B8</f>
        <v>130233.25899999999</v>
      </c>
      <c r="C72" s="245">
        <f>C8</f>
        <v>20194.330000000002</v>
      </c>
      <c r="D72" s="269">
        <f t="shared" si="15"/>
        <v>6449.0012295530469</v>
      </c>
      <c r="E72" s="245">
        <f>E8</f>
        <v>132733</v>
      </c>
      <c r="F72" s="245">
        <f>F8</f>
        <v>17418.214</v>
      </c>
      <c r="G72" s="269">
        <f t="shared" si="16"/>
        <v>7620.3564843100448</v>
      </c>
      <c r="H72" s="922">
        <f t="shared" si="17"/>
        <v>-1.8832852418012167</v>
      </c>
      <c r="I72" s="922">
        <f t="shared" si="18"/>
        <v>15.938006043558783</v>
      </c>
      <c r="J72" s="927">
        <f t="shared" si="19"/>
        <v>-15.371397088427075</v>
      </c>
    </row>
    <row r="73" spans="1:10">
      <c r="A73" s="254" t="s">
        <v>116</v>
      </c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1364" t="s">
        <v>138</v>
      </c>
      <c r="B74" s="1364"/>
      <c r="C74" s="1364"/>
      <c r="D74" s="1364"/>
      <c r="E74" s="1364"/>
      <c r="F74" s="1364"/>
      <c r="G74" s="1364"/>
      <c r="H74" s="1364"/>
      <c r="I74" s="1364"/>
      <c r="J74" s="1364"/>
    </row>
    <row r="75" spans="1:10">
      <c r="A75" s="1358" t="s">
        <v>336</v>
      </c>
      <c r="B75" s="1358"/>
      <c r="C75" s="1358"/>
      <c r="D75" s="1358"/>
      <c r="E75" s="1358"/>
      <c r="F75" s="1358"/>
      <c r="G75" s="1358"/>
      <c r="H75" s="1358"/>
      <c r="I75" s="1358"/>
      <c r="J75" s="1358"/>
    </row>
    <row r="76" spans="1:10">
      <c r="A76" s="271"/>
      <c r="B76" s="271"/>
      <c r="C76" s="271"/>
      <c r="D76" s="271"/>
      <c r="E76" s="271"/>
      <c r="F76" s="271"/>
      <c r="G76" s="271"/>
      <c r="H76" s="271"/>
      <c r="I76" s="271"/>
      <c r="J76" s="271"/>
    </row>
    <row r="77" spans="1:10">
      <c r="A77" s="1365" t="s">
        <v>154</v>
      </c>
      <c r="B77" s="1368"/>
      <c r="C77" s="1368"/>
      <c r="D77" s="26"/>
      <c r="E77" s="26"/>
      <c r="F77" s="26"/>
      <c r="G77" s="26"/>
      <c r="H77" s="26"/>
      <c r="I77" s="26"/>
      <c r="J77" s="26"/>
    </row>
    <row r="78" spans="1:10">
      <c r="A78" s="6"/>
      <c r="B78" s="6"/>
      <c r="C78" s="6"/>
      <c r="D78" s="6"/>
      <c r="E78" s="6"/>
      <c r="F78" s="6"/>
      <c r="G78" s="21"/>
      <c r="H78" s="6"/>
      <c r="I78" s="6"/>
      <c r="J78" s="6"/>
    </row>
    <row r="79" spans="1:10">
      <c r="A79" s="1350" t="s">
        <v>147</v>
      </c>
      <c r="B79" s="1366" t="str">
        <f>B4</f>
        <v>Jan a Mar/2016</v>
      </c>
      <c r="C79" s="1369"/>
      <c r="D79" s="1370"/>
      <c r="E79" s="1366" t="str">
        <f>E4</f>
        <v>Jan a Mar/2015</v>
      </c>
      <c r="F79" s="1369"/>
      <c r="G79" s="1370"/>
      <c r="H79" s="1354" t="s">
        <v>105</v>
      </c>
      <c r="I79" s="1354"/>
      <c r="J79" s="1355"/>
    </row>
    <row r="80" spans="1:10">
      <c r="A80" s="1361"/>
      <c r="B80" s="257" t="s">
        <v>106</v>
      </c>
      <c r="C80" s="248" t="s">
        <v>148</v>
      </c>
      <c r="D80" s="250" t="s">
        <v>108</v>
      </c>
      <c r="E80" s="248" t="s">
        <v>106</v>
      </c>
      <c r="F80" s="248" t="s">
        <v>148</v>
      </c>
      <c r="G80" s="246" t="s">
        <v>108</v>
      </c>
      <c r="H80" s="1354" t="str">
        <f>H5</f>
        <v>(16/15)</v>
      </c>
      <c r="I80" s="1354"/>
      <c r="J80" s="1355"/>
    </row>
    <row r="81" spans="1:11">
      <c r="A81" s="258"/>
      <c r="B81" s="257" t="s">
        <v>149</v>
      </c>
      <c r="C81" s="248" t="s">
        <v>140</v>
      </c>
      <c r="D81" s="250" t="s">
        <v>141</v>
      </c>
      <c r="E81" s="248" t="s">
        <v>149</v>
      </c>
      <c r="F81" s="248" t="s">
        <v>140</v>
      </c>
      <c r="G81" s="246" t="s">
        <v>141</v>
      </c>
      <c r="H81" s="248" t="s">
        <v>106</v>
      </c>
      <c r="I81" s="248" t="s">
        <v>107</v>
      </c>
      <c r="J81" s="251" t="s">
        <v>108</v>
      </c>
    </row>
    <row r="82" spans="1:11">
      <c r="A82" s="18" t="s">
        <v>280</v>
      </c>
      <c r="B82" s="25">
        <v>1344.49</v>
      </c>
      <c r="C82" s="25">
        <v>210.00899999999999</v>
      </c>
      <c r="D82" s="23">
        <f t="shared" ref="D82:D94" si="24">(B82*1000)/C82</f>
        <v>6402.0589593779323</v>
      </c>
      <c r="E82" s="25">
        <v>774.32</v>
      </c>
      <c r="F82" s="25">
        <v>88.944000000000003</v>
      </c>
      <c r="G82" s="23">
        <f t="shared" ref="G82:G96" si="25">(E82*1000)/F82</f>
        <v>8705.7024644720277</v>
      </c>
      <c r="H82" s="918">
        <f t="shared" ref="H82:J96" si="26">SUM(B82-E82)*100/E82</f>
        <v>73.634931294555201</v>
      </c>
      <c r="I82" s="918">
        <f t="shared" si="26"/>
        <v>136.1137344846195</v>
      </c>
      <c r="J82" s="919">
        <f t="shared" si="26"/>
        <v>-26.461316757553622</v>
      </c>
    </row>
    <row r="83" spans="1:11">
      <c r="A83" s="564" t="s">
        <v>337</v>
      </c>
      <c r="B83" s="784">
        <v>339.62700000000001</v>
      </c>
      <c r="C83" s="784">
        <v>83.489000000000004</v>
      </c>
      <c r="D83" s="781">
        <f t="shared" si="24"/>
        <v>4067.9251158835295</v>
      </c>
      <c r="E83" s="784">
        <v>644.64599999999996</v>
      </c>
      <c r="F83" s="784">
        <v>140.30099999999999</v>
      </c>
      <c r="G83" s="781">
        <f t="shared" si="25"/>
        <v>4594.7356041653311</v>
      </c>
      <c r="H83" s="920">
        <f t="shared" si="26"/>
        <v>-47.31573607840582</v>
      </c>
      <c r="I83" s="920">
        <f t="shared" si="26"/>
        <v>-40.492940178615967</v>
      </c>
      <c r="J83" s="921">
        <f t="shared" si="26"/>
        <v>-11.465523452627492</v>
      </c>
    </row>
    <row r="84" spans="1:11">
      <c r="A84" s="18" t="s">
        <v>281</v>
      </c>
      <c r="B84" s="25">
        <v>120.056</v>
      </c>
      <c r="C84" s="25">
        <v>27.48</v>
      </c>
      <c r="D84" s="23">
        <f>(B84*1000)/C84</f>
        <v>4368.8500727802038</v>
      </c>
      <c r="E84" s="25">
        <v>163.19200000000001</v>
      </c>
      <c r="F84" s="25">
        <v>25.611000000000001</v>
      </c>
      <c r="G84" s="23">
        <f>(E84*1000)/F84</f>
        <v>6371.9495529264768</v>
      </c>
      <c r="H84" s="918">
        <f>SUM(B84-E84)*100/E84</f>
        <v>-26.43266826805236</v>
      </c>
      <c r="I84" s="918">
        <f>SUM(C84-F84)*100/F84</f>
        <v>7.2976455429307707</v>
      </c>
      <c r="J84" s="919">
        <f>SUM(D84-G84)*100/G84</f>
        <v>-31.436210589995955</v>
      </c>
    </row>
    <row r="85" spans="1:11">
      <c r="A85" s="564" t="s">
        <v>546</v>
      </c>
      <c r="B85" s="25">
        <v>96.263999999999996</v>
      </c>
      <c r="C85" s="25">
        <v>11.436</v>
      </c>
      <c r="D85" s="23">
        <f>(B85*1000)/C85</f>
        <v>8417.628541448059</v>
      </c>
      <c r="E85" s="25">
        <v>0</v>
      </c>
      <c r="F85" s="25">
        <v>0</v>
      </c>
      <c r="G85" s="23">
        <v>0</v>
      </c>
      <c r="H85" s="918">
        <v>0</v>
      </c>
      <c r="I85" s="918">
        <v>0</v>
      </c>
      <c r="J85" s="919">
        <v>0</v>
      </c>
    </row>
    <row r="86" spans="1:11">
      <c r="A86" s="18" t="s">
        <v>288</v>
      </c>
      <c r="B86" s="25">
        <v>88.611000000000004</v>
      </c>
      <c r="C86" s="25">
        <v>14.792</v>
      </c>
      <c r="D86" s="23">
        <f>(B86*1000)/C86</f>
        <v>5990.4678204434831</v>
      </c>
      <c r="E86" s="25">
        <v>167.64599999999999</v>
      </c>
      <c r="F86" s="25">
        <v>17.093</v>
      </c>
      <c r="G86" s="23">
        <f>(E86*1000)/F86</f>
        <v>9807.8745685368285</v>
      </c>
      <c r="H86" s="918">
        <f>SUM(B86-E86)*100/E86</f>
        <v>-47.143981961991329</v>
      </c>
      <c r="I86" s="918">
        <f>SUM(C86-F86)*100/F86</f>
        <v>-13.461650968232611</v>
      </c>
      <c r="J86" s="919">
        <f>SUM(D86-G86)*100/G86</f>
        <v>-38.921855305321664</v>
      </c>
    </row>
    <row r="87" spans="1:11">
      <c r="A87" s="18" t="s">
        <v>286</v>
      </c>
      <c r="B87" s="25">
        <v>82.858000000000004</v>
      </c>
      <c r="C87" s="25">
        <v>20.16</v>
      </c>
      <c r="D87" s="781">
        <f t="shared" si="24"/>
        <v>4110.019841269841</v>
      </c>
      <c r="E87" s="25">
        <v>290.79300000000001</v>
      </c>
      <c r="F87" s="25">
        <v>58.457999999999998</v>
      </c>
      <c r="G87" s="23">
        <f t="shared" si="25"/>
        <v>4974.3918710869348</v>
      </c>
      <c r="H87" s="918">
        <f t="shared" si="26"/>
        <v>-71.506191689621133</v>
      </c>
      <c r="I87" s="918">
        <f t="shared" si="26"/>
        <v>-65.513702145129841</v>
      </c>
      <c r="J87" s="919">
        <f t="shared" si="26"/>
        <v>-17.376436199993694</v>
      </c>
    </row>
    <row r="88" spans="1:11">
      <c r="A88" s="18" t="s">
        <v>289</v>
      </c>
      <c r="B88" s="25">
        <v>78.522000000000006</v>
      </c>
      <c r="C88" s="25">
        <v>10.08</v>
      </c>
      <c r="D88" s="23">
        <f>(B88*1000)/C88</f>
        <v>7789.8809523809523</v>
      </c>
      <c r="E88" s="25">
        <v>84.87</v>
      </c>
      <c r="F88" s="25">
        <v>15</v>
      </c>
      <c r="G88" s="23">
        <f>(E88*1000)/F88</f>
        <v>5658</v>
      </c>
      <c r="H88" s="918">
        <f t="shared" ref="H88:J90" si="27">SUM(B88-E88)*100/E88</f>
        <v>-7.4796747967479664</v>
      </c>
      <c r="I88" s="918">
        <f t="shared" si="27"/>
        <v>-32.799999999999997</v>
      </c>
      <c r="J88" s="919">
        <f t="shared" si="27"/>
        <v>37.679055361982194</v>
      </c>
    </row>
    <row r="89" spans="1:11">
      <c r="A89" s="564" t="s">
        <v>545</v>
      </c>
      <c r="B89" s="25">
        <v>50.664000000000001</v>
      </c>
      <c r="C89" s="25">
        <v>13.942</v>
      </c>
      <c r="D89" s="23">
        <f>(B89*1000)/C89</f>
        <v>3633.911920814804</v>
      </c>
      <c r="E89" s="25">
        <v>101.566</v>
      </c>
      <c r="F89" s="25">
        <v>18.186</v>
      </c>
      <c r="G89" s="23">
        <f>(E89*1000)/F89</f>
        <v>5584.8454855383261</v>
      </c>
      <c r="H89" s="918">
        <f t="shared" si="27"/>
        <v>-50.117165193076417</v>
      </c>
      <c r="I89" s="918">
        <f t="shared" si="27"/>
        <v>-23.336632574507863</v>
      </c>
      <c r="J89" s="919">
        <f t="shared" si="27"/>
        <v>-34.932632778746793</v>
      </c>
    </row>
    <row r="90" spans="1:11">
      <c r="A90" s="564" t="s">
        <v>544</v>
      </c>
      <c r="B90" s="25">
        <v>32.72</v>
      </c>
      <c r="C90" s="25">
        <v>5</v>
      </c>
      <c r="D90" s="23">
        <f>(B90*1000)/C90</f>
        <v>6544</v>
      </c>
      <c r="E90" s="25">
        <v>15.321999999999999</v>
      </c>
      <c r="F90" s="25">
        <v>0.34599999999999997</v>
      </c>
      <c r="G90" s="23">
        <f>(E90*1000)/F90</f>
        <v>44283.236994219653</v>
      </c>
      <c r="H90" s="918">
        <f t="shared" si="27"/>
        <v>113.54914502023234</v>
      </c>
      <c r="I90" s="918">
        <f t="shared" si="27"/>
        <v>1345.0867052023123</v>
      </c>
      <c r="J90" s="919">
        <f t="shared" si="27"/>
        <v>-85.222399164599921</v>
      </c>
    </row>
    <row r="91" spans="1:11">
      <c r="A91" s="564" t="s">
        <v>287</v>
      </c>
      <c r="B91" s="25">
        <v>12.366</v>
      </c>
      <c r="C91" s="25">
        <v>0.91500000000000004</v>
      </c>
      <c r="D91" s="23">
        <f t="shared" si="24"/>
        <v>13514.754098360656</v>
      </c>
      <c r="E91" s="25">
        <v>0</v>
      </c>
      <c r="F91" s="25">
        <v>0</v>
      </c>
      <c r="G91" s="23">
        <v>0</v>
      </c>
      <c r="H91" s="918">
        <v>0</v>
      </c>
      <c r="I91" s="918">
        <v>0</v>
      </c>
      <c r="J91" s="919">
        <v>0</v>
      </c>
    </row>
    <row r="92" spans="1:11">
      <c r="A92" s="564" t="s">
        <v>283</v>
      </c>
      <c r="B92" s="25">
        <v>10.147</v>
      </c>
      <c r="C92" s="25">
        <v>1.7</v>
      </c>
      <c r="D92" s="23">
        <f t="shared" si="24"/>
        <v>5968.8235294117649</v>
      </c>
      <c r="E92" s="25">
        <v>0</v>
      </c>
      <c r="F92" s="25">
        <v>0</v>
      </c>
      <c r="G92" s="23">
        <v>0</v>
      </c>
      <c r="H92" s="918">
        <v>0</v>
      </c>
      <c r="I92" s="918">
        <v>0</v>
      </c>
      <c r="J92" s="919">
        <v>0</v>
      </c>
    </row>
    <row r="93" spans="1:11">
      <c r="A93" s="564" t="s">
        <v>547</v>
      </c>
      <c r="B93" s="25">
        <v>3.2530000000000001</v>
      </c>
      <c r="C93" s="25">
        <v>0.89900000000000002</v>
      </c>
      <c r="D93" s="23">
        <f t="shared" si="24"/>
        <v>3618.464961067853</v>
      </c>
      <c r="E93" s="25">
        <v>0</v>
      </c>
      <c r="F93" s="25">
        <v>0</v>
      </c>
      <c r="G93" s="23">
        <v>0</v>
      </c>
      <c r="H93" s="918">
        <v>0</v>
      </c>
      <c r="I93" s="918">
        <v>0</v>
      </c>
      <c r="J93" s="919">
        <v>0</v>
      </c>
      <c r="K93" s="908"/>
    </row>
    <row r="94" spans="1:11">
      <c r="A94" s="564" t="s">
        <v>339</v>
      </c>
      <c r="B94" s="25">
        <v>2.746</v>
      </c>
      <c r="C94" s="25">
        <v>0.12</v>
      </c>
      <c r="D94" s="23">
        <f t="shared" si="24"/>
        <v>22883.333333333336</v>
      </c>
      <c r="E94" s="25">
        <v>0</v>
      </c>
      <c r="F94" s="25">
        <v>0</v>
      </c>
      <c r="G94" s="23">
        <v>0</v>
      </c>
      <c r="H94" s="918">
        <v>0</v>
      </c>
      <c r="I94" s="918">
        <v>0</v>
      </c>
      <c r="J94" s="919">
        <v>0</v>
      </c>
    </row>
    <row r="95" spans="1:11">
      <c r="A95" s="564" t="s">
        <v>543</v>
      </c>
      <c r="B95" s="25">
        <v>1.6519999999999999</v>
      </c>
      <c r="C95" s="25">
        <v>0.42499999999999999</v>
      </c>
      <c r="D95" s="23">
        <f>(B95*1000)/C95</f>
        <v>3887.0588235294117</v>
      </c>
      <c r="E95" s="25">
        <v>45.820999999999998</v>
      </c>
      <c r="F95" s="25">
        <v>11.875</v>
      </c>
      <c r="G95" s="23">
        <f>(E95*1000)/F95</f>
        <v>3858.6105263157897</v>
      </c>
      <c r="H95" s="918">
        <f>SUM(B95-E95)*100/E95</f>
        <v>-96.394666201086835</v>
      </c>
      <c r="I95" s="918">
        <f>SUM(C95-F95)*100/F95</f>
        <v>-96.421052631578945</v>
      </c>
      <c r="J95" s="919">
        <f>SUM(D95-G95)*100/G95</f>
        <v>0.73726791080893384</v>
      </c>
    </row>
    <row r="96" spans="1:11">
      <c r="A96" s="564" t="s">
        <v>519</v>
      </c>
      <c r="B96" s="25">
        <v>1.82</v>
      </c>
      <c r="C96" s="25">
        <v>5.6000000000000001E-2</v>
      </c>
      <c r="D96" s="23">
        <f>(B96*1000)/C96</f>
        <v>32500</v>
      </c>
      <c r="E96" s="25">
        <v>1.38</v>
      </c>
      <c r="F96" s="25">
        <v>0.05</v>
      </c>
      <c r="G96" s="23">
        <f t="shared" si="25"/>
        <v>27600</v>
      </c>
      <c r="H96" s="918">
        <f>SUM(B96-E96)*100/E96</f>
        <v>31.884057971014506</v>
      </c>
      <c r="I96" s="918">
        <f t="shared" si="26"/>
        <v>11.999999999999996</v>
      </c>
      <c r="J96" s="919">
        <f t="shared" si="26"/>
        <v>17.753623188405797</v>
      </c>
    </row>
    <row r="97" spans="1:10">
      <c r="A97" s="264" t="s">
        <v>127</v>
      </c>
      <c r="B97" s="265">
        <f>SUM(B82:B96)</f>
        <v>2265.7960000000003</v>
      </c>
      <c r="C97" s="265">
        <f>SUM(C82:C96)</f>
        <v>400.50299999999999</v>
      </c>
      <c r="D97" s="266">
        <f>(B97*1000)/C97</f>
        <v>5657.3758498687912</v>
      </c>
      <c r="E97" s="265">
        <f>SUM(E82:E96)</f>
        <v>2289.5559999999996</v>
      </c>
      <c r="F97" s="265">
        <f>SUM(F82:F96)</f>
        <v>375.86400000000003</v>
      </c>
      <c r="G97" s="266">
        <f>(E97*1000)/F97</f>
        <v>6091.4479705425347</v>
      </c>
      <c r="H97" s="925">
        <f>SUM(B97-E97)*100/E97</f>
        <v>-1.0377557919526454</v>
      </c>
      <c r="I97" s="925">
        <f t="shared" ref="I97:J99" si="28">SUM(C97-F97)*100/F97</f>
        <v>6.555296596641325</v>
      </c>
      <c r="J97" s="926">
        <f t="shared" si="28"/>
        <v>-7.1259267545723262</v>
      </c>
    </row>
    <row r="98" spans="1:10">
      <c r="A98" s="24" t="s">
        <v>150</v>
      </c>
      <c r="B98" s="25">
        <f>B99-B97</f>
        <v>42.882999999999811</v>
      </c>
      <c r="C98" s="25">
        <f>C99-C97</f>
        <v>10.182999999999993</v>
      </c>
      <c r="D98" s="781">
        <f>(B98*1000)/C98</f>
        <v>4211.2344102916468</v>
      </c>
      <c r="E98" s="25">
        <f>E99-E97</f>
        <v>70.444000000000415</v>
      </c>
      <c r="F98" s="25">
        <f>F99-F97</f>
        <v>10.898999999999944</v>
      </c>
      <c r="G98" s="23">
        <f>(E98*1000)/F98</f>
        <v>6463.3452610331933</v>
      </c>
      <c r="H98" s="918">
        <f>SUM(B98-E98)*100/E98</f>
        <v>-39.124694793027714</v>
      </c>
      <c r="I98" s="918">
        <f t="shared" si="28"/>
        <v>-6.5694100376177174</v>
      </c>
      <c r="J98" s="919">
        <f t="shared" si="28"/>
        <v>-34.844353191516447</v>
      </c>
    </row>
    <row r="99" spans="1:10">
      <c r="A99" s="267" t="s">
        <v>151</v>
      </c>
      <c r="B99" s="268">
        <f>B9</f>
        <v>2308.6790000000001</v>
      </c>
      <c r="C99" s="245">
        <f>C9</f>
        <v>410.68599999999998</v>
      </c>
      <c r="D99" s="269">
        <f>(B99*1000)/C99</f>
        <v>5621.5186298047656</v>
      </c>
      <c r="E99" s="245">
        <f>E9</f>
        <v>2360</v>
      </c>
      <c r="F99" s="245">
        <f>F9</f>
        <v>386.76299999999998</v>
      </c>
      <c r="G99" s="269">
        <f>(E99*1000)/F99</f>
        <v>6101.9280541313419</v>
      </c>
      <c r="H99" s="922">
        <f>SUM(B99-E99)*100/E99</f>
        <v>-2.174618644067793</v>
      </c>
      <c r="I99" s="922">
        <f t="shared" si="28"/>
        <v>6.1854417304654277</v>
      </c>
      <c r="J99" s="927">
        <f t="shared" si="28"/>
        <v>-7.8730758551194748</v>
      </c>
    </row>
    <row r="100" spans="1:10">
      <c r="A100" s="254" t="s">
        <v>116</v>
      </c>
      <c r="B100" s="6"/>
      <c r="C100" s="6"/>
      <c r="D100" s="6"/>
      <c r="E100" s="6"/>
      <c r="F100" s="6"/>
      <c r="G100" s="21"/>
      <c r="H100" s="6"/>
      <c r="I100" s="6"/>
      <c r="J100" s="6"/>
    </row>
    <row r="101" spans="1:10">
      <c r="A101" s="413"/>
      <c r="B101" s="413"/>
      <c r="C101" s="413"/>
      <c r="D101" s="413"/>
      <c r="E101" s="413"/>
      <c r="F101" s="413"/>
      <c r="G101" s="414"/>
      <c r="H101" s="413"/>
      <c r="I101" s="413"/>
      <c r="J101" s="413"/>
    </row>
    <row r="102" spans="1:10">
      <c r="A102" s="1364" t="s">
        <v>155</v>
      </c>
      <c r="B102" s="1364"/>
      <c r="C102" s="1364"/>
      <c r="D102" s="1364"/>
      <c r="E102" s="1364"/>
      <c r="F102" s="1364"/>
      <c r="G102" s="1364"/>
      <c r="H102" s="1364"/>
      <c r="I102" s="1364"/>
      <c r="J102" s="1364"/>
    </row>
    <row r="103" spans="1:10">
      <c r="A103" s="1358" t="s">
        <v>336</v>
      </c>
      <c r="B103" s="1358"/>
      <c r="C103" s="1358"/>
      <c r="D103" s="1358"/>
      <c r="E103" s="1358"/>
      <c r="F103" s="1358"/>
      <c r="G103" s="1358"/>
      <c r="H103" s="1358"/>
      <c r="I103" s="1358"/>
      <c r="J103" s="1358"/>
    </row>
    <row r="104" spans="1:10">
      <c r="A104" s="271"/>
      <c r="B104" s="271"/>
      <c r="C104" s="271"/>
      <c r="D104" s="271"/>
      <c r="E104" s="271"/>
      <c r="F104" s="271"/>
      <c r="G104" s="271"/>
      <c r="H104" s="271"/>
      <c r="I104" s="271"/>
      <c r="J104" s="271"/>
    </row>
    <row r="105" spans="1:10">
      <c r="A105" s="1365" t="s">
        <v>156</v>
      </c>
      <c r="B105" s="1365"/>
      <c r="C105" s="1365"/>
      <c r="D105" s="26"/>
      <c r="E105" s="26"/>
      <c r="F105" s="26"/>
      <c r="G105" s="26"/>
      <c r="H105" s="26"/>
      <c r="I105" s="26"/>
      <c r="J105" s="26"/>
    </row>
    <row r="106" spans="1:10">
      <c r="A106" s="6"/>
      <c r="B106" s="6"/>
      <c r="C106" s="6"/>
      <c r="D106" s="6"/>
      <c r="E106" s="6"/>
      <c r="F106" s="6"/>
      <c r="G106" s="21"/>
      <c r="H106" s="6"/>
      <c r="I106" s="6"/>
      <c r="J106" s="6"/>
    </row>
    <row r="107" spans="1:10">
      <c r="A107" s="1350" t="s">
        <v>147</v>
      </c>
      <c r="B107" s="1366" t="str">
        <f>B4</f>
        <v>Jan a Mar/2016</v>
      </c>
      <c r="C107" s="1367"/>
      <c r="D107" s="1362"/>
      <c r="E107" s="1362" t="str">
        <f>E4</f>
        <v>Jan a Mar/2015</v>
      </c>
      <c r="F107" s="1356"/>
      <c r="G107" s="1356"/>
      <c r="H107" s="1354" t="s">
        <v>105</v>
      </c>
      <c r="I107" s="1354"/>
      <c r="J107" s="1355"/>
    </row>
    <row r="108" spans="1:10">
      <c r="A108" s="1361"/>
      <c r="B108" s="257" t="s">
        <v>106</v>
      </c>
      <c r="C108" s="248" t="s">
        <v>148</v>
      </c>
      <c r="D108" s="250" t="s">
        <v>108</v>
      </c>
      <c r="E108" s="248" t="s">
        <v>106</v>
      </c>
      <c r="F108" s="248" t="s">
        <v>148</v>
      </c>
      <c r="G108" s="246" t="s">
        <v>108</v>
      </c>
      <c r="H108" s="1354" t="str">
        <f>H5</f>
        <v>(16/15)</v>
      </c>
      <c r="I108" s="1354"/>
      <c r="J108" s="1355"/>
    </row>
    <row r="109" spans="1:10">
      <c r="A109" s="258"/>
      <c r="B109" s="257" t="s">
        <v>149</v>
      </c>
      <c r="C109" s="248" t="s">
        <v>140</v>
      </c>
      <c r="D109" s="250" t="s">
        <v>141</v>
      </c>
      <c r="E109" s="248" t="s">
        <v>149</v>
      </c>
      <c r="F109" s="248" t="s">
        <v>140</v>
      </c>
      <c r="G109" s="246" t="s">
        <v>141</v>
      </c>
      <c r="H109" s="248" t="s">
        <v>106</v>
      </c>
      <c r="I109" s="248" t="s">
        <v>107</v>
      </c>
      <c r="J109" s="251" t="s">
        <v>108</v>
      </c>
    </row>
    <row r="110" spans="1:10">
      <c r="A110" s="18" t="s">
        <v>286</v>
      </c>
      <c r="B110" s="19">
        <v>3243.0320000000002</v>
      </c>
      <c r="C110" s="19">
        <v>748.09</v>
      </c>
      <c r="D110" s="23">
        <f t="shared" ref="D110:D121" si="29">(B110*1000)/C110</f>
        <v>4335.0826772179817</v>
      </c>
      <c r="E110" s="19">
        <v>3460.1010000000001</v>
      </c>
      <c r="F110" s="19">
        <v>646.4</v>
      </c>
      <c r="G110" s="23">
        <f>(E110*1000)/F110</f>
        <v>5352.8790222772277</v>
      </c>
      <c r="H110" s="918">
        <f>SUM(B110-E110)*100/E110</f>
        <v>-6.273487392420046</v>
      </c>
      <c r="I110" s="918">
        <f>SUM(C110-F110)*100/F110</f>
        <v>15.73174504950496</v>
      </c>
      <c r="J110" s="919">
        <f>SUM(D110-G110)*100/G110</f>
        <v>-19.013998650510395</v>
      </c>
    </row>
    <row r="111" spans="1:10">
      <c r="A111" s="18" t="s">
        <v>281</v>
      </c>
      <c r="B111" s="19">
        <v>2802.7260000000001</v>
      </c>
      <c r="C111" s="19">
        <v>485.495</v>
      </c>
      <c r="D111" s="23">
        <f t="shared" si="29"/>
        <v>5772.9245409324503</v>
      </c>
      <c r="E111" s="19">
        <v>4604.8879999999999</v>
      </c>
      <c r="F111" s="19">
        <v>797.15200000000004</v>
      </c>
      <c r="G111" s="23">
        <f>(E111*1000)/F111</f>
        <v>5776.674962867809</v>
      </c>
      <c r="H111" s="918">
        <f t="shared" ref="H111:H121" si="30">SUM(B111-E111)*100/E111</f>
        <v>-39.135848689479523</v>
      </c>
      <c r="I111" s="918">
        <f t="shared" ref="I111:I124" si="31">SUM(C111-F111)*100/F111</f>
        <v>-39.096307855967247</v>
      </c>
      <c r="J111" s="919">
        <f t="shared" ref="J111:J124" si="32">SUM(D111-G111)*100/G111</f>
        <v>-6.4923540955068068E-2</v>
      </c>
    </row>
    <row r="112" spans="1:10">
      <c r="A112" s="18" t="s">
        <v>338</v>
      </c>
      <c r="B112" s="19">
        <v>439.78100000000001</v>
      </c>
      <c r="C112" s="19">
        <v>82.120999999999995</v>
      </c>
      <c r="D112" s="23">
        <f t="shared" si="29"/>
        <v>5355.2806224960732</v>
      </c>
      <c r="E112" s="19">
        <v>833.072</v>
      </c>
      <c r="F112" s="19">
        <v>134.13</v>
      </c>
      <c r="G112" s="23">
        <f>(E112*1000)/F112</f>
        <v>6210.9296950719454</v>
      </c>
      <c r="H112" s="918">
        <f t="shared" si="30"/>
        <v>-47.209724969750511</v>
      </c>
      <c r="I112" s="918">
        <f t="shared" si="31"/>
        <v>-38.775068962946392</v>
      </c>
      <c r="J112" s="919">
        <f t="shared" si="32"/>
        <v>-13.776505524684747</v>
      </c>
    </row>
    <row r="113" spans="1:11">
      <c r="A113" s="18" t="s">
        <v>289</v>
      </c>
      <c r="B113" s="19">
        <v>178.88399999999999</v>
      </c>
      <c r="C113" s="19">
        <v>17.600999999999999</v>
      </c>
      <c r="D113" s="23">
        <f>(B113*1000)/C113</f>
        <v>10163.286176921767</v>
      </c>
      <c r="E113" s="524">
        <v>36.332000000000001</v>
      </c>
      <c r="F113" s="19">
        <v>4.0469999999999997</v>
      </c>
      <c r="G113" s="23">
        <f>(E113*1000)/F113</f>
        <v>8977.5142080553505</v>
      </c>
      <c r="H113" s="918">
        <f>SUM(B113-E113)*100/E113</f>
        <v>392.35935263679397</v>
      </c>
      <c r="I113" s="918">
        <f>SUM(C113-F113)*100/F113</f>
        <v>334.91475166790212</v>
      </c>
      <c r="J113" s="919">
        <f>SUM(D113-G113)*100/G113</f>
        <v>13.208243856661859</v>
      </c>
    </row>
    <row r="114" spans="1:11">
      <c r="A114" s="564" t="s">
        <v>337</v>
      </c>
      <c r="B114" s="524">
        <v>128.38499999999999</v>
      </c>
      <c r="C114" s="524">
        <v>3.5209999999999999</v>
      </c>
      <c r="D114" s="781">
        <f t="shared" si="29"/>
        <v>36462.652655495593</v>
      </c>
      <c r="E114" s="524">
        <v>433.654</v>
      </c>
      <c r="F114" s="524">
        <v>26.2</v>
      </c>
      <c r="G114" s="781">
        <f t="shared" ref="G114:G124" si="33">(E114*1000)/F114</f>
        <v>16551.679389312976</v>
      </c>
      <c r="H114" s="920">
        <f t="shared" si="30"/>
        <v>-70.39460030346774</v>
      </c>
      <c r="I114" s="920">
        <f t="shared" si="31"/>
        <v>-86.561068702290058</v>
      </c>
      <c r="J114" s="921">
        <f t="shared" si="32"/>
        <v>120.29578871035078</v>
      </c>
    </row>
    <row r="115" spans="1:11">
      <c r="A115" s="18" t="s">
        <v>291</v>
      </c>
      <c r="B115" s="19">
        <v>120.56</v>
      </c>
      <c r="C115" s="19">
        <v>28.4</v>
      </c>
      <c r="D115" s="23">
        <f t="shared" si="29"/>
        <v>4245.070422535211</v>
      </c>
      <c r="E115" s="19">
        <v>79.945999999999998</v>
      </c>
      <c r="F115" s="19">
        <v>14.2</v>
      </c>
      <c r="G115" s="23">
        <f t="shared" si="33"/>
        <v>5630</v>
      </c>
      <c r="H115" s="918">
        <f t="shared" si="30"/>
        <v>50.801791209066131</v>
      </c>
      <c r="I115" s="918">
        <f t="shared" si="31"/>
        <v>100</v>
      </c>
      <c r="J115" s="919">
        <f t="shared" si="32"/>
        <v>-24.599104395466945</v>
      </c>
    </row>
    <row r="116" spans="1:11">
      <c r="A116" s="564" t="s">
        <v>545</v>
      </c>
      <c r="B116" s="19">
        <v>116.78</v>
      </c>
      <c r="C116" s="19">
        <v>17.302</v>
      </c>
      <c r="D116" s="23">
        <f>(B116*1000)/C116</f>
        <v>6749.508727314761</v>
      </c>
      <c r="E116" s="19">
        <v>65.748999999999995</v>
      </c>
      <c r="F116" s="19">
        <v>7.1529999999999996</v>
      </c>
      <c r="G116" s="23">
        <f>(E116*1000)/F116</f>
        <v>9191.8076331609118</v>
      </c>
      <c r="H116" s="918">
        <f>SUM(B116-E116)*100/E116</f>
        <v>77.614868667204078</v>
      </c>
      <c r="I116" s="918">
        <f>SUM(C116-F116)*100/F116</f>
        <v>141.88452397595415</v>
      </c>
      <c r="J116" s="919">
        <f>SUM(D116-G116)*100/G116</f>
        <v>-26.570387494133016</v>
      </c>
    </row>
    <row r="117" spans="1:11">
      <c r="A117" s="564" t="s">
        <v>558</v>
      </c>
      <c r="B117" s="19">
        <v>11.691000000000001</v>
      </c>
      <c r="C117" s="19">
        <v>2.1</v>
      </c>
      <c r="D117" s="23">
        <f>(B117*1000)/C117</f>
        <v>5567.1428571428569</v>
      </c>
      <c r="E117" s="19">
        <v>0</v>
      </c>
      <c r="F117" s="19">
        <v>0</v>
      </c>
      <c r="G117" s="23">
        <v>0</v>
      </c>
      <c r="H117" s="918">
        <v>0</v>
      </c>
      <c r="I117" s="918">
        <v>0</v>
      </c>
      <c r="J117" s="919">
        <v>0</v>
      </c>
    </row>
    <row r="118" spans="1:11">
      <c r="A118" s="564" t="s">
        <v>546</v>
      </c>
      <c r="B118" s="19">
        <v>11.055999999999999</v>
      </c>
      <c r="C118" s="19">
        <v>1.4</v>
      </c>
      <c r="D118" s="23">
        <f>(B118*1000)/C118</f>
        <v>7897.1428571428578</v>
      </c>
      <c r="E118" s="19">
        <v>0</v>
      </c>
      <c r="F118" s="19">
        <v>0</v>
      </c>
      <c r="G118" s="23">
        <v>0</v>
      </c>
      <c r="H118" s="918">
        <v>0</v>
      </c>
      <c r="I118" s="918">
        <v>0</v>
      </c>
      <c r="J118" s="919">
        <v>0</v>
      </c>
    </row>
    <row r="119" spans="1:11">
      <c r="A119" s="18" t="s">
        <v>290</v>
      </c>
      <c r="B119" s="19">
        <v>9.9700000000000006</v>
      </c>
      <c r="C119" s="19">
        <v>0.57699999999999996</v>
      </c>
      <c r="D119" s="23">
        <f>(B119*1000)/C119</f>
        <v>17279.029462738305</v>
      </c>
      <c r="E119" s="19">
        <v>29.803999999999998</v>
      </c>
      <c r="F119" s="19">
        <v>2.2749999999999999</v>
      </c>
      <c r="G119" s="23">
        <f>(E119*1000)/F119</f>
        <v>13100.659340659342</v>
      </c>
      <c r="H119" s="918">
        <f t="shared" ref="H119:J120" si="34">SUM(B119-E119)*100/E119</f>
        <v>-66.548114347067497</v>
      </c>
      <c r="I119" s="918">
        <f t="shared" si="34"/>
        <v>-74.637362637362628</v>
      </c>
      <c r="J119" s="919">
        <f t="shared" si="34"/>
        <v>31.894349844751172</v>
      </c>
    </row>
    <row r="120" spans="1:11">
      <c r="A120" s="18" t="s">
        <v>288</v>
      </c>
      <c r="B120" s="524">
        <v>3.6789999999999998</v>
      </c>
      <c r="C120" s="19">
        <v>0.42</v>
      </c>
      <c r="D120" s="23">
        <f>(B120*1000)/C120</f>
        <v>8759.5238095238092</v>
      </c>
      <c r="E120" s="19">
        <v>101.083</v>
      </c>
      <c r="F120" s="19">
        <v>16.648</v>
      </c>
      <c r="G120" s="23">
        <f>(E120*1000)/F120</f>
        <v>6071.780394041326</v>
      </c>
      <c r="H120" s="918">
        <f t="shared" si="34"/>
        <v>-96.360416687276796</v>
      </c>
      <c r="I120" s="918">
        <f t="shared" si="34"/>
        <v>-97.477174435367601</v>
      </c>
      <c r="J120" s="919">
        <f t="shared" si="34"/>
        <v>44.266149976704668</v>
      </c>
    </row>
    <row r="121" spans="1:11">
      <c r="A121" s="18" t="s">
        <v>280</v>
      </c>
      <c r="B121" s="19">
        <v>3.448</v>
      </c>
      <c r="C121" s="19">
        <v>0.31</v>
      </c>
      <c r="D121" s="23">
        <f t="shared" si="29"/>
        <v>11122.58064516129</v>
      </c>
      <c r="E121" s="19">
        <v>88.765000000000001</v>
      </c>
      <c r="F121" s="19">
        <v>15.976000000000001</v>
      </c>
      <c r="G121" s="23">
        <f t="shared" si="33"/>
        <v>5556.1467200801198</v>
      </c>
      <c r="H121" s="918">
        <f t="shared" si="30"/>
        <v>-96.115586098124268</v>
      </c>
      <c r="I121" s="918">
        <f t="shared" si="31"/>
        <v>-98.059589384076119</v>
      </c>
      <c r="J121" s="919">
        <f t="shared" si="32"/>
        <v>100.18514998828005</v>
      </c>
    </row>
    <row r="122" spans="1:11">
      <c r="A122" s="564" t="s">
        <v>287</v>
      </c>
      <c r="B122" s="19">
        <v>1.4039999999999999</v>
      </c>
      <c r="C122" s="19">
        <v>0.02</v>
      </c>
      <c r="D122" s="23">
        <f>(B122*1000)/C122</f>
        <v>70200</v>
      </c>
      <c r="E122" s="19">
        <v>4.8659999999999997</v>
      </c>
      <c r="F122" s="19">
        <v>0.06</v>
      </c>
      <c r="G122" s="23">
        <f>(E122*1000)/F122</f>
        <v>81100</v>
      </c>
      <c r="H122" s="918">
        <f>SUM(B122-E122)*100/E122</f>
        <v>-71.146732429099885</v>
      </c>
      <c r="I122" s="918">
        <f>SUM(C122-F122)*100/F122</f>
        <v>-66.666666666666657</v>
      </c>
      <c r="J122" s="919">
        <f>SUM(D122-G122)*100/G122</f>
        <v>-13.440197287299631</v>
      </c>
    </row>
    <row r="123" spans="1:11">
      <c r="A123" s="18" t="s">
        <v>293</v>
      </c>
      <c r="B123" s="19">
        <v>0</v>
      </c>
      <c r="C123" s="19">
        <v>0</v>
      </c>
      <c r="D123" s="23">
        <v>0</v>
      </c>
      <c r="E123" s="19">
        <v>40.145000000000003</v>
      </c>
      <c r="F123" s="19">
        <v>2.258</v>
      </c>
      <c r="G123" s="23">
        <f t="shared" si="33"/>
        <v>17779.007971656334</v>
      </c>
      <c r="H123" s="918">
        <f>SUM(B123-E123)*100/E123</f>
        <v>-100</v>
      </c>
      <c r="I123" s="918">
        <f t="shared" si="31"/>
        <v>-100</v>
      </c>
      <c r="J123" s="919">
        <f t="shared" si="32"/>
        <v>-100</v>
      </c>
    </row>
    <row r="124" spans="1:11">
      <c r="A124" s="564" t="s">
        <v>557</v>
      </c>
      <c r="B124" s="19">
        <v>0</v>
      </c>
      <c r="C124" s="19">
        <v>0</v>
      </c>
      <c r="D124" s="23">
        <v>0</v>
      </c>
      <c r="E124" s="19">
        <v>3.4740000000000002</v>
      </c>
      <c r="F124" s="19">
        <v>0.72</v>
      </c>
      <c r="G124" s="23">
        <f t="shared" si="33"/>
        <v>4825</v>
      </c>
      <c r="H124" s="918">
        <f>SUM(B124-E124)*100/E124</f>
        <v>-100</v>
      </c>
      <c r="I124" s="918">
        <f t="shared" si="31"/>
        <v>-100</v>
      </c>
      <c r="J124" s="919">
        <f t="shared" si="32"/>
        <v>-100</v>
      </c>
    </row>
    <row r="125" spans="1:11">
      <c r="A125" s="264" t="s">
        <v>127</v>
      </c>
      <c r="B125" s="265">
        <f>SUM(B110:B124)</f>
        <v>7071.3960000000006</v>
      </c>
      <c r="C125" s="265">
        <f>SUM(C110:C124)</f>
        <v>1387.3570000000002</v>
      </c>
      <c r="D125" s="266">
        <f>(B125*1000)/C125</f>
        <v>5097.0269368302461</v>
      </c>
      <c r="E125" s="265">
        <f>SUM(E110:E124)</f>
        <v>9781.8790000000008</v>
      </c>
      <c r="F125" s="265">
        <f>SUM(F110:F124)</f>
        <v>1667.2190000000005</v>
      </c>
      <c r="G125" s="266">
        <f>(E125*1000)/F125</f>
        <v>5867.183015548645</v>
      </c>
      <c r="H125" s="925">
        <f>SUM(B125-E125)*100/E125</f>
        <v>-27.709226417542073</v>
      </c>
      <c r="I125" s="925">
        <f t="shared" ref="I125:J127" si="35">SUM(C125-F125)*100/F125</f>
        <v>-16.786157067547826</v>
      </c>
      <c r="J125" s="926">
        <f t="shared" si="35"/>
        <v>-13.126505116295252</v>
      </c>
    </row>
    <row r="126" spans="1:11">
      <c r="A126" s="24" t="s">
        <v>150</v>
      </c>
      <c r="B126" s="25">
        <f>B127-B125</f>
        <v>0</v>
      </c>
      <c r="C126" s="25">
        <f>C127-C125</f>
        <v>0</v>
      </c>
      <c r="D126" s="266">
        <v>0</v>
      </c>
      <c r="E126" s="25">
        <f>E127-E125</f>
        <v>0.12099999999918509</v>
      </c>
      <c r="F126" s="25">
        <f>F127-F125</f>
        <v>0</v>
      </c>
      <c r="G126" s="23">
        <v>0</v>
      </c>
      <c r="H126" s="928">
        <v>0</v>
      </c>
      <c r="I126" s="928">
        <v>0</v>
      </c>
      <c r="J126" s="929">
        <v>0</v>
      </c>
      <c r="K126" s="4"/>
    </row>
    <row r="127" spans="1:11">
      <c r="A127" s="267" t="s">
        <v>151</v>
      </c>
      <c r="B127" s="268">
        <f>B10</f>
        <v>7071.3959999999997</v>
      </c>
      <c r="C127" s="268">
        <f>C10</f>
        <v>1387.357</v>
      </c>
      <c r="D127" s="269">
        <f>(B127*1000)/C127</f>
        <v>5097.0269368302461</v>
      </c>
      <c r="E127" s="245">
        <f>E10</f>
        <v>9782</v>
      </c>
      <c r="F127" s="245">
        <f>F10</f>
        <v>1667.2190000000001</v>
      </c>
      <c r="G127" s="269">
        <f>(E127*1000)/F127</f>
        <v>5867.255591496978</v>
      </c>
      <c r="H127" s="922">
        <f>SUM(B127-E127)*100/E127</f>
        <v>-27.710120629728074</v>
      </c>
      <c r="I127" s="922">
        <f t="shared" si="35"/>
        <v>-16.786157067547819</v>
      </c>
      <c r="J127" s="927">
        <f t="shared" si="35"/>
        <v>-13.127579711764609</v>
      </c>
    </row>
    <row r="128" spans="1:11">
      <c r="A128" s="249" t="s">
        <v>116</v>
      </c>
      <c r="B128" s="3"/>
      <c r="C128" s="3"/>
      <c r="D128" s="3"/>
      <c r="E128" s="3"/>
      <c r="F128" s="3"/>
      <c r="G128" s="17"/>
      <c r="H128" s="3"/>
      <c r="I128" s="3"/>
      <c r="J128" s="3"/>
    </row>
    <row r="129" spans="1:10">
      <c r="A129" s="411"/>
      <c r="B129" s="411"/>
      <c r="C129" s="411"/>
      <c r="D129" s="411"/>
      <c r="E129" s="411"/>
      <c r="F129" s="411"/>
      <c r="G129" s="412"/>
      <c r="H129" s="411"/>
      <c r="I129" s="411"/>
      <c r="J129" s="411"/>
    </row>
  </sheetData>
  <mergeCells count="39">
    <mergeCell ref="A1:J1"/>
    <mergeCell ref="A102:J102"/>
    <mergeCell ref="A103:J103"/>
    <mergeCell ref="A105:C105"/>
    <mergeCell ref="A107:A108"/>
    <mergeCell ref="B107:D107"/>
    <mergeCell ref="E107:G107"/>
    <mergeCell ref="H107:J107"/>
    <mergeCell ref="H108:J108"/>
    <mergeCell ref="A74:J74"/>
    <mergeCell ref="A75:J75"/>
    <mergeCell ref="A77:C77"/>
    <mergeCell ref="A79:A80"/>
    <mergeCell ref="B79:D79"/>
    <mergeCell ref="E79:G79"/>
    <mergeCell ref="H79:J79"/>
    <mergeCell ref="H80:J80"/>
    <mergeCell ref="A47:J47"/>
    <mergeCell ref="A48:J48"/>
    <mergeCell ref="A50:C50"/>
    <mergeCell ref="A52:A53"/>
    <mergeCell ref="B52:D52"/>
    <mergeCell ref="E52:G52"/>
    <mergeCell ref="H52:J52"/>
    <mergeCell ref="H53:J53"/>
    <mergeCell ref="A20:J20"/>
    <mergeCell ref="A21:J21"/>
    <mergeCell ref="A23:C23"/>
    <mergeCell ref="A25:A26"/>
    <mergeCell ref="B25:D25"/>
    <mergeCell ref="E25:G25"/>
    <mergeCell ref="H25:J25"/>
    <mergeCell ref="H26:J26"/>
    <mergeCell ref="A2:J2"/>
    <mergeCell ref="A4:A5"/>
    <mergeCell ref="B4:D4"/>
    <mergeCell ref="E4:G4"/>
    <mergeCell ref="H4:J4"/>
    <mergeCell ref="H5:J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9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K14" sqref="K14:K15"/>
    </sheetView>
  </sheetViews>
  <sheetFormatPr defaultRowHeight="12.75"/>
  <cols>
    <col min="1" max="1" width="40.5703125" customWidth="1"/>
    <col min="2" max="2" width="10.28515625" bestFit="1" customWidth="1"/>
    <col min="3" max="3" width="9" bestFit="1" customWidth="1"/>
    <col min="4" max="4" width="10.28515625" bestFit="1" customWidth="1"/>
    <col min="5" max="5" width="9" bestFit="1" customWidth="1"/>
    <col min="6" max="6" width="12" customWidth="1"/>
    <col min="7" max="7" width="11.140625" customWidth="1"/>
    <col min="8" max="8" width="12.5703125" customWidth="1"/>
    <col min="9" max="9" width="11.85546875" customWidth="1"/>
    <col min="10" max="11" width="9" customWidth="1"/>
    <col min="12" max="12" width="8.5703125" customWidth="1"/>
    <col min="254" max="254" width="39.42578125" customWidth="1"/>
    <col min="255" max="255" width="10.28515625" bestFit="1" customWidth="1"/>
    <col min="256" max="256" width="9" bestFit="1" customWidth="1"/>
    <col min="257" max="257" width="10.28515625" bestFit="1" customWidth="1"/>
    <col min="258" max="258" width="9" bestFit="1" customWidth="1"/>
    <col min="259" max="259" width="11" customWidth="1"/>
    <col min="260" max="260" width="11.140625" customWidth="1"/>
    <col min="261" max="261" width="12.5703125" customWidth="1"/>
    <col min="262" max="262" width="11.85546875" customWidth="1"/>
    <col min="263" max="264" width="9" customWidth="1"/>
    <col min="265" max="265" width="8.5703125" customWidth="1"/>
    <col min="510" max="510" width="39.42578125" customWidth="1"/>
    <col min="511" max="511" width="10.28515625" bestFit="1" customWidth="1"/>
    <col min="512" max="512" width="9" bestFit="1" customWidth="1"/>
    <col min="513" max="513" width="10.28515625" bestFit="1" customWidth="1"/>
    <col min="514" max="514" width="9" bestFit="1" customWidth="1"/>
    <col min="515" max="515" width="11" customWidth="1"/>
    <col min="516" max="516" width="11.140625" customWidth="1"/>
    <col min="517" max="517" width="12.5703125" customWidth="1"/>
    <col min="518" max="518" width="11.85546875" customWidth="1"/>
    <col min="519" max="520" width="9" customWidth="1"/>
    <col min="521" max="521" width="8.5703125" customWidth="1"/>
    <col min="766" max="766" width="39.42578125" customWidth="1"/>
    <col min="767" max="767" width="10.28515625" bestFit="1" customWidth="1"/>
    <col min="768" max="768" width="9" bestFit="1" customWidth="1"/>
    <col min="769" max="769" width="10.28515625" bestFit="1" customWidth="1"/>
    <col min="770" max="770" width="9" bestFit="1" customWidth="1"/>
    <col min="771" max="771" width="11" customWidth="1"/>
    <col min="772" max="772" width="11.140625" customWidth="1"/>
    <col min="773" max="773" width="12.5703125" customWidth="1"/>
    <col min="774" max="774" width="11.85546875" customWidth="1"/>
    <col min="775" max="776" width="9" customWidth="1"/>
    <col min="777" max="777" width="8.5703125" customWidth="1"/>
    <col min="1022" max="1022" width="39.42578125" customWidth="1"/>
    <col min="1023" max="1023" width="10.28515625" bestFit="1" customWidth="1"/>
    <col min="1024" max="1024" width="9" bestFit="1" customWidth="1"/>
    <col min="1025" max="1025" width="10.28515625" bestFit="1" customWidth="1"/>
    <col min="1026" max="1026" width="9" bestFit="1" customWidth="1"/>
    <col min="1027" max="1027" width="11" customWidth="1"/>
    <col min="1028" max="1028" width="11.140625" customWidth="1"/>
    <col min="1029" max="1029" width="12.5703125" customWidth="1"/>
    <col min="1030" max="1030" width="11.85546875" customWidth="1"/>
    <col min="1031" max="1032" width="9" customWidth="1"/>
    <col min="1033" max="1033" width="8.5703125" customWidth="1"/>
    <col min="1278" max="1278" width="39.42578125" customWidth="1"/>
    <col min="1279" max="1279" width="10.28515625" bestFit="1" customWidth="1"/>
    <col min="1280" max="1280" width="9" bestFit="1" customWidth="1"/>
    <col min="1281" max="1281" width="10.28515625" bestFit="1" customWidth="1"/>
    <col min="1282" max="1282" width="9" bestFit="1" customWidth="1"/>
    <col min="1283" max="1283" width="11" customWidth="1"/>
    <col min="1284" max="1284" width="11.140625" customWidth="1"/>
    <col min="1285" max="1285" width="12.5703125" customWidth="1"/>
    <col min="1286" max="1286" width="11.85546875" customWidth="1"/>
    <col min="1287" max="1288" width="9" customWidth="1"/>
    <col min="1289" max="1289" width="8.5703125" customWidth="1"/>
    <col min="1534" max="1534" width="39.42578125" customWidth="1"/>
    <col min="1535" max="1535" width="10.28515625" bestFit="1" customWidth="1"/>
    <col min="1536" max="1536" width="9" bestFit="1" customWidth="1"/>
    <col min="1537" max="1537" width="10.28515625" bestFit="1" customWidth="1"/>
    <col min="1538" max="1538" width="9" bestFit="1" customWidth="1"/>
    <col min="1539" max="1539" width="11" customWidth="1"/>
    <col min="1540" max="1540" width="11.140625" customWidth="1"/>
    <col min="1541" max="1541" width="12.5703125" customWidth="1"/>
    <col min="1542" max="1542" width="11.85546875" customWidth="1"/>
    <col min="1543" max="1544" width="9" customWidth="1"/>
    <col min="1545" max="1545" width="8.5703125" customWidth="1"/>
    <col min="1790" max="1790" width="39.42578125" customWidth="1"/>
    <col min="1791" max="1791" width="10.28515625" bestFit="1" customWidth="1"/>
    <col min="1792" max="1792" width="9" bestFit="1" customWidth="1"/>
    <col min="1793" max="1793" width="10.28515625" bestFit="1" customWidth="1"/>
    <col min="1794" max="1794" width="9" bestFit="1" customWidth="1"/>
    <col min="1795" max="1795" width="11" customWidth="1"/>
    <col min="1796" max="1796" width="11.140625" customWidth="1"/>
    <col min="1797" max="1797" width="12.5703125" customWidth="1"/>
    <col min="1798" max="1798" width="11.85546875" customWidth="1"/>
    <col min="1799" max="1800" width="9" customWidth="1"/>
    <col min="1801" max="1801" width="8.5703125" customWidth="1"/>
    <col min="2046" max="2046" width="39.42578125" customWidth="1"/>
    <col min="2047" max="2047" width="10.28515625" bestFit="1" customWidth="1"/>
    <col min="2048" max="2048" width="9" bestFit="1" customWidth="1"/>
    <col min="2049" max="2049" width="10.28515625" bestFit="1" customWidth="1"/>
    <col min="2050" max="2050" width="9" bestFit="1" customWidth="1"/>
    <col min="2051" max="2051" width="11" customWidth="1"/>
    <col min="2052" max="2052" width="11.140625" customWidth="1"/>
    <col min="2053" max="2053" width="12.5703125" customWidth="1"/>
    <col min="2054" max="2054" width="11.85546875" customWidth="1"/>
    <col min="2055" max="2056" width="9" customWidth="1"/>
    <col min="2057" max="2057" width="8.5703125" customWidth="1"/>
    <col min="2302" max="2302" width="39.42578125" customWidth="1"/>
    <col min="2303" max="2303" width="10.28515625" bestFit="1" customWidth="1"/>
    <col min="2304" max="2304" width="9" bestFit="1" customWidth="1"/>
    <col min="2305" max="2305" width="10.28515625" bestFit="1" customWidth="1"/>
    <col min="2306" max="2306" width="9" bestFit="1" customWidth="1"/>
    <col min="2307" max="2307" width="11" customWidth="1"/>
    <col min="2308" max="2308" width="11.140625" customWidth="1"/>
    <col min="2309" max="2309" width="12.5703125" customWidth="1"/>
    <col min="2310" max="2310" width="11.85546875" customWidth="1"/>
    <col min="2311" max="2312" width="9" customWidth="1"/>
    <col min="2313" max="2313" width="8.5703125" customWidth="1"/>
    <col min="2558" max="2558" width="39.42578125" customWidth="1"/>
    <col min="2559" max="2559" width="10.28515625" bestFit="1" customWidth="1"/>
    <col min="2560" max="2560" width="9" bestFit="1" customWidth="1"/>
    <col min="2561" max="2561" width="10.28515625" bestFit="1" customWidth="1"/>
    <col min="2562" max="2562" width="9" bestFit="1" customWidth="1"/>
    <col min="2563" max="2563" width="11" customWidth="1"/>
    <col min="2564" max="2564" width="11.140625" customWidth="1"/>
    <col min="2565" max="2565" width="12.5703125" customWidth="1"/>
    <col min="2566" max="2566" width="11.85546875" customWidth="1"/>
    <col min="2567" max="2568" width="9" customWidth="1"/>
    <col min="2569" max="2569" width="8.5703125" customWidth="1"/>
    <col min="2814" max="2814" width="39.42578125" customWidth="1"/>
    <col min="2815" max="2815" width="10.28515625" bestFit="1" customWidth="1"/>
    <col min="2816" max="2816" width="9" bestFit="1" customWidth="1"/>
    <col min="2817" max="2817" width="10.28515625" bestFit="1" customWidth="1"/>
    <col min="2818" max="2818" width="9" bestFit="1" customWidth="1"/>
    <col min="2819" max="2819" width="11" customWidth="1"/>
    <col min="2820" max="2820" width="11.140625" customWidth="1"/>
    <col min="2821" max="2821" width="12.5703125" customWidth="1"/>
    <col min="2822" max="2822" width="11.85546875" customWidth="1"/>
    <col min="2823" max="2824" width="9" customWidth="1"/>
    <col min="2825" max="2825" width="8.5703125" customWidth="1"/>
    <col min="3070" max="3070" width="39.42578125" customWidth="1"/>
    <col min="3071" max="3071" width="10.28515625" bestFit="1" customWidth="1"/>
    <col min="3072" max="3072" width="9" bestFit="1" customWidth="1"/>
    <col min="3073" max="3073" width="10.28515625" bestFit="1" customWidth="1"/>
    <col min="3074" max="3074" width="9" bestFit="1" customWidth="1"/>
    <col min="3075" max="3075" width="11" customWidth="1"/>
    <col min="3076" max="3076" width="11.140625" customWidth="1"/>
    <col min="3077" max="3077" width="12.5703125" customWidth="1"/>
    <col min="3078" max="3078" width="11.85546875" customWidth="1"/>
    <col min="3079" max="3080" width="9" customWidth="1"/>
    <col min="3081" max="3081" width="8.5703125" customWidth="1"/>
    <col min="3326" max="3326" width="39.42578125" customWidth="1"/>
    <col min="3327" max="3327" width="10.28515625" bestFit="1" customWidth="1"/>
    <col min="3328" max="3328" width="9" bestFit="1" customWidth="1"/>
    <col min="3329" max="3329" width="10.28515625" bestFit="1" customWidth="1"/>
    <col min="3330" max="3330" width="9" bestFit="1" customWidth="1"/>
    <col min="3331" max="3331" width="11" customWidth="1"/>
    <col min="3332" max="3332" width="11.140625" customWidth="1"/>
    <col min="3333" max="3333" width="12.5703125" customWidth="1"/>
    <col min="3334" max="3334" width="11.85546875" customWidth="1"/>
    <col min="3335" max="3336" width="9" customWidth="1"/>
    <col min="3337" max="3337" width="8.5703125" customWidth="1"/>
    <col min="3582" max="3582" width="39.42578125" customWidth="1"/>
    <col min="3583" max="3583" width="10.28515625" bestFit="1" customWidth="1"/>
    <col min="3584" max="3584" width="9" bestFit="1" customWidth="1"/>
    <col min="3585" max="3585" width="10.28515625" bestFit="1" customWidth="1"/>
    <col min="3586" max="3586" width="9" bestFit="1" customWidth="1"/>
    <col min="3587" max="3587" width="11" customWidth="1"/>
    <col min="3588" max="3588" width="11.140625" customWidth="1"/>
    <col min="3589" max="3589" width="12.5703125" customWidth="1"/>
    <col min="3590" max="3590" width="11.85546875" customWidth="1"/>
    <col min="3591" max="3592" width="9" customWidth="1"/>
    <col min="3593" max="3593" width="8.5703125" customWidth="1"/>
    <col min="3838" max="3838" width="39.42578125" customWidth="1"/>
    <col min="3839" max="3839" width="10.28515625" bestFit="1" customWidth="1"/>
    <col min="3840" max="3840" width="9" bestFit="1" customWidth="1"/>
    <col min="3841" max="3841" width="10.28515625" bestFit="1" customWidth="1"/>
    <col min="3842" max="3842" width="9" bestFit="1" customWidth="1"/>
    <col min="3843" max="3843" width="11" customWidth="1"/>
    <col min="3844" max="3844" width="11.140625" customWidth="1"/>
    <col min="3845" max="3845" width="12.5703125" customWidth="1"/>
    <col min="3846" max="3846" width="11.85546875" customWidth="1"/>
    <col min="3847" max="3848" width="9" customWidth="1"/>
    <col min="3849" max="3849" width="8.5703125" customWidth="1"/>
    <col min="4094" max="4094" width="39.42578125" customWidth="1"/>
    <col min="4095" max="4095" width="10.28515625" bestFit="1" customWidth="1"/>
    <col min="4096" max="4096" width="9" bestFit="1" customWidth="1"/>
    <col min="4097" max="4097" width="10.28515625" bestFit="1" customWidth="1"/>
    <col min="4098" max="4098" width="9" bestFit="1" customWidth="1"/>
    <col min="4099" max="4099" width="11" customWidth="1"/>
    <col min="4100" max="4100" width="11.140625" customWidth="1"/>
    <col min="4101" max="4101" width="12.5703125" customWidth="1"/>
    <col min="4102" max="4102" width="11.85546875" customWidth="1"/>
    <col min="4103" max="4104" width="9" customWidth="1"/>
    <col min="4105" max="4105" width="8.5703125" customWidth="1"/>
    <col min="4350" max="4350" width="39.42578125" customWidth="1"/>
    <col min="4351" max="4351" width="10.28515625" bestFit="1" customWidth="1"/>
    <col min="4352" max="4352" width="9" bestFit="1" customWidth="1"/>
    <col min="4353" max="4353" width="10.28515625" bestFit="1" customWidth="1"/>
    <col min="4354" max="4354" width="9" bestFit="1" customWidth="1"/>
    <col min="4355" max="4355" width="11" customWidth="1"/>
    <col min="4356" max="4356" width="11.140625" customWidth="1"/>
    <col min="4357" max="4357" width="12.5703125" customWidth="1"/>
    <col min="4358" max="4358" width="11.85546875" customWidth="1"/>
    <col min="4359" max="4360" width="9" customWidth="1"/>
    <col min="4361" max="4361" width="8.5703125" customWidth="1"/>
    <col min="4606" max="4606" width="39.42578125" customWidth="1"/>
    <col min="4607" max="4607" width="10.28515625" bestFit="1" customWidth="1"/>
    <col min="4608" max="4608" width="9" bestFit="1" customWidth="1"/>
    <col min="4609" max="4609" width="10.28515625" bestFit="1" customWidth="1"/>
    <col min="4610" max="4610" width="9" bestFit="1" customWidth="1"/>
    <col min="4611" max="4611" width="11" customWidth="1"/>
    <col min="4612" max="4612" width="11.140625" customWidth="1"/>
    <col min="4613" max="4613" width="12.5703125" customWidth="1"/>
    <col min="4614" max="4614" width="11.85546875" customWidth="1"/>
    <col min="4615" max="4616" width="9" customWidth="1"/>
    <col min="4617" max="4617" width="8.5703125" customWidth="1"/>
    <col min="4862" max="4862" width="39.42578125" customWidth="1"/>
    <col min="4863" max="4863" width="10.28515625" bestFit="1" customWidth="1"/>
    <col min="4864" max="4864" width="9" bestFit="1" customWidth="1"/>
    <col min="4865" max="4865" width="10.28515625" bestFit="1" customWidth="1"/>
    <col min="4866" max="4866" width="9" bestFit="1" customWidth="1"/>
    <col min="4867" max="4867" width="11" customWidth="1"/>
    <col min="4868" max="4868" width="11.140625" customWidth="1"/>
    <col min="4869" max="4869" width="12.5703125" customWidth="1"/>
    <col min="4870" max="4870" width="11.85546875" customWidth="1"/>
    <col min="4871" max="4872" width="9" customWidth="1"/>
    <col min="4873" max="4873" width="8.5703125" customWidth="1"/>
    <col min="5118" max="5118" width="39.42578125" customWidth="1"/>
    <col min="5119" max="5119" width="10.28515625" bestFit="1" customWidth="1"/>
    <col min="5120" max="5120" width="9" bestFit="1" customWidth="1"/>
    <col min="5121" max="5121" width="10.28515625" bestFit="1" customWidth="1"/>
    <col min="5122" max="5122" width="9" bestFit="1" customWidth="1"/>
    <col min="5123" max="5123" width="11" customWidth="1"/>
    <col min="5124" max="5124" width="11.140625" customWidth="1"/>
    <col min="5125" max="5125" width="12.5703125" customWidth="1"/>
    <col min="5126" max="5126" width="11.85546875" customWidth="1"/>
    <col min="5127" max="5128" width="9" customWidth="1"/>
    <col min="5129" max="5129" width="8.5703125" customWidth="1"/>
    <col min="5374" max="5374" width="39.42578125" customWidth="1"/>
    <col min="5375" max="5375" width="10.28515625" bestFit="1" customWidth="1"/>
    <col min="5376" max="5376" width="9" bestFit="1" customWidth="1"/>
    <col min="5377" max="5377" width="10.28515625" bestFit="1" customWidth="1"/>
    <col min="5378" max="5378" width="9" bestFit="1" customWidth="1"/>
    <col min="5379" max="5379" width="11" customWidth="1"/>
    <col min="5380" max="5380" width="11.140625" customWidth="1"/>
    <col min="5381" max="5381" width="12.5703125" customWidth="1"/>
    <col min="5382" max="5382" width="11.85546875" customWidth="1"/>
    <col min="5383" max="5384" width="9" customWidth="1"/>
    <col min="5385" max="5385" width="8.5703125" customWidth="1"/>
    <col min="5630" max="5630" width="39.42578125" customWidth="1"/>
    <col min="5631" max="5631" width="10.28515625" bestFit="1" customWidth="1"/>
    <col min="5632" max="5632" width="9" bestFit="1" customWidth="1"/>
    <col min="5633" max="5633" width="10.28515625" bestFit="1" customWidth="1"/>
    <col min="5634" max="5634" width="9" bestFit="1" customWidth="1"/>
    <col min="5635" max="5635" width="11" customWidth="1"/>
    <col min="5636" max="5636" width="11.140625" customWidth="1"/>
    <col min="5637" max="5637" width="12.5703125" customWidth="1"/>
    <col min="5638" max="5638" width="11.85546875" customWidth="1"/>
    <col min="5639" max="5640" width="9" customWidth="1"/>
    <col min="5641" max="5641" width="8.5703125" customWidth="1"/>
    <col min="5886" max="5886" width="39.42578125" customWidth="1"/>
    <col min="5887" max="5887" width="10.28515625" bestFit="1" customWidth="1"/>
    <col min="5888" max="5888" width="9" bestFit="1" customWidth="1"/>
    <col min="5889" max="5889" width="10.28515625" bestFit="1" customWidth="1"/>
    <col min="5890" max="5890" width="9" bestFit="1" customWidth="1"/>
    <col min="5891" max="5891" width="11" customWidth="1"/>
    <col min="5892" max="5892" width="11.140625" customWidth="1"/>
    <col min="5893" max="5893" width="12.5703125" customWidth="1"/>
    <col min="5894" max="5894" width="11.85546875" customWidth="1"/>
    <col min="5895" max="5896" width="9" customWidth="1"/>
    <col min="5897" max="5897" width="8.5703125" customWidth="1"/>
    <col min="6142" max="6142" width="39.42578125" customWidth="1"/>
    <col min="6143" max="6143" width="10.28515625" bestFit="1" customWidth="1"/>
    <col min="6144" max="6144" width="9" bestFit="1" customWidth="1"/>
    <col min="6145" max="6145" width="10.28515625" bestFit="1" customWidth="1"/>
    <col min="6146" max="6146" width="9" bestFit="1" customWidth="1"/>
    <col min="6147" max="6147" width="11" customWidth="1"/>
    <col min="6148" max="6148" width="11.140625" customWidth="1"/>
    <col min="6149" max="6149" width="12.5703125" customWidth="1"/>
    <col min="6150" max="6150" width="11.85546875" customWidth="1"/>
    <col min="6151" max="6152" width="9" customWidth="1"/>
    <col min="6153" max="6153" width="8.5703125" customWidth="1"/>
    <col min="6398" max="6398" width="39.42578125" customWidth="1"/>
    <col min="6399" max="6399" width="10.28515625" bestFit="1" customWidth="1"/>
    <col min="6400" max="6400" width="9" bestFit="1" customWidth="1"/>
    <col min="6401" max="6401" width="10.28515625" bestFit="1" customWidth="1"/>
    <col min="6402" max="6402" width="9" bestFit="1" customWidth="1"/>
    <col min="6403" max="6403" width="11" customWidth="1"/>
    <col min="6404" max="6404" width="11.140625" customWidth="1"/>
    <col min="6405" max="6405" width="12.5703125" customWidth="1"/>
    <col min="6406" max="6406" width="11.85546875" customWidth="1"/>
    <col min="6407" max="6408" width="9" customWidth="1"/>
    <col min="6409" max="6409" width="8.5703125" customWidth="1"/>
    <col min="6654" max="6654" width="39.42578125" customWidth="1"/>
    <col min="6655" max="6655" width="10.28515625" bestFit="1" customWidth="1"/>
    <col min="6656" max="6656" width="9" bestFit="1" customWidth="1"/>
    <col min="6657" max="6657" width="10.28515625" bestFit="1" customWidth="1"/>
    <col min="6658" max="6658" width="9" bestFit="1" customWidth="1"/>
    <col min="6659" max="6659" width="11" customWidth="1"/>
    <col min="6660" max="6660" width="11.140625" customWidth="1"/>
    <col min="6661" max="6661" width="12.5703125" customWidth="1"/>
    <col min="6662" max="6662" width="11.85546875" customWidth="1"/>
    <col min="6663" max="6664" width="9" customWidth="1"/>
    <col min="6665" max="6665" width="8.5703125" customWidth="1"/>
    <col min="6910" max="6910" width="39.42578125" customWidth="1"/>
    <col min="6911" max="6911" width="10.28515625" bestFit="1" customWidth="1"/>
    <col min="6912" max="6912" width="9" bestFit="1" customWidth="1"/>
    <col min="6913" max="6913" width="10.28515625" bestFit="1" customWidth="1"/>
    <col min="6914" max="6914" width="9" bestFit="1" customWidth="1"/>
    <col min="6915" max="6915" width="11" customWidth="1"/>
    <col min="6916" max="6916" width="11.140625" customWidth="1"/>
    <col min="6917" max="6917" width="12.5703125" customWidth="1"/>
    <col min="6918" max="6918" width="11.85546875" customWidth="1"/>
    <col min="6919" max="6920" width="9" customWidth="1"/>
    <col min="6921" max="6921" width="8.5703125" customWidth="1"/>
    <col min="7166" max="7166" width="39.42578125" customWidth="1"/>
    <col min="7167" max="7167" width="10.28515625" bestFit="1" customWidth="1"/>
    <col min="7168" max="7168" width="9" bestFit="1" customWidth="1"/>
    <col min="7169" max="7169" width="10.28515625" bestFit="1" customWidth="1"/>
    <col min="7170" max="7170" width="9" bestFit="1" customWidth="1"/>
    <col min="7171" max="7171" width="11" customWidth="1"/>
    <col min="7172" max="7172" width="11.140625" customWidth="1"/>
    <col min="7173" max="7173" width="12.5703125" customWidth="1"/>
    <col min="7174" max="7174" width="11.85546875" customWidth="1"/>
    <col min="7175" max="7176" width="9" customWidth="1"/>
    <col min="7177" max="7177" width="8.5703125" customWidth="1"/>
    <col min="7422" max="7422" width="39.42578125" customWidth="1"/>
    <col min="7423" max="7423" width="10.28515625" bestFit="1" customWidth="1"/>
    <col min="7424" max="7424" width="9" bestFit="1" customWidth="1"/>
    <col min="7425" max="7425" width="10.28515625" bestFit="1" customWidth="1"/>
    <col min="7426" max="7426" width="9" bestFit="1" customWidth="1"/>
    <col min="7427" max="7427" width="11" customWidth="1"/>
    <col min="7428" max="7428" width="11.140625" customWidth="1"/>
    <col min="7429" max="7429" width="12.5703125" customWidth="1"/>
    <col min="7430" max="7430" width="11.85546875" customWidth="1"/>
    <col min="7431" max="7432" width="9" customWidth="1"/>
    <col min="7433" max="7433" width="8.5703125" customWidth="1"/>
    <col min="7678" max="7678" width="39.42578125" customWidth="1"/>
    <col min="7679" max="7679" width="10.28515625" bestFit="1" customWidth="1"/>
    <col min="7680" max="7680" width="9" bestFit="1" customWidth="1"/>
    <col min="7681" max="7681" width="10.28515625" bestFit="1" customWidth="1"/>
    <col min="7682" max="7682" width="9" bestFit="1" customWidth="1"/>
    <col min="7683" max="7683" width="11" customWidth="1"/>
    <col min="7684" max="7684" width="11.140625" customWidth="1"/>
    <col min="7685" max="7685" width="12.5703125" customWidth="1"/>
    <col min="7686" max="7686" width="11.85546875" customWidth="1"/>
    <col min="7687" max="7688" width="9" customWidth="1"/>
    <col min="7689" max="7689" width="8.5703125" customWidth="1"/>
    <col min="7934" max="7934" width="39.42578125" customWidth="1"/>
    <col min="7935" max="7935" width="10.28515625" bestFit="1" customWidth="1"/>
    <col min="7936" max="7936" width="9" bestFit="1" customWidth="1"/>
    <col min="7937" max="7937" width="10.28515625" bestFit="1" customWidth="1"/>
    <col min="7938" max="7938" width="9" bestFit="1" customWidth="1"/>
    <col min="7939" max="7939" width="11" customWidth="1"/>
    <col min="7940" max="7940" width="11.140625" customWidth="1"/>
    <col min="7941" max="7941" width="12.5703125" customWidth="1"/>
    <col min="7942" max="7942" width="11.85546875" customWidth="1"/>
    <col min="7943" max="7944" width="9" customWidth="1"/>
    <col min="7945" max="7945" width="8.5703125" customWidth="1"/>
    <col min="8190" max="8190" width="39.42578125" customWidth="1"/>
    <col min="8191" max="8191" width="10.28515625" bestFit="1" customWidth="1"/>
    <col min="8192" max="8192" width="9" bestFit="1" customWidth="1"/>
    <col min="8193" max="8193" width="10.28515625" bestFit="1" customWidth="1"/>
    <col min="8194" max="8194" width="9" bestFit="1" customWidth="1"/>
    <col min="8195" max="8195" width="11" customWidth="1"/>
    <col min="8196" max="8196" width="11.140625" customWidth="1"/>
    <col min="8197" max="8197" width="12.5703125" customWidth="1"/>
    <col min="8198" max="8198" width="11.85546875" customWidth="1"/>
    <col min="8199" max="8200" width="9" customWidth="1"/>
    <col min="8201" max="8201" width="8.5703125" customWidth="1"/>
    <col min="8446" max="8446" width="39.42578125" customWidth="1"/>
    <col min="8447" max="8447" width="10.28515625" bestFit="1" customWidth="1"/>
    <col min="8448" max="8448" width="9" bestFit="1" customWidth="1"/>
    <col min="8449" max="8449" width="10.28515625" bestFit="1" customWidth="1"/>
    <col min="8450" max="8450" width="9" bestFit="1" customWidth="1"/>
    <col min="8451" max="8451" width="11" customWidth="1"/>
    <col min="8452" max="8452" width="11.140625" customWidth="1"/>
    <col min="8453" max="8453" width="12.5703125" customWidth="1"/>
    <col min="8454" max="8454" width="11.85546875" customWidth="1"/>
    <col min="8455" max="8456" width="9" customWidth="1"/>
    <col min="8457" max="8457" width="8.5703125" customWidth="1"/>
    <col min="8702" max="8702" width="39.42578125" customWidth="1"/>
    <col min="8703" max="8703" width="10.28515625" bestFit="1" customWidth="1"/>
    <col min="8704" max="8704" width="9" bestFit="1" customWidth="1"/>
    <col min="8705" max="8705" width="10.28515625" bestFit="1" customWidth="1"/>
    <col min="8706" max="8706" width="9" bestFit="1" customWidth="1"/>
    <col min="8707" max="8707" width="11" customWidth="1"/>
    <col min="8708" max="8708" width="11.140625" customWidth="1"/>
    <col min="8709" max="8709" width="12.5703125" customWidth="1"/>
    <col min="8710" max="8710" width="11.85546875" customWidth="1"/>
    <col min="8711" max="8712" width="9" customWidth="1"/>
    <col min="8713" max="8713" width="8.5703125" customWidth="1"/>
    <col min="8958" max="8958" width="39.42578125" customWidth="1"/>
    <col min="8959" max="8959" width="10.28515625" bestFit="1" customWidth="1"/>
    <col min="8960" max="8960" width="9" bestFit="1" customWidth="1"/>
    <col min="8961" max="8961" width="10.28515625" bestFit="1" customWidth="1"/>
    <col min="8962" max="8962" width="9" bestFit="1" customWidth="1"/>
    <col min="8963" max="8963" width="11" customWidth="1"/>
    <col min="8964" max="8964" width="11.140625" customWidth="1"/>
    <col min="8965" max="8965" width="12.5703125" customWidth="1"/>
    <col min="8966" max="8966" width="11.85546875" customWidth="1"/>
    <col min="8967" max="8968" width="9" customWidth="1"/>
    <col min="8969" max="8969" width="8.5703125" customWidth="1"/>
    <col min="9214" max="9214" width="39.42578125" customWidth="1"/>
    <col min="9215" max="9215" width="10.28515625" bestFit="1" customWidth="1"/>
    <col min="9216" max="9216" width="9" bestFit="1" customWidth="1"/>
    <col min="9217" max="9217" width="10.28515625" bestFit="1" customWidth="1"/>
    <col min="9218" max="9218" width="9" bestFit="1" customWidth="1"/>
    <col min="9219" max="9219" width="11" customWidth="1"/>
    <col min="9220" max="9220" width="11.140625" customWidth="1"/>
    <col min="9221" max="9221" width="12.5703125" customWidth="1"/>
    <col min="9222" max="9222" width="11.85546875" customWidth="1"/>
    <col min="9223" max="9224" width="9" customWidth="1"/>
    <col min="9225" max="9225" width="8.5703125" customWidth="1"/>
    <col min="9470" max="9470" width="39.42578125" customWidth="1"/>
    <col min="9471" max="9471" width="10.28515625" bestFit="1" customWidth="1"/>
    <col min="9472" max="9472" width="9" bestFit="1" customWidth="1"/>
    <col min="9473" max="9473" width="10.28515625" bestFit="1" customWidth="1"/>
    <col min="9474" max="9474" width="9" bestFit="1" customWidth="1"/>
    <col min="9475" max="9475" width="11" customWidth="1"/>
    <col min="9476" max="9476" width="11.140625" customWidth="1"/>
    <col min="9477" max="9477" width="12.5703125" customWidth="1"/>
    <col min="9478" max="9478" width="11.85546875" customWidth="1"/>
    <col min="9479" max="9480" width="9" customWidth="1"/>
    <col min="9481" max="9481" width="8.5703125" customWidth="1"/>
    <col min="9726" max="9726" width="39.42578125" customWidth="1"/>
    <col min="9727" max="9727" width="10.28515625" bestFit="1" customWidth="1"/>
    <col min="9728" max="9728" width="9" bestFit="1" customWidth="1"/>
    <col min="9729" max="9729" width="10.28515625" bestFit="1" customWidth="1"/>
    <col min="9730" max="9730" width="9" bestFit="1" customWidth="1"/>
    <col min="9731" max="9731" width="11" customWidth="1"/>
    <col min="9732" max="9732" width="11.140625" customWidth="1"/>
    <col min="9733" max="9733" width="12.5703125" customWidth="1"/>
    <col min="9734" max="9734" width="11.85546875" customWidth="1"/>
    <col min="9735" max="9736" width="9" customWidth="1"/>
    <col min="9737" max="9737" width="8.5703125" customWidth="1"/>
    <col min="9982" max="9982" width="39.42578125" customWidth="1"/>
    <col min="9983" max="9983" width="10.28515625" bestFit="1" customWidth="1"/>
    <col min="9984" max="9984" width="9" bestFit="1" customWidth="1"/>
    <col min="9985" max="9985" width="10.28515625" bestFit="1" customWidth="1"/>
    <col min="9986" max="9986" width="9" bestFit="1" customWidth="1"/>
    <col min="9987" max="9987" width="11" customWidth="1"/>
    <col min="9988" max="9988" width="11.140625" customWidth="1"/>
    <col min="9989" max="9989" width="12.5703125" customWidth="1"/>
    <col min="9990" max="9990" width="11.85546875" customWidth="1"/>
    <col min="9991" max="9992" width="9" customWidth="1"/>
    <col min="9993" max="9993" width="8.5703125" customWidth="1"/>
    <col min="10238" max="10238" width="39.42578125" customWidth="1"/>
    <col min="10239" max="10239" width="10.28515625" bestFit="1" customWidth="1"/>
    <col min="10240" max="10240" width="9" bestFit="1" customWidth="1"/>
    <col min="10241" max="10241" width="10.28515625" bestFit="1" customWidth="1"/>
    <col min="10242" max="10242" width="9" bestFit="1" customWidth="1"/>
    <col min="10243" max="10243" width="11" customWidth="1"/>
    <col min="10244" max="10244" width="11.140625" customWidth="1"/>
    <col min="10245" max="10245" width="12.5703125" customWidth="1"/>
    <col min="10246" max="10246" width="11.85546875" customWidth="1"/>
    <col min="10247" max="10248" width="9" customWidth="1"/>
    <col min="10249" max="10249" width="8.5703125" customWidth="1"/>
    <col min="10494" max="10494" width="39.42578125" customWidth="1"/>
    <col min="10495" max="10495" width="10.28515625" bestFit="1" customWidth="1"/>
    <col min="10496" max="10496" width="9" bestFit="1" customWidth="1"/>
    <col min="10497" max="10497" width="10.28515625" bestFit="1" customWidth="1"/>
    <col min="10498" max="10498" width="9" bestFit="1" customWidth="1"/>
    <col min="10499" max="10499" width="11" customWidth="1"/>
    <col min="10500" max="10500" width="11.140625" customWidth="1"/>
    <col min="10501" max="10501" width="12.5703125" customWidth="1"/>
    <col min="10502" max="10502" width="11.85546875" customWidth="1"/>
    <col min="10503" max="10504" width="9" customWidth="1"/>
    <col min="10505" max="10505" width="8.5703125" customWidth="1"/>
    <col min="10750" max="10750" width="39.42578125" customWidth="1"/>
    <col min="10751" max="10751" width="10.28515625" bestFit="1" customWidth="1"/>
    <col min="10752" max="10752" width="9" bestFit="1" customWidth="1"/>
    <col min="10753" max="10753" width="10.28515625" bestFit="1" customWidth="1"/>
    <col min="10754" max="10754" width="9" bestFit="1" customWidth="1"/>
    <col min="10755" max="10755" width="11" customWidth="1"/>
    <col min="10756" max="10756" width="11.140625" customWidth="1"/>
    <col min="10757" max="10757" width="12.5703125" customWidth="1"/>
    <col min="10758" max="10758" width="11.85546875" customWidth="1"/>
    <col min="10759" max="10760" width="9" customWidth="1"/>
    <col min="10761" max="10761" width="8.5703125" customWidth="1"/>
    <col min="11006" max="11006" width="39.42578125" customWidth="1"/>
    <col min="11007" max="11007" width="10.28515625" bestFit="1" customWidth="1"/>
    <col min="11008" max="11008" width="9" bestFit="1" customWidth="1"/>
    <col min="11009" max="11009" width="10.28515625" bestFit="1" customWidth="1"/>
    <col min="11010" max="11010" width="9" bestFit="1" customWidth="1"/>
    <col min="11011" max="11011" width="11" customWidth="1"/>
    <col min="11012" max="11012" width="11.140625" customWidth="1"/>
    <col min="11013" max="11013" width="12.5703125" customWidth="1"/>
    <col min="11014" max="11014" width="11.85546875" customWidth="1"/>
    <col min="11015" max="11016" width="9" customWidth="1"/>
    <col min="11017" max="11017" width="8.5703125" customWidth="1"/>
    <col min="11262" max="11262" width="39.42578125" customWidth="1"/>
    <col min="11263" max="11263" width="10.28515625" bestFit="1" customWidth="1"/>
    <col min="11264" max="11264" width="9" bestFit="1" customWidth="1"/>
    <col min="11265" max="11265" width="10.28515625" bestFit="1" customWidth="1"/>
    <col min="11266" max="11266" width="9" bestFit="1" customWidth="1"/>
    <col min="11267" max="11267" width="11" customWidth="1"/>
    <col min="11268" max="11268" width="11.140625" customWidth="1"/>
    <col min="11269" max="11269" width="12.5703125" customWidth="1"/>
    <col min="11270" max="11270" width="11.85546875" customWidth="1"/>
    <col min="11271" max="11272" width="9" customWidth="1"/>
    <col min="11273" max="11273" width="8.5703125" customWidth="1"/>
    <col min="11518" max="11518" width="39.42578125" customWidth="1"/>
    <col min="11519" max="11519" width="10.28515625" bestFit="1" customWidth="1"/>
    <col min="11520" max="11520" width="9" bestFit="1" customWidth="1"/>
    <col min="11521" max="11521" width="10.28515625" bestFit="1" customWidth="1"/>
    <col min="11522" max="11522" width="9" bestFit="1" customWidth="1"/>
    <col min="11523" max="11523" width="11" customWidth="1"/>
    <col min="11524" max="11524" width="11.140625" customWidth="1"/>
    <col min="11525" max="11525" width="12.5703125" customWidth="1"/>
    <col min="11526" max="11526" width="11.85546875" customWidth="1"/>
    <col min="11527" max="11528" width="9" customWidth="1"/>
    <col min="11529" max="11529" width="8.5703125" customWidth="1"/>
    <col min="11774" max="11774" width="39.42578125" customWidth="1"/>
    <col min="11775" max="11775" width="10.28515625" bestFit="1" customWidth="1"/>
    <col min="11776" max="11776" width="9" bestFit="1" customWidth="1"/>
    <col min="11777" max="11777" width="10.28515625" bestFit="1" customWidth="1"/>
    <col min="11778" max="11778" width="9" bestFit="1" customWidth="1"/>
    <col min="11779" max="11779" width="11" customWidth="1"/>
    <col min="11780" max="11780" width="11.140625" customWidth="1"/>
    <col min="11781" max="11781" width="12.5703125" customWidth="1"/>
    <col min="11782" max="11782" width="11.85546875" customWidth="1"/>
    <col min="11783" max="11784" width="9" customWidth="1"/>
    <col min="11785" max="11785" width="8.5703125" customWidth="1"/>
    <col min="12030" max="12030" width="39.42578125" customWidth="1"/>
    <col min="12031" max="12031" width="10.28515625" bestFit="1" customWidth="1"/>
    <col min="12032" max="12032" width="9" bestFit="1" customWidth="1"/>
    <col min="12033" max="12033" width="10.28515625" bestFit="1" customWidth="1"/>
    <col min="12034" max="12034" width="9" bestFit="1" customWidth="1"/>
    <col min="12035" max="12035" width="11" customWidth="1"/>
    <col min="12036" max="12036" width="11.140625" customWidth="1"/>
    <col min="12037" max="12037" width="12.5703125" customWidth="1"/>
    <col min="12038" max="12038" width="11.85546875" customWidth="1"/>
    <col min="12039" max="12040" width="9" customWidth="1"/>
    <col min="12041" max="12041" width="8.5703125" customWidth="1"/>
    <col min="12286" max="12286" width="39.42578125" customWidth="1"/>
    <col min="12287" max="12287" width="10.28515625" bestFit="1" customWidth="1"/>
    <col min="12288" max="12288" width="9" bestFit="1" customWidth="1"/>
    <col min="12289" max="12289" width="10.28515625" bestFit="1" customWidth="1"/>
    <col min="12290" max="12290" width="9" bestFit="1" customWidth="1"/>
    <col min="12291" max="12291" width="11" customWidth="1"/>
    <col min="12292" max="12292" width="11.140625" customWidth="1"/>
    <col min="12293" max="12293" width="12.5703125" customWidth="1"/>
    <col min="12294" max="12294" width="11.85546875" customWidth="1"/>
    <col min="12295" max="12296" width="9" customWidth="1"/>
    <col min="12297" max="12297" width="8.5703125" customWidth="1"/>
    <col min="12542" max="12542" width="39.42578125" customWidth="1"/>
    <col min="12543" max="12543" width="10.28515625" bestFit="1" customWidth="1"/>
    <col min="12544" max="12544" width="9" bestFit="1" customWidth="1"/>
    <col min="12545" max="12545" width="10.28515625" bestFit="1" customWidth="1"/>
    <col min="12546" max="12546" width="9" bestFit="1" customWidth="1"/>
    <col min="12547" max="12547" width="11" customWidth="1"/>
    <col min="12548" max="12548" width="11.140625" customWidth="1"/>
    <col min="12549" max="12549" width="12.5703125" customWidth="1"/>
    <col min="12550" max="12550" width="11.85546875" customWidth="1"/>
    <col min="12551" max="12552" width="9" customWidth="1"/>
    <col min="12553" max="12553" width="8.5703125" customWidth="1"/>
    <col min="12798" max="12798" width="39.42578125" customWidth="1"/>
    <col min="12799" max="12799" width="10.28515625" bestFit="1" customWidth="1"/>
    <col min="12800" max="12800" width="9" bestFit="1" customWidth="1"/>
    <col min="12801" max="12801" width="10.28515625" bestFit="1" customWidth="1"/>
    <col min="12802" max="12802" width="9" bestFit="1" customWidth="1"/>
    <col min="12803" max="12803" width="11" customWidth="1"/>
    <col min="12804" max="12804" width="11.140625" customWidth="1"/>
    <col min="12805" max="12805" width="12.5703125" customWidth="1"/>
    <col min="12806" max="12806" width="11.85546875" customWidth="1"/>
    <col min="12807" max="12808" width="9" customWidth="1"/>
    <col min="12809" max="12809" width="8.5703125" customWidth="1"/>
    <col min="13054" max="13054" width="39.42578125" customWidth="1"/>
    <col min="13055" max="13055" width="10.28515625" bestFit="1" customWidth="1"/>
    <col min="13056" max="13056" width="9" bestFit="1" customWidth="1"/>
    <col min="13057" max="13057" width="10.28515625" bestFit="1" customWidth="1"/>
    <col min="13058" max="13058" width="9" bestFit="1" customWidth="1"/>
    <col min="13059" max="13059" width="11" customWidth="1"/>
    <col min="13060" max="13060" width="11.140625" customWidth="1"/>
    <col min="13061" max="13061" width="12.5703125" customWidth="1"/>
    <col min="13062" max="13062" width="11.85546875" customWidth="1"/>
    <col min="13063" max="13064" width="9" customWidth="1"/>
    <col min="13065" max="13065" width="8.5703125" customWidth="1"/>
    <col min="13310" max="13310" width="39.42578125" customWidth="1"/>
    <col min="13311" max="13311" width="10.28515625" bestFit="1" customWidth="1"/>
    <col min="13312" max="13312" width="9" bestFit="1" customWidth="1"/>
    <col min="13313" max="13313" width="10.28515625" bestFit="1" customWidth="1"/>
    <col min="13314" max="13314" width="9" bestFit="1" customWidth="1"/>
    <col min="13315" max="13315" width="11" customWidth="1"/>
    <col min="13316" max="13316" width="11.140625" customWidth="1"/>
    <col min="13317" max="13317" width="12.5703125" customWidth="1"/>
    <col min="13318" max="13318" width="11.85546875" customWidth="1"/>
    <col min="13319" max="13320" width="9" customWidth="1"/>
    <col min="13321" max="13321" width="8.5703125" customWidth="1"/>
    <col min="13566" max="13566" width="39.42578125" customWidth="1"/>
    <col min="13567" max="13567" width="10.28515625" bestFit="1" customWidth="1"/>
    <col min="13568" max="13568" width="9" bestFit="1" customWidth="1"/>
    <col min="13569" max="13569" width="10.28515625" bestFit="1" customWidth="1"/>
    <col min="13570" max="13570" width="9" bestFit="1" customWidth="1"/>
    <col min="13571" max="13571" width="11" customWidth="1"/>
    <col min="13572" max="13572" width="11.140625" customWidth="1"/>
    <col min="13573" max="13573" width="12.5703125" customWidth="1"/>
    <col min="13574" max="13574" width="11.85546875" customWidth="1"/>
    <col min="13575" max="13576" width="9" customWidth="1"/>
    <col min="13577" max="13577" width="8.5703125" customWidth="1"/>
    <col min="13822" max="13822" width="39.42578125" customWidth="1"/>
    <col min="13823" max="13823" width="10.28515625" bestFit="1" customWidth="1"/>
    <col min="13824" max="13824" width="9" bestFit="1" customWidth="1"/>
    <col min="13825" max="13825" width="10.28515625" bestFit="1" customWidth="1"/>
    <col min="13826" max="13826" width="9" bestFit="1" customWidth="1"/>
    <col min="13827" max="13827" width="11" customWidth="1"/>
    <col min="13828" max="13828" width="11.140625" customWidth="1"/>
    <col min="13829" max="13829" width="12.5703125" customWidth="1"/>
    <col min="13830" max="13830" width="11.85546875" customWidth="1"/>
    <col min="13831" max="13832" width="9" customWidth="1"/>
    <col min="13833" max="13833" width="8.5703125" customWidth="1"/>
    <col min="14078" max="14078" width="39.42578125" customWidth="1"/>
    <col min="14079" max="14079" width="10.28515625" bestFit="1" customWidth="1"/>
    <col min="14080" max="14080" width="9" bestFit="1" customWidth="1"/>
    <col min="14081" max="14081" width="10.28515625" bestFit="1" customWidth="1"/>
    <col min="14082" max="14082" width="9" bestFit="1" customWidth="1"/>
    <col min="14083" max="14083" width="11" customWidth="1"/>
    <col min="14084" max="14084" width="11.140625" customWidth="1"/>
    <col min="14085" max="14085" width="12.5703125" customWidth="1"/>
    <col min="14086" max="14086" width="11.85546875" customWidth="1"/>
    <col min="14087" max="14088" width="9" customWidth="1"/>
    <col min="14089" max="14089" width="8.5703125" customWidth="1"/>
    <col min="14334" max="14334" width="39.42578125" customWidth="1"/>
    <col min="14335" max="14335" width="10.28515625" bestFit="1" customWidth="1"/>
    <col min="14336" max="14336" width="9" bestFit="1" customWidth="1"/>
    <col min="14337" max="14337" width="10.28515625" bestFit="1" customWidth="1"/>
    <col min="14338" max="14338" width="9" bestFit="1" customWidth="1"/>
    <col min="14339" max="14339" width="11" customWidth="1"/>
    <col min="14340" max="14340" width="11.140625" customWidth="1"/>
    <col min="14341" max="14341" width="12.5703125" customWidth="1"/>
    <col min="14342" max="14342" width="11.85546875" customWidth="1"/>
    <col min="14343" max="14344" width="9" customWidth="1"/>
    <col min="14345" max="14345" width="8.5703125" customWidth="1"/>
    <col min="14590" max="14590" width="39.42578125" customWidth="1"/>
    <col min="14591" max="14591" width="10.28515625" bestFit="1" customWidth="1"/>
    <col min="14592" max="14592" width="9" bestFit="1" customWidth="1"/>
    <col min="14593" max="14593" width="10.28515625" bestFit="1" customWidth="1"/>
    <col min="14594" max="14594" width="9" bestFit="1" customWidth="1"/>
    <col min="14595" max="14595" width="11" customWidth="1"/>
    <col min="14596" max="14596" width="11.140625" customWidth="1"/>
    <col min="14597" max="14597" width="12.5703125" customWidth="1"/>
    <col min="14598" max="14598" width="11.85546875" customWidth="1"/>
    <col min="14599" max="14600" width="9" customWidth="1"/>
    <col min="14601" max="14601" width="8.5703125" customWidth="1"/>
    <col min="14846" max="14846" width="39.42578125" customWidth="1"/>
    <col min="14847" max="14847" width="10.28515625" bestFit="1" customWidth="1"/>
    <col min="14848" max="14848" width="9" bestFit="1" customWidth="1"/>
    <col min="14849" max="14849" width="10.28515625" bestFit="1" customWidth="1"/>
    <col min="14850" max="14850" width="9" bestFit="1" customWidth="1"/>
    <col min="14851" max="14851" width="11" customWidth="1"/>
    <col min="14852" max="14852" width="11.140625" customWidth="1"/>
    <col min="14853" max="14853" width="12.5703125" customWidth="1"/>
    <col min="14854" max="14854" width="11.85546875" customWidth="1"/>
    <col min="14855" max="14856" width="9" customWidth="1"/>
    <col min="14857" max="14857" width="8.5703125" customWidth="1"/>
    <col min="15102" max="15102" width="39.42578125" customWidth="1"/>
    <col min="15103" max="15103" width="10.28515625" bestFit="1" customWidth="1"/>
    <col min="15104" max="15104" width="9" bestFit="1" customWidth="1"/>
    <col min="15105" max="15105" width="10.28515625" bestFit="1" customWidth="1"/>
    <col min="15106" max="15106" width="9" bestFit="1" customWidth="1"/>
    <col min="15107" max="15107" width="11" customWidth="1"/>
    <col min="15108" max="15108" width="11.140625" customWidth="1"/>
    <col min="15109" max="15109" width="12.5703125" customWidth="1"/>
    <col min="15110" max="15110" width="11.85546875" customWidth="1"/>
    <col min="15111" max="15112" width="9" customWidth="1"/>
    <col min="15113" max="15113" width="8.5703125" customWidth="1"/>
    <col min="15358" max="15358" width="39.42578125" customWidth="1"/>
    <col min="15359" max="15359" width="10.28515625" bestFit="1" customWidth="1"/>
    <col min="15360" max="15360" width="9" bestFit="1" customWidth="1"/>
    <col min="15361" max="15361" width="10.28515625" bestFit="1" customWidth="1"/>
    <col min="15362" max="15362" width="9" bestFit="1" customWidth="1"/>
    <col min="15363" max="15363" width="11" customWidth="1"/>
    <col min="15364" max="15364" width="11.140625" customWidth="1"/>
    <col min="15365" max="15365" width="12.5703125" customWidth="1"/>
    <col min="15366" max="15366" width="11.85546875" customWidth="1"/>
    <col min="15367" max="15368" width="9" customWidth="1"/>
    <col min="15369" max="15369" width="8.5703125" customWidth="1"/>
    <col min="15614" max="15614" width="39.42578125" customWidth="1"/>
    <col min="15615" max="15615" width="10.28515625" bestFit="1" customWidth="1"/>
    <col min="15616" max="15616" width="9" bestFit="1" customWidth="1"/>
    <col min="15617" max="15617" width="10.28515625" bestFit="1" customWidth="1"/>
    <col min="15618" max="15618" width="9" bestFit="1" customWidth="1"/>
    <col min="15619" max="15619" width="11" customWidth="1"/>
    <col min="15620" max="15620" width="11.140625" customWidth="1"/>
    <col min="15621" max="15621" width="12.5703125" customWidth="1"/>
    <col min="15622" max="15622" width="11.85546875" customWidth="1"/>
    <col min="15623" max="15624" width="9" customWidth="1"/>
    <col min="15625" max="15625" width="8.5703125" customWidth="1"/>
    <col min="15870" max="15870" width="39.42578125" customWidth="1"/>
    <col min="15871" max="15871" width="10.28515625" bestFit="1" customWidth="1"/>
    <col min="15872" max="15872" width="9" bestFit="1" customWidth="1"/>
    <col min="15873" max="15873" width="10.28515625" bestFit="1" customWidth="1"/>
    <col min="15874" max="15874" width="9" bestFit="1" customWidth="1"/>
    <col min="15875" max="15875" width="11" customWidth="1"/>
    <col min="15876" max="15876" width="11.140625" customWidth="1"/>
    <col min="15877" max="15877" width="12.5703125" customWidth="1"/>
    <col min="15878" max="15878" width="11.85546875" customWidth="1"/>
    <col min="15879" max="15880" width="9" customWidth="1"/>
    <col min="15881" max="15881" width="8.5703125" customWidth="1"/>
    <col min="16126" max="16126" width="39.42578125" customWidth="1"/>
    <col min="16127" max="16127" width="10.28515625" bestFit="1" customWidth="1"/>
    <col min="16128" max="16128" width="9" bestFit="1" customWidth="1"/>
    <col min="16129" max="16129" width="10.28515625" bestFit="1" customWidth="1"/>
    <col min="16130" max="16130" width="9" bestFit="1" customWidth="1"/>
    <col min="16131" max="16131" width="11" customWidth="1"/>
    <col min="16132" max="16132" width="11.140625" customWidth="1"/>
    <col min="16133" max="16133" width="12.5703125" customWidth="1"/>
    <col min="16134" max="16134" width="11.85546875" customWidth="1"/>
    <col min="16135" max="16136" width="9" customWidth="1"/>
    <col min="16137" max="16137" width="8.5703125" customWidth="1"/>
  </cols>
  <sheetData>
    <row r="1" spans="1:13">
      <c r="A1" s="1363" t="s">
        <v>459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</row>
    <row r="2" spans="1:13">
      <c r="A2" s="1377" t="s">
        <v>442</v>
      </c>
      <c r="B2" s="1377"/>
      <c r="C2" s="1377"/>
      <c r="D2" s="1377"/>
      <c r="E2" s="1377"/>
      <c r="F2" s="1377"/>
      <c r="G2" s="1377"/>
      <c r="H2" s="1377"/>
      <c r="I2" s="1377"/>
      <c r="J2" s="1377"/>
      <c r="K2" s="1377"/>
      <c r="L2" s="1377"/>
    </row>
    <row r="3" spans="1:13" ht="13.5" thickBot="1">
      <c r="A3" s="1387" t="s">
        <v>572</v>
      </c>
      <c r="B3" s="1387"/>
      <c r="C3" s="1387"/>
      <c r="D3" s="1387"/>
      <c r="E3" s="1387"/>
      <c r="F3" s="1387"/>
      <c r="G3" s="1387"/>
      <c r="H3" s="1387"/>
      <c r="I3" s="1387"/>
      <c r="J3" s="1387"/>
      <c r="K3" s="1387"/>
      <c r="L3" s="1387"/>
    </row>
    <row r="4" spans="1:13" ht="19.5" customHeight="1" thickBot="1">
      <c r="A4" s="1378" t="s">
        <v>371</v>
      </c>
      <c r="B4" s="1371" t="s">
        <v>372</v>
      </c>
      <c r="C4" s="1381"/>
      <c r="D4" s="1381"/>
      <c r="E4" s="1372"/>
      <c r="F4" s="1382" t="s">
        <v>402</v>
      </c>
      <c r="G4" s="1382" t="s">
        <v>373</v>
      </c>
      <c r="H4" s="1382" t="s">
        <v>374</v>
      </c>
      <c r="I4" s="1382" t="s">
        <v>375</v>
      </c>
      <c r="J4" s="1382" t="s">
        <v>376</v>
      </c>
      <c r="K4" s="1385" t="s">
        <v>399</v>
      </c>
      <c r="L4" s="1386"/>
    </row>
    <row r="5" spans="1:13" ht="19.5" customHeight="1" thickBot="1">
      <c r="A5" s="1379"/>
      <c r="B5" s="1371" t="s">
        <v>377</v>
      </c>
      <c r="C5" s="1372"/>
      <c r="D5" s="1371" t="s">
        <v>378</v>
      </c>
      <c r="E5" s="1372"/>
      <c r="F5" s="1383"/>
      <c r="G5" s="1383"/>
      <c r="H5" s="1383"/>
      <c r="I5" s="1383"/>
      <c r="J5" s="1383"/>
      <c r="K5" s="1373" t="s">
        <v>379</v>
      </c>
      <c r="L5" s="1375" t="s">
        <v>380</v>
      </c>
    </row>
    <row r="6" spans="1:13" ht="15" customHeight="1" thickBot="1">
      <c r="A6" s="1380"/>
      <c r="B6" s="730" t="s">
        <v>381</v>
      </c>
      <c r="C6" s="730" t="s">
        <v>382</v>
      </c>
      <c r="D6" s="730" t="s">
        <v>381</v>
      </c>
      <c r="E6" s="730" t="s">
        <v>382</v>
      </c>
      <c r="F6" s="1384"/>
      <c r="G6" s="1384"/>
      <c r="H6" s="1384"/>
      <c r="I6" s="1384"/>
      <c r="J6" s="1384"/>
      <c r="K6" s="1374"/>
      <c r="L6" s="1376"/>
    </row>
    <row r="7" spans="1:13" ht="15" customHeight="1" thickBot="1">
      <c r="A7" s="612" t="s">
        <v>401</v>
      </c>
      <c r="B7" s="613">
        <f>(B14+B25+B27+B29+B31)/5</f>
        <v>8628.6940526802555</v>
      </c>
      <c r="C7" s="613">
        <f>(C14+C25+C27+C29+C31)/5</f>
        <v>363.7218031613408</v>
      </c>
      <c r="D7" s="613">
        <f>(D14+D25+D27+D29+D31)/5</f>
        <v>10662.385455096835</v>
      </c>
      <c r="E7" s="613">
        <f>(E14+E25+E27+E29+E31)/5</f>
        <v>437.19762923111193</v>
      </c>
      <c r="F7" s="609">
        <f>F12+F14+F25+F27+F29+F31</f>
        <v>1387351</v>
      </c>
      <c r="G7" s="586">
        <v>1497293</v>
      </c>
      <c r="H7" s="611">
        <f>(G7/$G$7)*100</f>
        <v>100</v>
      </c>
      <c r="I7" s="587">
        <f>(F7/G7)*100</f>
        <v>92.65728217523224</v>
      </c>
      <c r="J7" s="614">
        <f>Cotações!F11</f>
        <v>491.07</v>
      </c>
      <c r="K7" s="617">
        <f>(J7/C7-1)*100</f>
        <v>35.012527632875965</v>
      </c>
      <c r="L7" s="618">
        <f>(J7/E7-1)*100</f>
        <v>12.322201029230651</v>
      </c>
    </row>
    <row r="8" spans="1:13" ht="12.75" customHeight="1">
      <c r="A8" s="635" t="s">
        <v>383</v>
      </c>
      <c r="B8" s="627">
        <v>7381.7209588999913</v>
      </c>
      <c r="C8" s="627">
        <f>B8/50</f>
        <v>147.63441917799983</v>
      </c>
      <c r="D8" s="627">
        <v>10165.704286997299</v>
      </c>
      <c r="E8" s="685">
        <f>D8/50</f>
        <v>203.31408573994599</v>
      </c>
      <c r="F8" s="686">
        <v>9129</v>
      </c>
      <c r="G8" s="686">
        <v>9129</v>
      </c>
      <c r="H8" s="687">
        <f>(G8/$G$7)*100</f>
        <v>0.60970030581856727</v>
      </c>
      <c r="I8" s="687">
        <f>(F8/G8)*100</f>
        <v>100</v>
      </c>
      <c r="J8" s="688">
        <f>J7</f>
        <v>491.07</v>
      </c>
      <c r="K8" s="688">
        <f>(J8/C8-1)*100</f>
        <v>232.62568629604377</v>
      </c>
      <c r="L8" s="689">
        <f>(J8/E8-1)*100</f>
        <v>141.53269962225613</v>
      </c>
    </row>
    <row r="9" spans="1:13" ht="12.75" customHeight="1">
      <c r="A9" s="690" t="s">
        <v>396</v>
      </c>
      <c r="B9" s="628"/>
      <c r="C9" s="627"/>
      <c r="D9" s="627"/>
      <c r="E9" s="628"/>
      <c r="F9" s="641"/>
      <c r="G9" s="642"/>
      <c r="H9" s="691"/>
      <c r="I9" s="645"/>
      <c r="J9" s="692"/>
      <c r="K9" s="692"/>
      <c r="L9" s="634"/>
    </row>
    <row r="10" spans="1:13" ht="12.75" customHeight="1">
      <c r="A10" s="690" t="s">
        <v>395</v>
      </c>
      <c r="B10" s="627"/>
      <c r="C10" s="627"/>
      <c r="D10" s="627"/>
      <c r="E10" s="627"/>
      <c r="F10" s="642"/>
      <c r="G10" s="642"/>
      <c r="H10" s="691"/>
      <c r="I10" s="645"/>
      <c r="J10" s="692"/>
      <c r="K10" s="692"/>
      <c r="L10" s="634"/>
    </row>
    <row r="11" spans="1:13" ht="12.75" customHeight="1">
      <c r="A11" s="690" t="s">
        <v>403</v>
      </c>
      <c r="B11" s="628"/>
      <c r="C11" s="627"/>
      <c r="D11" s="627"/>
      <c r="E11" s="627"/>
      <c r="F11" s="642"/>
      <c r="G11" s="642"/>
      <c r="H11" s="691"/>
      <c r="I11" s="645"/>
      <c r="J11" s="692"/>
      <c r="K11" s="692"/>
      <c r="L11" s="634"/>
    </row>
    <row r="12" spans="1:13" ht="15" customHeight="1" thickBot="1">
      <c r="A12" s="693" t="s">
        <v>404</v>
      </c>
      <c r="B12" s="694"/>
      <c r="C12" s="694"/>
      <c r="D12" s="694"/>
      <c r="E12" s="694"/>
      <c r="F12" s="695">
        <v>9129</v>
      </c>
      <c r="G12" s="695">
        <f>143939-35228</f>
        <v>108711</v>
      </c>
      <c r="H12" s="681">
        <f>(G12/$G$7)*100</f>
        <v>7.2605027873635954</v>
      </c>
      <c r="I12" s="681">
        <f>(F12/G12)*100</f>
        <v>8.3974942738085385</v>
      </c>
      <c r="J12" s="683">
        <f>J7</f>
        <v>491.07</v>
      </c>
      <c r="K12" s="683"/>
      <c r="L12" s="684"/>
      <c r="M12" s="4"/>
    </row>
    <row r="13" spans="1:13" ht="12.75" customHeight="1">
      <c r="A13" s="697" t="s">
        <v>384</v>
      </c>
      <c r="B13" s="698">
        <v>9865.0274836317258</v>
      </c>
      <c r="C13" s="699">
        <f>B13/55</f>
        <v>179.36413606603136</v>
      </c>
      <c r="D13" s="699">
        <v>14725.536103803714</v>
      </c>
      <c r="E13" s="699">
        <f>D13/55</f>
        <v>267.7370200691584</v>
      </c>
      <c r="F13" s="700"/>
      <c r="G13" s="700"/>
      <c r="H13" s="701"/>
      <c r="I13" s="701"/>
      <c r="J13" s="702"/>
      <c r="K13" s="702"/>
      <c r="L13" s="703"/>
      <c r="M13" s="4"/>
    </row>
    <row r="14" spans="1:13" ht="15" customHeight="1" thickBot="1">
      <c r="A14" s="704" t="s">
        <v>397</v>
      </c>
      <c r="B14" s="705">
        <f>B13</f>
        <v>9865.0274836317258</v>
      </c>
      <c r="C14" s="705">
        <f>B14/36.81</f>
        <v>267.99857331246199</v>
      </c>
      <c r="D14" s="705">
        <f>D13</f>
        <v>14725.536103803714</v>
      </c>
      <c r="E14" s="705">
        <f>D14/36.81</f>
        <v>400.04173061134782</v>
      </c>
      <c r="F14" s="706">
        <v>6175</v>
      </c>
      <c r="G14" s="706">
        <v>6175</v>
      </c>
      <c r="H14" s="707">
        <f>(G14/$G$7)*100</f>
        <v>0.41241093092667902</v>
      </c>
      <c r="I14" s="708">
        <f>(F14/G14)*100</f>
        <v>100</v>
      </c>
      <c r="J14" s="709">
        <f>J7</f>
        <v>491.07</v>
      </c>
      <c r="K14" s="710">
        <f>(J14/C14-1)*100</f>
        <v>83.236050076825222</v>
      </c>
      <c r="L14" s="711">
        <f>(J14/E14-1)*100</f>
        <v>22.754693428993477</v>
      </c>
      <c r="M14" s="4"/>
    </row>
    <row r="15" spans="1:13" ht="12.75" customHeight="1">
      <c r="A15" s="619" t="s">
        <v>507</v>
      </c>
      <c r="B15" s="620">
        <f>(SUM(B16:B20)/5)</f>
        <v>9123.7190911086036</v>
      </c>
      <c r="C15" s="620">
        <f>B15/21.6</f>
        <v>422.39440236613905</v>
      </c>
      <c r="D15" s="620">
        <f>(SUM(D16:D20)/5)</f>
        <v>10627.452445005705</v>
      </c>
      <c r="E15" s="620">
        <f>D15/21.6</f>
        <v>492.01168726878262</v>
      </c>
      <c r="F15" s="621">
        <v>474611</v>
      </c>
      <c r="G15" s="621">
        <v>474611</v>
      </c>
      <c r="H15" s="622">
        <f>(G15/$G$7)*100</f>
        <v>31.697937544622196</v>
      </c>
      <c r="I15" s="622">
        <f>(G15/F25)*100</f>
        <v>49.05763156153872</v>
      </c>
      <c r="J15" s="623">
        <f>J7</f>
        <v>491.07</v>
      </c>
      <c r="K15" s="624">
        <f>(J15/C15-1)*100</f>
        <v>16.258642929252588</v>
      </c>
      <c r="L15" s="625">
        <f>(J15/E15-1)*100</f>
        <v>-0.19139530485750011</v>
      </c>
      <c r="M15" s="4"/>
    </row>
    <row r="16" spans="1:13" ht="24.75">
      <c r="A16" s="626" t="s">
        <v>409</v>
      </c>
      <c r="B16" s="627">
        <v>8277.2707793039899</v>
      </c>
      <c r="C16" s="627">
        <f>B16/30</f>
        <v>275.90902597679968</v>
      </c>
      <c r="D16" s="627">
        <v>10136.96191223457</v>
      </c>
      <c r="E16" s="628">
        <f>D16/30</f>
        <v>337.89873040781902</v>
      </c>
      <c r="F16" s="629"/>
      <c r="G16" s="630"/>
      <c r="H16" s="631"/>
      <c r="I16" s="632"/>
      <c r="J16" s="633"/>
      <c r="K16" s="633"/>
      <c r="L16" s="634"/>
      <c r="M16" s="4"/>
    </row>
    <row r="17" spans="1:13" ht="25.5" customHeight="1">
      <c r="A17" s="635" t="s">
        <v>410</v>
      </c>
      <c r="B17" s="627">
        <v>9371.9731178054026</v>
      </c>
      <c r="C17" s="627">
        <f>B17/25</f>
        <v>374.87892471221608</v>
      </c>
      <c r="D17" s="627">
        <v>11239.60232463393</v>
      </c>
      <c r="E17" s="627">
        <f>D17/25</f>
        <v>449.58409298535719</v>
      </c>
      <c r="F17" s="636"/>
      <c r="G17" s="637"/>
      <c r="H17" s="638"/>
      <c r="I17" s="632"/>
      <c r="J17" s="639"/>
      <c r="K17" s="640"/>
      <c r="L17" s="634"/>
      <c r="M17" s="4"/>
    </row>
    <row r="18" spans="1:13" ht="12.75" customHeight="1">
      <c r="A18" s="626" t="s">
        <v>411</v>
      </c>
      <c r="B18" s="627">
        <v>10104.812174317749</v>
      </c>
      <c r="C18" s="627">
        <f>B18/30</f>
        <v>336.8270724772583</v>
      </c>
      <c r="D18" s="627">
        <v>11391.086768953783</v>
      </c>
      <c r="E18" s="628">
        <f>D18/30</f>
        <v>379.7028922984594</v>
      </c>
      <c r="F18" s="641"/>
      <c r="G18" s="642"/>
      <c r="H18" s="643"/>
      <c r="I18" s="644"/>
      <c r="J18" s="643"/>
      <c r="K18" s="643"/>
      <c r="L18" s="634"/>
      <c r="M18" s="4"/>
    </row>
    <row r="19" spans="1:13" ht="12.75" customHeight="1">
      <c r="A19" s="626" t="s">
        <v>412</v>
      </c>
      <c r="B19" s="627">
        <v>7865.6937814894081</v>
      </c>
      <c r="C19" s="627">
        <f>B19/30</f>
        <v>262.1897927163136</v>
      </c>
      <c r="D19" s="627">
        <v>9096.1008591328555</v>
      </c>
      <c r="E19" s="628">
        <f>D19/30</f>
        <v>303.20336197109521</v>
      </c>
      <c r="F19" s="641"/>
      <c r="G19" s="642"/>
      <c r="H19" s="643"/>
      <c r="I19" s="645"/>
      <c r="J19" s="646"/>
      <c r="K19" s="646"/>
      <c r="L19" s="634"/>
      <c r="M19" s="4"/>
    </row>
    <row r="20" spans="1:13" ht="12.75" customHeight="1">
      <c r="A20" s="647" t="s">
        <v>413</v>
      </c>
      <c r="B20" s="648">
        <v>9998.8456026264757</v>
      </c>
      <c r="C20" s="648">
        <f>B20/30</f>
        <v>333.29485342088253</v>
      </c>
      <c r="D20" s="648">
        <v>11273.510360073386</v>
      </c>
      <c r="E20" s="648">
        <f>D20/30</f>
        <v>375.78367866911287</v>
      </c>
      <c r="F20" s="649"/>
      <c r="G20" s="649"/>
      <c r="H20" s="650"/>
      <c r="I20" s="651"/>
      <c r="J20" s="650"/>
      <c r="K20" s="650"/>
      <c r="L20" s="652"/>
      <c r="M20" s="4"/>
    </row>
    <row r="21" spans="1:13" ht="12.75" customHeight="1">
      <c r="A21" s="619" t="s">
        <v>508</v>
      </c>
      <c r="B21" s="620">
        <f>(SUM(B16:B20))/5</f>
        <v>9123.7190911086036</v>
      </c>
      <c r="C21" s="620">
        <f>B21/24.8</f>
        <v>367.89189883502434</v>
      </c>
      <c r="D21" s="620">
        <f>(SUM(D16:D20))/5</f>
        <v>10627.452445005705</v>
      </c>
      <c r="E21" s="620">
        <f>D21/24.8</f>
        <v>428.52630826635908</v>
      </c>
      <c r="F21" s="621">
        <v>170634</v>
      </c>
      <c r="G21" s="621">
        <v>170634</v>
      </c>
      <c r="H21" s="622">
        <f>(G21/$G$7)*100</f>
        <v>11.396166281415862</v>
      </c>
      <c r="I21" s="622">
        <f>(G21/F25)*100</f>
        <v>17.637391261204645</v>
      </c>
      <c r="J21" s="653">
        <f>J7</f>
        <v>491.07</v>
      </c>
      <c r="K21" s="624">
        <f>(J21/C21-1)*100</f>
        <v>33.48214558543814</v>
      </c>
      <c r="L21" s="625">
        <f>(J21/E21-1)*100</f>
        <v>14.595064649978418</v>
      </c>
      <c r="M21" s="4"/>
    </row>
    <row r="22" spans="1:13">
      <c r="A22" s="654" t="s">
        <v>414</v>
      </c>
      <c r="B22" s="655">
        <v>8294.1817208746215</v>
      </c>
      <c r="C22" s="655">
        <f>B22/30</f>
        <v>276.47272402915405</v>
      </c>
      <c r="D22" s="655">
        <v>9004.6177638512982</v>
      </c>
      <c r="E22" s="656">
        <f>D22/30</f>
        <v>300.15392546170995</v>
      </c>
      <c r="F22" s="657"/>
      <c r="G22" s="658"/>
      <c r="H22" s="659"/>
      <c r="I22" s="660"/>
      <c r="J22" s="661"/>
      <c r="K22" s="661"/>
      <c r="L22" s="662"/>
      <c r="M22" s="4"/>
    </row>
    <row r="23" spans="1:13" ht="12.75" customHeight="1">
      <c r="A23" s="619" t="s">
        <v>509</v>
      </c>
      <c r="B23" s="620">
        <f>B24</f>
        <v>7179.9342944174532</v>
      </c>
      <c r="C23" s="620">
        <f>B23/23.25</f>
        <v>308.81437825451411</v>
      </c>
      <c r="D23" s="620">
        <f>D24</f>
        <v>8428.9819157536185</v>
      </c>
      <c r="E23" s="620">
        <f>D23/23.25</f>
        <v>362.53685659155349</v>
      </c>
      <c r="F23" s="621">
        <v>288336</v>
      </c>
      <c r="G23" s="621">
        <v>288336</v>
      </c>
      <c r="H23" s="622">
        <f>(G23/$G$7)*100</f>
        <v>19.257152741647758</v>
      </c>
      <c r="I23" s="622">
        <f>(G23/F25)*100</f>
        <v>29.803525948466909</v>
      </c>
      <c r="J23" s="623">
        <f>J7</f>
        <v>491.07</v>
      </c>
      <c r="K23" s="624">
        <f>(J23/C23-1)*100</f>
        <v>59.017854924901549</v>
      </c>
      <c r="L23" s="625">
        <f>(J23/E23-1)*100</f>
        <v>35.453814163026287</v>
      </c>
      <c r="M23" s="4"/>
    </row>
    <row r="24" spans="1:13" s="521" customFormat="1" ht="12.75" customHeight="1">
      <c r="A24" s="647" t="s">
        <v>415</v>
      </c>
      <c r="B24" s="648">
        <v>7179.9342944174532</v>
      </c>
      <c r="C24" s="648">
        <f>B24/24</f>
        <v>299.16392893406055</v>
      </c>
      <c r="D24" s="648">
        <v>8428.9819157536185</v>
      </c>
      <c r="E24" s="663">
        <f>D24/24</f>
        <v>351.20757982306742</v>
      </c>
      <c r="F24" s="664"/>
      <c r="G24" s="649"/>
      <c r="H24" s="651"/>
      <c r="I24" s="651"/>
      <c r="J24" s="650"/>
      <c r="K24" s="650"/>
      <c r="L24" s="652"/>
      <c r="M24" s="598"/>
    </row>
    <row r="25" spans="1:13" ht="15" customHeight="1" thickBot="1">
      <c r="A25" s="665" t="s">
        <v>405</v>
      </c>
      <c r="B25" s="666">
        <f>(B15+B21+B23)/3</f>
        <v>8475.7908255448874</v>
      </c>
      <c r="C25" s="666">
        <f>B25/22.59</f>
        <v>375.20101042695387</v>
      </c>
      <c r="D25" s="666">
        <f>(D15+D21+D23)/3</f>
        <v>9894.6289352550102</v>
      </c>
      <c r="E25" s="666">
        <f>D25/22.59</f>
        <v>438.0092490152727</v>
      </c>
      <c r="F25" s="667">
        <v>967456</v>
      </c>
      <c r="G25" s="667">
        <v>967456</v>
      </c>
      <c r="H25" s="668">
        <f>H15+H23+H21</f>
        <v>62.351256567685809</v>
      </c>
      <c r="I25" s="669">
        <f>I15+I21+I23</f>
        <v>96.498548771210281</v>
      </c>
      <c r="J25" s="670">
        <f>J7</f>
        <v>491.07</v>
      </c>
      <c r="K25" s="671">
        <f>(J25/C25-1)*100</f>
        <v>30.881843692583576</v>
      </c>
      <c r="L25" s="672">
        <f>(J25/E25-1)*100</f>
        <v>12.114070902387986</v>
      </c>
      <c r="M25" s="4"/>
    </row>
    <row r="26" spans="1:13" ht="12.75" customHeight="1">
      <c r="A26" s="712" t="s">
        <v>385</v>
      </c>
      <c r="B26" s="713">
        <v>9357.8097233674871</v>
      </c>
      <c r="C26" s="713">
        <f>B26/30</f>
        <v>311.92699077891626</v>
      </c>
      <c r="D26" s="713">
        <v>10830.580755063993</v>
      </c>
      <c r="E26" s="714">
        <f>D26/30</f>
        <v>361.01935850213312</v>
      </c>
      <c r="F26" s="715"/>
      <c r="G26" s="700"/>
      <c r="H26" s="701"/>
      <c r="I26" s="595"/>
      <c r="J26" s="716"/>
      <c r="K26" s="716"/>
      <c r="L26" s="703"/>
      <c r="M26" s="4"/>
    </row>
    <row r="27" spans="1:13" ht="15" customHeight="1" thickBot="1">
      <c r="A27" s="704" t="s">
        <v>398</v>
      </c>
      <c r="B27" s="717">
        <f>B26</f>
        <v>9357.8097233674871</v>
      </c>
      <c r="C27" s="717">
        <f>B27/27.19</f>
        <v>344.1636529373846</v>
      </c>
      <c r="D27" s="717">
        <f>D26</f>
        <v>10830.580755063993</v>
      </c>
      <c r="E27" s="717">
        <f>D27/27.19</f>
        <v>398.32956068642858</v>
      </c>
      <c r="F27" s="706">
        <v>44500</v>
      </c>
      <c r="G27" s="706">
        <v>44500</v>
      </c>
      <c r="H27" s="707">
        <f>(G27/$G$7)*100</f>
        <v>2.9720301904837596</v>
      </c>
      <c r="I27" s="708">
        <f>(G27/F27)*100</f>
        <v>100</v>
      </c>
      <c r="J27" s="709">
        <f>J7</f>
        <v>491.07</v>
      </c>
      <c r="K27" s="710">
        <f>(J27/C27-1)*100</f>
        <v>42.685026675185476</v>
      </c>
      <c r="L27" s="711">
        <f>(J27/E27-1)*100</f>
        <v>23.282339165025757</v>
      </c>
      <c r="M27" s="4"/>
    </row>
    <row r="28" spans="1:13" ht="12.75" customHeight="1">
      <c r="A28" s="673" t="s">
        <v>386</v>
      </c>
      <c r="B28" s="674">
        <v>8384.41</v>
      </c>
      <c r="C28" s="674">
        <f>B28/30</f>
        <v>279.48033333333331</v>
      </c>
      <c r="D28" s="674">
        <v>9748.1299999999992</v>
      </c>
      <c r="E28" s="674">
        <f>D28/30</f>
        <v>324.93766666666664</v>
      </c>
      <c r="F28" s="675"/>
      <c r="G28" s="675"/>
      <c r="H28" s="676"/>
      <c r="I28" s="651"/>
      <c r="J28" s="677"/>
      <c r="K28" s="677"/>
      <c r="L28" s="678"/>
      <c r="M28" s="4"/>
    </row>
    <row r="29" spans="1:13" ht="15" customHeight="1" thickBot="1">
      <c r="A29" s="665" t="s">
        <v>387</v>
      </c>
      <c r="B29" s="679">
        <f>B28</f>
        <v>8384.41</v>
      </c>
      <c r="C29" s="679">
        <f>B29/18.85</f>
        <v>444.79628647214849</v>
      </c>
      <c r="D29" s="679">
        <f>D28</f>
        <v>9748.1299999999992</v>
      </c>
      <c r="E29" s="679">
        <f>D29/18.85</f>
        <v>517.14217506631292</v>
      </c>
      <c r="F29" s="667">
        <v>203490</v>
      </c>
      <c r="G29" s="667">
        <v>203490</v>
      </c>
      <c r="H29" s="680">
        <f>(G29/$G$7)*100</f>
        <v>13.590526369922253</v>
      </c>
      <c r="I29" s="681">
        <f>(G29/F29)*100</f>
        <v>100</v>
      </c>
      <c r="J29" s="682">
        <f>J7</f>
        <v>491.07</v>
      </c>
      <c r="K29" s="683">
        <f>(J29/C29-1)*100</f>
        <v>10.403349788476479</v>
      </c>
      <c r="L29" s="684">
        <f>(J29/E29-1)*100</f>
        <v>-5.0415874634416884</v>
      </c>
      <c r="M29" s="4"/>
    </row>
    <row r="30" spans="1:13" ht="15" customHeight="1">
      <c r="A30" s="712" t="s">
        <v>388</v>
      </c>
      <c r="B30" s="713">
        <v>7060.4322308571891</v>
      </c>
      <c r="C30" s="713">
        <f>B30/20</f>
        <v>353.02161154285943</v>
      </c>
      <c r="D30" s="713">
        <v>8113.0514813614627</v>
      </c>
      <c r="E30" s="714">
        <f>D30/20</f>
        <v>405.65257406807314</v>
      </c>
      <c r="F30" s="715"/>
      <c r="G30" s="715"/>
      <c r="H30" s="701"/>
      <c r="I30" s="595"/>
      <c r="J30" s="716"/>
      <c r="K30" s="716"/>
      <c r="L30" s="703"/>
      <c r="M30" s="4"/>
    </row>
    <row r="31" spans="1:13" ht="15" customHeight="1" thickBot="1">
      <c r="A31" s="704" t="s">
        <v>406</v>
      </c>
      <c r="B31" s="717">
        <f>B30</f>
        <v>7060.4322308571891</v>
      </c>
      <c r="C31" s="717">
        <f>B31/18.27</f>
        <v>386.44949265775529</v>
      </c>
      <c r="D31" s="717">
        <f>D30</f>
        <v>8113.0514813614627</v>
      </c>
      <c r="E31" s="717">
        <f>D31/18.76</f>
        <v>432.46543077619737</v>
      </c>
      <c r="F31" s="706">
        <v>156601</v>
      </c>
      <c r="G31" s="706">
        <v>156601</v>
      </c>
      <c r="H31" s="707">
        <f>(G31/$G$7)*100</f>
        <v>10.458941569886456</v>
      </c>
      <c r="I31" s="708">
        <f>(G31/F31)*100</f>
        <v>100</v>
      </c>
      <c r="J31" s="709">
        <f>J7</f>
        <v>491.07</v>
      </c>
      <c r="K31" s="710">
        <f>(J31/C31-1)*100</f>
        <v>27.072233067956965</v>
      </c>
      <c r="L31" s="711">
        <f>(J31/E31-1)*100</f>
        <v>13.55127255341959</v>
      </c>
      <c r="M31" s="4"/>
    </row>
    <row r="32" spans="1:13" ht="15" customHeight="1" thickBot="1">
      <c r="A32" s="607" t="s">
        <v>400</v>
      </c>
      <c r="B32" s="608">
        <f>(B36+B38)/2</f>
        <v>7677.3979355275942</v>
      </c>
      <c r="C32" s="608">
        <f>(C36+C38)/2</f>
        <v>300.31386052933658</v>
      </c>
      <c r="D32" s="608">
        <f>(D36+D38)/2</f>
        <v>9095.8721006450378</v>
      </c>
      <c r="E32" s="608">
        <f>(E36+E38)/2</f>
        <v>371.77615956714021</v>
      </c>
      <c r="F32" s="609">
        <f>F36+F38</f>
        <v>361358</v>
      </c>
      <c r="G32" s="586">
        <v>432852</v>
      </c>
      <c r="H32" s="610">
        <f>(G32/$G$32)*100</f>
        <v>100</v>
      </c>
      <c r="I32" s="611">
        <f>(F32/G32)*100</f>
        <v>83.483038082300638</v>
      </c>
      <c r="J32" s="608">
        <f>Cotações!I10</f>
        <v>393.61</v>
      </c>
      <c r="K32" s="600">
        <f>(J32/C32-1)*100</f>
        <v>31.066211631464036</v>
      </c>
      <c r="L32" s="601">
        <f>(J32/E32-1)*100</f>
        <v>5.8728457624289243</v>
      </c>
      <c r="M32" s="4"/>
    </row>
    <row r="33" spans="1:13" ht="12.75" customHeight="1">
      <c r="A33" s="615" t="s">
        <v>389</v>
      </c>
      <c r="B33" s="719">
        <v>3960.7204006180432</v>
      </c>
      <c r="C33" s="719">
        <f>B33/25</f>
        <v>158.42881602472173</v>
      </c>
      <c r="D33" s="719">
        <v>4744.4537254336228</v>
      </c>
      <c r="E33" s="720">
        <f>D33/25</f>
        <v>189.7781490173449</v>
      </c>
      <c r="F33" s="588"/>
      <c r="G33" s="588"/>
      <c r="H33" s="721"/>
      <c r="I33" s="592"/>
      <c r="J33" s="589"/>
      <c r="K33" s="589"/>
      <c r="L33" s="722"/>
      <c r="M33" s="4"/>
    </row>
    <row r="34" spans="1:13" ht="12.75" customHeight="1">
      <c r="A34" s="615" t="s">
        <v>390</v>
      </c>
      <c r="B34" s="719">
        <v>3449.8483415950432</v>
      </c>
      <c r="C34" s="719">
        <f>B34/20</f>
        <v>172.49241707975216</v>
      </c>
      <c r="D34" s="719">
        <v>4081.8132032870703</v>
      </c>
      <c r="E34" s="720">
        <f>D34/20</f>
        <v>204.09066016435352</v>
      </c>
      <c r="F34" s="588"/>
      <c r="G34" s="588"/>
      <c r="H34" s="721"/>
      <c r="I34" s="592"/>
      <c r="J34" s="590"/>
      <c r="K34" s="590"/>
      <c r="L34" s="591"/>
      <c r="M34" s="4"/>
    </row>
    <row r="35" spans="1:13" ht="12.75" customHeight="1">
      <c r="A35" s="599" t="s">
        <v>391</v>
      </c>
      <c r="B35" s="723">
        <v>3937.1889362068441</v>
      </c>
      <c r="C35" s="723">
        <f>B35/60</f>
        <v>65.619815603447407</v>
      </c>
      <c r="D35" s="724">
        <v>6462.79</v>
      </c>
      <c r="E35" s="725">
        <f>D35/60</f>
        <v>107.71316666666667</v>
      </c>
      <c r="F35" s="597"/>
      <c r="G35" s="593"/>
      <c r="H35" s="726"/>
      <c r="I35" s="595"/>
      <c r="J35" s="594"/>
      <c r="K35" s="594"/>
      <c r="L35" s="596"/>
      <c r="M35" s="4"/>
    </row>
    <row r="36" spans="1:13" ht="15" customHeight="1" thickBot="1">
      <c r="A36" s="704" t="s">
        <v>407</v>
      </c>
      <c r="B36" s="717">
        <f>(SUM(B33:B35))/3</f>
        <v>3782.5858928066432</v>
      </c>
      <c r="C36" s="717">
        <f>B36/21.18</f>
        <v>178.59234621372252</v>
      </c>
      <c r="D36" s="717">
        <f>(SUM(D33:D35))/3</f>
        <v>5096.3523095735645</v>
      </c>
      <c r="E36" s="717">
        <f>D36/19.51</f>
        <v>261.21744282796328</v>
      </c>
      <c r="F36" s="727">
        <v>87657</v>
      </c>
      <c r="G36" s="727">
        <v>87657</v>
      </c>
      <c r="H36" s="707">
        <f>(G36/$G$32)*100</f>
        <v>20.251032685536856</v>
      </c>
      <c r="I36" s="708">
        <f>(F36/G36)*100</f>
        <v>100</v>
      </c>
      <c r="J36" s="709">
        <f>J32</f>
        <v>393.61</v>
      </c>
      <c r="K36" s="710">
        <f>(J36/C36-1)*100</f>
        <v>120.39578310313735</v>
      </c>
      <c r="L36" s="711">
        <f>(J36/E36-1)*100</f>
        <v>50.682893048313751</v>
      </c>
      <c r="M36" s="4"/>
    </row>
    <row r="37" spans="1:13">
      <c r="A37" s="673" t="s">
        <v>392</v>
      </c>
      <c r="B37" s="674">
        <v>11572.209978248546</v>
      </c>
      <c r="C37" s="674">
        <f>B37/60</f>
        <v>192.87016630414243</v>
      </c>
      <c r="D37" s="674">
        <v>13095.391891716512</v>
      </c>
      <c r="E37" s="674">
        <f>D37/60</f>
        <v>218.25653152860852</v>
      </c>
      <c r="F37" s="696"/>
      <c r="G37" s="718"/>
      <c r="H37" s="676"/>
      <c r="I37" s="651"/>
      <c r="J37" s="677"/>
      <c r="K37" s="677"/>
      <c r="L37" s="678"/>
      <c r="M37" s="4"/>
    </row>
    <row r="38" spans="1:13" ht="15" customHeight="1" thickBot="1">
      <c r="A38" s="665" t="s">
        <v>408</v>
      </c>
      <c r="B38" s="679">
        <f>B37</f>
        <v>11572.209978248546</v>
      </c>
      <c r="C38" s="679">
        <f>B38/27.42</f>
        <v>422.03537484495058</v>
      </c>
      <c r="D38" s="679">
        <f>D37</f>
        <v>13095.391891716512</v>
      </c>
      <c r="E38" s="679">
        <f>D38/27.15</f>
        <v>482.3348763063172</v>
      </c>
      <c r="F38" s="728">
        <v>273701</v>
      </c>
      <c r="G38" s="729">
        <v>273701</v>
      </c>
      <c r="H38" s="680">
        <f>(G38/$G$32)*100</f>
        <v>63.232005396763789</v>
      </c>
      <c r="I38" s="681">
        <f>(F38/G38)*100</f>
        <v>100</v>
      </c>
      <c r="J38" s="682">
        <f>J32</f>
        <v>393.61</v>
      </c>
      <c r="K38" s="683">
        <f>(J38/C38-1)*100</f>
        <v>-6.7353062182035401</v>
      </c>
      <c r="L38" s="684">
        <f>(J38/E38-1)*100</f>
        <v>-18.394870589861835</v>
      </c>
      <c r="M38" s="4"/>
    </row>
    <row r="39" spans="1:13">
      <c r="A39" t="s">
        <v>393</v>
      </c>
      <c r="B39" s="602"/>
      <c r="C39" s="602"/>
      <c r="D39" s="616"/>
      <c r="E39" s="616"/>
      <c r="G39" s="603"/>
      <c r="H39" s="604"/>
    </row>
    <row r="40" spans="1:13">
      <c r="A40" s="585" t="s">
        <v>416</v>
      </c>
      <c r="B40" s="602"/>
      <c r="C40" s="602"/>
      <c r="D40" s="616"/>
      <c r="E40" s="616"/>
      <c r="G40" s="603"/>
      <c r="H40" s="604"/>
    </row>
    <row r="41" spans="1:13">
      <c r="A41" s="585" t="s">
        <v>417</v>
      </c>
      <c r="B41" s="602"/>
      <c r="C41" s="602"/>
      <c r="D41" s="616"/>
      <c r="E41" s="616"/>
      <c r="G41" s="603"/>
      <c r="H41" s="604"/>
    </row>
    <row r="42" spans="1:13">
      <c r="A42" s="585" t="s">
        <v>394</v>
      </c>
      <c r="B42" s="605"/>
      <c r="C42" s="605"/>
      <c r="D42" s="605"/>
      <c r="E42" s="605"/>
    </row>
    <row r="43" spans="1:13">
      <c r="B43" s="606"/>
      <c r="C43" s="605"/>
      <c r="D43" s="605"/>
      <c r="E43" s="605"/>
    </row>
  </sheetData>
  <mergeCells count="15">
    <mergeCell ref="A1:L1"/>
    <mergeCell ref="D5:E5"/>
    <mergeCell ref="K5:K6"/>
    <mergeCell ref="L5:L6"/>
    <mergeCell ref="A2:L2"/>
    <mergeCell ref="A4:A6"/>
    <mergeCell ref="B4:E4"/>
    <mergeCell ref="F4:F6"/>
    <mergeCell ref="G4:G6"/>
    <mergeCell ref="H4:H6"/>
    <mergeCell ref="I4:I6"/>
    <mergeCell ref="J4:J6"/>
    <mergeCell ref="K4:L4"/>
    <mergeCell ref="B5:C5"/>
    <mergeCell ref="A3:L3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M21" sqref="M21"/>
    </sheetView>
  </sheetViews>
  <sheetFormatPr defaultRowHeight="12.75"/>
  <cols>
    <col min="1" max="1" width="2.7109375" customWidth="1"/>
    <col min="2" max="2" width="12.7109375" customWidth="1"/>
    <col min="3" max="3" width="36.42578125" customWidth="1"/>
    <col min="4" max="4" width="15.85546875" customWidth="1"/>
    <col min="5" max="5" width="7.7109375" customWidth="1"/>
    <col min="6" max="6" width="10.7109375" customWidth="1"/>
    <col min="7" max="7" width="12.7109375" customWidth="1"/>
    <col min="8" max="8" width="7.7109375" customWidth="1"/>
    <col min="9" max="9" width="10.7109375" customWidth="1"/>
    <col min="10" max="11" width="12.7109375" customWidth="1"/>
    <col min="12" max="12" width="2.7109375" customWidth="1"/>
  </cols>
  <sheetData>
    <row r="1" spans="1:12" ht="13.5" customHeight="1">
      <c r="A1" s="1388" t="s">
        <v>460</v>
      </c>
      <c r="B1" s="1388"/>
      <c r="C1" s="1388"/>
      <c r="D1" s="1388"/>
      <c r="E1" s="1388"/>
      <c r="F1" s="1388"/>
      <c r="G1" s="1388"/>
      <c r="H1" s="1388"/>
      <c r="I1" s="1388"/>
      <c r="J1" s="1388"/>
      <c r="K1" s="1388"/>
      <c r="L1" s="1388"/>
    </row>
    <row r="2" spans="1:12" ht="15.75">
      <c r="A2" s="295"/>
      <c r="B2" s="296"/>
      <c r="C2" s="1243"/>
      <c r="D2" s="1243"/>
      <c r="E2" s="1243"/>
      <c r="F2" s="1243"/>
      <c r="G2" s="1243"/>
      <c r="H2" s="1243"/>
      <c r="I2" s="1243"/>
      <c r="J2" s="1243"/>
      <c r="K2" s="297"/>
      <c r="L2" s="295"/>
    </row>
    <row r="3" spans="1:12" ht="15.75">
      <c r="A3" s="295"/>
      <c r="B3" s="174"/>
      <c r="C3" s="1288" t="s">
        <v>255</v>
      </c>
      <c r="D3" s="1288"/>
      <c r="E3" s="1288"/>
      <c r="F3" s="1288"/>
      <c r="G3" s="1288"/>
      <c r="H3" s="1288"/>
      <c r="I3" s="1288"/>
      <c r="J3" s="1288"/>
      <c r="K3" s="132"/>
      <c r="L3" s="295"/>
    </row>
    <row r="4" spans="1:12" ht="18" customHeight="1" thickBot="1">
      <c r="A4" s="295"/>
      <c r="B4" s="174"/>
      <c r="C4" s="192"/>
      <c r="D4" s="192"/>
      <c r="E4" s="192"/>
      <c r="F4" s="192"/>
      <c r="G4" s="192"/>
      <c r="H4" s="192"/>
      <c r="I4" s="192"/>
      <c r="J4" s="192"/>
      <c r="K4" s="132"/>
      <c r="L4" s="295"/>
    </row>
    <row r="5" spans="1:12" ht="13.5" thickBot="1">
      <c r="A5" s="295"/>
      <c r="B5" s="174"/>
      <c r="C5" s="1391" t="s">
        <v>223</v>
      </c>
      <c r="D5" s="1393" t="s">
        <v>224</v>
      </c>
      <c r="E5" s="1395" t="s">
        <v>225</v>
      </c>
      <c r="F5" s="1389"/>
      <c r="G5" s="1396"/>
      <c r="H5" s="1389" t="s">
        <v>47</v>
      </c>
      <c r="I5" s="1389"/>
      <c r="J5" s="1389"/>
      <c r="K5" s="132"/>
      <c r="L5" s="295"/>
    </row>
    <row r="6" spans="1:12" ht="24.95" customHeight="1" thickBot="1">
      <c r="A6" s="295"/>
      <c r="B6" s="174"/>
      <c r="C6" s="1392"/>
      <c r="D6" s="1394"/>
      <c r="E6" s="194" t="s">
        <v>226</v>
      </c>
      <c r="F6" s="194" t="s">
        <v>227</v>
      </c>
      <c r="G6" s="194" t="s">
        <v>251</v>
      </c>
      <c r="H6" s="194" t="s">
        <v>226</v>
      </c>
      <c r="I6" s="194" t="s">
        <v>227</v>
      </c>
      <c r="J6" s="195" t="s">
        <v>251</v>
      </c>
      <c r="K6" s="132"/>
      <c r="L6" s="295"/>
    </row>
    <row r="7" spans="1:12" ht="26.25" customHeight="1">
      <c r="A7" s="295"/>
      <c r="B7" s="174"/>
      <c r="C7" s="196" t="s">
        <v>252</v>
      </c>
      <c r="D7" s="197" t="s">
        <v>228</v>
      </c>
      <c r="E7" s="198" t="s">
        <v>253</v>
      </c>
      <c r="F7" s="197" t="s">
        <v>229</v>
      </c>
      <c r="G7" s="327">
        <v>64</v>
      </c>
      <c r="H7" s="198" t="s">
        <v>259</v>
      </c>
      <c r="I7" s="198" t="s">
        <v>230</v>
      </c>
      <c r="J7" s="328">
        <v>113</v>
      </c>
      <c r="K7" s="132"/>
      <c r="L7" s="295"/>
    </row>
    <row r="8" spans="1:12" ht="23.1" customHeight="1">
      <c r="A8" s="295"/>
      <c r="B8" s="174"/>
      <c r="C8" s="199" t="s">
        <v>231</v>
      </c>
      <c r="D8" s="200" t="s">
        <v>232</v>
      </c>
      <c r="E8" s="201" t="s">
        <v>253</v>
      </c>
      <c r="F8" s="200" t="s">
        <v>229</v>
      </c>
      <c r="G8" s="329">
        <v>89</v>
      </c>
      <c r="H8" s="201" t="s">
        <v>259</v>
      </c>
      <c r="I8" s="200" t="s">
        <v>233</v>
      </c>
      <c r="J8" s="330">
        <v>157</v>
      </c>
      <c r="K8" s="132"/>
      <c r="L8" s="295"/>
    </row>
    <row r="9" spans="1:12" ht="23.1" customHeight="1">
      <c r="A9" s="295"/>
      <c r="B9" s="174"/>
      <c r="C9" s="199" t="s">
        <v>234</v>
      </c>
      <c r="D9" s="200" t="s">
        <v>235</v>
      </c>
      <c r="E9" s="201" t="s">
        <v>253</v>
      </c>
      <c r="F9" s="200" t="s">
        <v>229</v>
      </c>
      <c r="G9" s="329">
        <v>89</v>
      </c>
      <c r="H9" s="201" t="s">
        <v>259</v>
      </c>
      <c r="I9" s="200" t="s">
        <v>233</v>
      </c>
      <c r="J9" s="330">
        <v>157</v>
      </c>
      <c r="K9" s="132"/>
      <c r="L9" s="295"/>
    </row>
    <row r="10" spans="1:12" ht="23.1" customHeight="1">
      <c r="A10" s="295"/>
      <c r="B10" s="174"/>
      <c r="C10" s="199" t="s">
        <v>236</v>
      </c>
      <c r="D10" s="200" t="s">
        <v>237</v>
      </c>
      <c r="E10" s="201" t="s">
        <v>253</v>
      </c>
      <c r="F10" s="200" t="s">
        <v>229</v>
      </c>
      <c r="G10" s="329">
        <v>89</v>
      </c>
      <c r="H10" s="201" t="s">
        <v>259</v>
      </c>
      <c r="I10" s="200" t="s">
        <v>233</v>
      </c>
      <c r="J10" s="330">
        <v>157</v>
      </c>
      <c r="K10" s="132"/>
      <c r="L10" s="295"/>
    </row>
    <row r="11" spans="1:12" ht="23.1" customHeight="1">
      <c r="A11" s="295"/>
      <c r="B11" s="174"/>
      <c r="C11" s="199" t="s">
        <v>238</v>
      </c>
      <c r="D11" s="200" t="s">
        <v>239</v>
      </c>
      <c r="E11" s="201" t="s">
        <v>253</v>
      </c>
      <c r="F11" s="200" t="s">
        <v>229</v>
      </c>
      <c r="G11" s="329">
        <v>89</v>
      </c>
      <c r="H11" s="201" t="s">
        <v>259</v>
      </c>
      <c r="I11" s="200" t="s">
        <v>233</v>
      </c>
      <c r="J11" s="330">
        <v>157</v>
      </c>
      <c r="K11" s="132"/>
      <c r="L11" s="295"/>
    </row>
    <row r="12" spans="1:12" ht="23.1" customHeight="1">
      <c r="A12" s="295"/>
      <c r="B12" s="174"/>
      <c r="C12" s="199" t="s">
        <v>260</v>
      </c>
      <c r="D12" s="200" t="s">
        <v>240</v>
      </c>
      <c r="E12" s="201" t="s">
        <v>253</v>
      </c>
      <c r="F12" s="200" t="s">
        <v>229</v>
      </c>
      <c r="G12" s="329">
        <v>89</v>
      </c>
      <c r="H12" s="201" t="s">
        <v>259</v>
      </c>
      <c r="I12" s="200" t="s">
        <v>233</v>
      </c>
      <c r="J12" s="330">
        <v>157</v>
      </c>
      <c r="K12" s="132"/>
      <c r="L12" s="295"/>
    </row>
    <row r="13" spans="1:12" ht="23.1" customHeight="1">
      <c r="A13" s="295"/>
      <c r="B13" s="174"/>
      <c r="C13" s="199" t="s">
        <v>241</v>
      </c>
      <c r="D13" s="200" t="s">
        <v>242</v>
      </c>
      <c r="E13" s="201" t="s">
        <v>253</v>
      </c>
      <c r="F13" s="200" t="s">
        <v>229</v>
      </c>
      <c r="G13" s="329">
        <v>124.4</v>
      </c>
      <c r="H13" s="201" t="s">
        <v>259</v>
      </c>
      <c r="I13" s="200" t="s">
        <v>233</v>
      </c>
      <c r="J13" s="330">
        <v>211.75</v>
      </c>
      <c r="K13" s="132"/>
      <c r="L13" s="295"/>
    </row>
    <row r="14" spans="1:12" ht="36" customHeight="1">
      <c r="A14" s="295"/>
      <c r="B14" s="174"/>
      <c r="C14" s="202" t="s">
        <v>254</v>
      </c>
      <c r="D14" s="201" t="s">
        <v>243</v>
      </c>
      <c r="E14" s="201" t="s">
        <v>253</v>
      </c>
      <c r="F14" s="200" t="s">
        <v>229</v>
      </c>
      <c r="G14" s="329">
        <v>156.57</v>
      </c>
      <c r="H14" s="201" t="s">
        <v>259</v>
      </c>
      <c r="I14" s="200" t="s">
        <v>233</v>
      </c>
      <c r="J14" s="330">
        <v>261.69</v>
      </c>
      <c r="K14" s="132"/>
      <c r="L14" s="295"/>
    </row>
    <row r="15" spans="1:12" ht="23.1" customHeight="1">
      <c r="A15" s="295"/>
      <c r="B15" s="174"/>
      <c r="C15" s="199" t="s">
        <v>244</v>
      </c>
      <c r="D15" s="200" t="s">
        <v>243</v>
      </c>
      <c r="E15" s="201" t="s">
        <v>253</v>
      </c>
      <c r="F15" s="200" t="s">
        <v>229</v>
      </c>
      <c r="G15" s="329">
        <v>156.57</v>
      </c>
      <c r="H15" s="201" t="s">
        <v>259</v>
      </c>
      <c r="I15" s="201" t="s">
        <v>229</v>
      </c>
      <c r="J15" s="330">
        <v>261.69</v>
      </c>
      <c r="K15" s="132"/>
      <c r="L15" s="295"/>
    </row>
    <row r="16" spans="1:12" ht="25.5" customHeight="1">
      <c r="A16" s="295"/>
      <c r="B16" s="174"/>
      <c r="C16" s="199" t="s">
        <v>245</v>
      </c>
      <c r="D16" s="200" t="s">
        <v>246</v>
      </c>
      <c r="E16" s="201" t="s">
        <v>253</v>
      </c>
      <c r="F16" s="200" t="s">
        <v>229</v>
      </c>
      <c r="G16" s="329">
        <v>156.57</v>
      </c>
      <c r="H16" s="201" t="s">
        <v>259</v>
      </c>
      <c r="I16" s="201" t="s">
        <v>229</v>
      </c>
      <c r="J16" s="330">
        <v>261.69</v>
      </c>
      <c r="K16" s="132"/>
      <c r="L16" s="295"/>
    </row>
    <row r="17" spans="1:12" ht="23.1" customHeight="1">
      <c r="A17" s="295"/>
      <c r="B17" s="174"/>
      <c r="C17" s="199" t="s">
        <v>247</v>
      </c>
      <c r="D17" s="200" t="s">
        <v>248</v>
      </c>
      <c r="E17" s="201" t="s">
        <v>253</v>
      </c>
      <c r="F17" s="200" t="s">
        <v>229</v>
      </c>
      <c r="G17" s="329">
        <v>156.57</v>
      </c>
      <c r="H17" s="201" t="s">
        <v>259</v>
      </c>
      <c r="I17" s="201" t="s">
        <v>229</v>
      </c>
      <c r="J17" s="330">
        <v>307</v>
      </c>
      <c r="K17" s="132"/>
      <c r="L17" s="295"/>
    </row>
    <row r="18" spans="1:12" ht="23.1" customHeight="1">
      <c r="A18" s="295"/>
      <c r="B18" s="174"/>
      <c r="C18" s="199" t="s">
        <v>249</v>
      </c>
      <c r="D18" s="200" t="s">
        <v>250</v>
      </c>
      <c r="E18" s="201" t="s">
        <v>253</v>
      </c>
      <c r="F18" s="200" t="s">
        <v>229</v>
      </c>
      <c r="G18" s="329">
        <v>180.8</v>
      </c>
      <c r="H18" s="201" t="s">
        <v>259</v>
      </c>
      <c r="I18" s="201" t="s">
        <v>229</v>
      </c>
      <c r="J18" s="330">
        <v>307</v>
      </c>
      <c r="K18" s="132"/>
      <c r="L18" s="295"/>
    </row>
    <row r="19" spans="1:12" ht="23.1" customHeight="1" thickBot="1">
      <c r="A19" s="295"/>
      <c r="B19" s="174"/>
      <c r="C19" s="203" t="s">
        <v>305</v>
      </c>
      <c r="D19" s="204" t="s">
        <v>306</v>
      </c>
      <c r="E19" s="205" t="s">
        <v>253</v>
      </c>
      <c r="F19" s="204" t="s">
        <v>229</v>
      </c>
      <c r="G19" s="331">
        <v>193.54</v>
      </c>
      <c r="H19" s="206" t="s">
        <v>259</v>
      </c>
      <c r="I19" s="206" t="s">
        <v>229</v>
      </c>
      <c r="J19" s="332">
        <v>307</v>
      </c>
      <c r="K19" s="132"/>
      <c r="L19" s="295"/>
    </row>
    <row r="20" spans="1:12" ht="14.1" customHeight="1">
      <c r="A20" s="295"/>
      <c r="B20" s="174"/>
      <c r="C20" s="1390" t="s">
        <v>256</v>
      </c>
      <c r="D20" s="1390"/>
      <c r="E20" s="1390"/>
      <c r="F20" s="1390"/>
      <c r="G20" s="191"/>
      <c r="H20" s="191"/>
      <c r="I20" s="191"/>
      <c r="J20" s="191"/>
      <c r="K20" s="132"/>
      <c r="L20" s="295"/>
    </row>
    <row r="21" spans="1:12" ht="14.1" customHeight="1">
      <c r="A21" s="295"/>
      <c r="B21" s="174"/>
      <c r="C21" s="193" t="s">
        <v>257</v>
      </c>
      <c r="D21" s="191"/>
      <c r="E21" s="191"/>
      <c r="F21" s="191"/>
      <c r="G21" s="191"/>
      <c r="H21" s="191"/>
      <c r="I21" s="191"/>
      <c r="J21" s="191"/>
      <c r="K21" s="132"/>
      <c r="L21" s="295"/>
    </row>
    <row r="22" spans="1:12" ht="14.1" customHeight="1">
      <c r="A22" s="295"/>
      <c r="B22" s="174"/>
      <c r="C22" s="135" t="s">
        <v>258</v>
      </c>
      <c r="D22" s="191"/>
      <c r="E22" s="191"/>
      <c r="F22" s="191"/>
      <c r="G22" s="191"/>
      <c r="H22" s="191"/>
      <c r="I22" s="191"/>
      <c r="J22" s="191"/>
      <c r="K22" s="132"/>
      <c r="L22" s="295"/>
    </row>
    <row r="23" spans="1:12" ht="9.75" customHeight="1">
      <c r="A23" s="295"/>
      <c r="B23" s="113"/>
      <c r="C23" s="114"/>
      <c r="D23" s="115"/>
      <c r="E23" s="115"/>
      <c r="F23" s="115"/>
      <c r="G23" s="115"/>
      <c r="H23" s="115"/>
      <c r="I23" s="115"/>
      <c r="J23" s="115"/>
      <c r="K23" s="133"/>
      <c r="L23" s="295"/>
    </row>
    <row r="24" spans="1:12">
      <c r="A24" s="295"/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</row>
  </sheetData>
  <mergeCells count="8">
    <mergeCell ref="A1:L1"/>
    <mergeCell ref="H5:J5"/>
    <mergeCell ref="C20:F20"/>
    <mergeCell ref="C2:J2"/>
    <mergeCell ref="C3:J3"/>
    <mergeCell ref="C5:C6"/>
    <mergeCell ref="D5:D6"/>
    <mergeCell ref="E5:G5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S62"/>
  <sheetViews>
    <sheetView workbookViewId="0">
      <selection activeCell="U30" sqref="U30"/>
    </sheetView>
  </sheetViews>
  <sheetFormatPr defaultRowHeight="15"/>
  <cols>
    <col min="1" max="2" width="2.7109375" style="1" customWidth="1"/>
    <col min="3" max="3" width="8.7109375" style="1" customWidth="1"/>
    <col min="4" max="4" width="19.7109375" style="27" customWidth="1"/>
    <col min="5" max="6" width="10.7109375" style="27" customWidth="1"/>
    <col min="7" max="13" width="6.7109375" style="27" customWidth="1"/>
    <col min="14" max="15" width="7.7109375" style="27" bestFit="1" customWidth="1"/>
    <col min="16" max="16" width="6.28515625" style="27" bestFit="1" customWidth="1"/>
    <col min="17" max="18" width="2.7109375" style="1" customWidth="1"/>
    <col min="19" max="16384" width="9.140625" style="1"/>
  </cols>
  <sheetData>
    <row r="1" spans="1:18" ht="14.25" customHeight="1">
      <c r="A1" s="1417" t="s">
        <v>461</v>
      </c>
      <c r="B1" s="1417"/>
      <c r="C1" s="1417"/>
      <c r="D1" s="1417"/>
      <c r="E1" s="1417"/>
      <c r="F1" s="1417"/>
      <c r="G1" s="1417"/>
      <c r="H1" s="1417"/>
      <c r="I1" s="1417"/>
      <c r="J1" s="1417"/>
      <c r="K1" s="1417"/>
      <c r="L1" s="1417"/>
      <c r="M1" s="1417"/>
      <c r="N1" s="1417"/>
      <c r="O1" s="1417"/>
      <c r="P1" s="1417"/>
      <c r="Q1" s="1417"/>
      <c r="R1" s="1417"/>
    </row>
    <row r="2" spans="1:18" ht="15.75">
      <c r="A2" s="461"/>
      <c r="B2" s="212"/>
      <c r="C2" s="1426" t="s">
        <v>421</v>
      </c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91"/>
      <c r="R2" s="59"/>
    </row>
    <row r="3" spans="1:18" ht="12.75" customHeight="1" thickBot="1">
      <c r="A3" s="461"/>
      <c r="B3" s="212"/>
      <c r="C3" s="1427" t="s">
        <v>465</v>
      </c>
      <c r="D3" s="1427"/>
      <c r="E3" s="1427"/>
      <c r="F3" s="1427"/>
      <c r="G3" s="1427"/>
      <c r="H3" s="1427"/>
      <c r="I3" s="1427"/>
      <c r="J3" s="1427"/>
      <c r="K3" s="1427"/>
      <c r="L3" s="1427"/>
      <c r="M3" s="1427"/>
      <c r="N3" s="1427"/>
      <c r="O3" s="1427"/>
      <c r="P3" s="1427"/>
      <c r="Q3" s="191"/>
      <c r="R3" s="59"/>
    </row>
    <row r="4" spans="1:18" ht="11.1" customHeight="1" thickBot="1">
      <c r="A4" s="461"/>
      <c r="B4" s="212"/>
      <c r="C4" s="1425" t="s">
        <v>431</v>
      </c>
      <c r="D4" s="1425"/>
      <c r="E4" s="1429" t="s">
        <v>430</v>
      </c>
      <c r="F4" s="1430"/>
      <c r="G4" s="1431"/>
      <c r="H4" s="1422" t="s">
        <v>495</v>
      </c>
      <c r="I4" s="1423"/>
      <c r="J4" s="1423"/>
      <c r="K4" s="1423"/>
      <c r="L4" s="1423"/>
      <c r="M4" s="1424"/>
      <c r="N4" s="1425" t="s">
        <v>349</v>
      </c>
      <c r="O4" s="1425"/>
      <c r="P4" s="1425"/>
      <c r="Q4" s="127"/>
      <c r="R4" s="59"/>
    </row>
    <row r="5" spans="1:18" ht="13.5" customHeight="1">
      <c r="A5" s="461"/>
      <c r="B5" s="212"/>
      <c r="C5" s="1425"/>
      <c r="D5" s="1425"/>
      <c r="E5" s="1432" t="s">
        <v>428</v>
      </c>
      <c r="F5" s="1433"/>
      <c r="G5" s="1434"/>
      <c r="H5" s="1433" t="s">
        <v>504</v>
      </c>
      <c r="I5" s="1433"/>
      <c r="J5" s="1434"/>
      <c r="K5" s="1432" t="s">
        <v>503</v>
      </c>
      <c r="L5" s="1433"/>
      <c r="M5" s="1434"/>
      <c r="N5" s="1432" t="s">
        <v>429</v>
      </c>
      <c r="O5" s="1433"/>
      <c r="P5" s="1433"/>
      <c r="Q5" s="127"/>
      <c r="R5" s="59"/>
    </row>
    <row r="6" spans="1:18" ht="11.1" customHeight="1" thickBot="1">
      <c r="A6" s="461"/>
      <c r="B6" s="212"/>
      <c r="C6" s="1428"/>
      <c r="D6" s="1428"/>
      <c r="E6" s="944">
        <v>2015</v>
      </c>
      <c r="F6" s="945">
        <v>2016</v>
      </c>
      <c r="G6" s="946" t="s">
        <v>12</v>
      </c>
      <c r="H6" s="944">
        <v>2015</v>
      </c>
      <c r="I6" s="945">
        <v>2016</v>
      </c>
      <c r="J6" s="946" t="s">
        <v>12</v>
      </c>
      <c r="K6" s="944">
        <v>2015</v>
      </c>
      <c r="L6" s="945">
        <v>2016</v>
      </c>
      <c r="M6" s="946" t="s">
        <v>12</v>
      </c>
      <c r="N6" s="947">
        <v>2015</v>
      </c>
      <c r="O6" s="945">
        <v>2016</v>
      </c>
      <c r="P6" s="948" t="s">
        <v>12</v>
      </c>
      <c r="Q6" s="127"/>
      <c r="R6" s="59"/>
    </row>
    <row r="7" spans="1:18" ht="14.1" customHeight="1">
      <c r="A7" s="461"/>
      <c r="B7" s="212"/>
      <c r="C7" s="937" t="s">
        <v>3</v>
      </c>
      <c r="D7" s="1072" t="s">
        <v>48</v>
      </c>
      <c r="E7" s="1012">
        <v>87657</v>
      </c>
      <c r="F7" s="954">
        <v>87657</v>
      </c>
      <c r="G7" s="1189">
        <f>(F7/E7-1)*100</f>
        <v>0</v>
      </c>
      <c r="H7" s="1009">
        <v>0</v>
      </c>
      <c r="I7" s="955">
        <v>0</v>
      </c>
      <c r="J7" s="960">
        <v>0</v>
      </c>
      <c r="K7" s="957">
        <f>N7*1000/E7</f>
        <v>19.66642709652395</v>
      </c>
      <c r="L7" s="958">
        <f>O7*1000/F7</f>
        <v>19.141654402956981</v>
      </c>
      <c r="M7" s="956">
        <f>(L7/K7-1)*100</f>
        <v>-2.6683682348163984</v>
      </c>
      <c r="N7" s="1018">
        <v>1723.9</v>
      </c>
      <c r="O7" s="959">
        <v>1677.9</v>
      </c>
      <c r="P7" s="960">
        <f t="shared" ref="P7:P35" si="0">(O7/N7-1)*100</f>
        <v>-2.6683682348164095</v>
      </c>
      <c r="Q7" s="127"/>
      <c r="R7" s="59"/>
    </row>
    <row r="8" spans="1:18" ht="14.1" customHeight="1">
      <c r="A8" s="461"/>
      <c r="B8" s="212"/>
      <c r="C8" s="940" t="s">
        <v>4</v>
      </c>
      <c r="D8" s="1073" t="s">
        <v>48</v>
      </c>
      <c r="E8" s="1013">
        <v>1243</v>
      </c>
      <c r="F8" s="962">
        <v>1243</v>
      </c>
      <c r="G8" s="1190">
        <f>(F8/E8-1)*100</f>
        <v>0</v>
      </c>
      <c r="H8" s="1010">
        <v>0</v>
      </c>
      <c r="I8" s="963">
        <v>0</v>
      </c>
      <c r="J8" s="979">
        <v>0</v>
      </c>
      <c r="K8" s="965">
        <f>N8*1000/E8</f>
        <v>13.354786806114239</v>
      </c>
      <c r="L8" s="980">
        <f>O8*1000/F8</f>
        <v>13.354786806114239</v>
      </c>
      <c r="M8" s="964">
        <f>(L8/K8-1)*100</f>
        <v>0</v>
      </c>
      <c r="N8" s="1016">
        <v>16.600000000000001</v>
      </c>
      <c r="O8" s="977">
        <v>16.600000000000001</v>
      </c>
      <c r="P8" s="979">
        <f t="shared" si="0"/>
        <v>0</v>
      </c>
      <c r="Q8" s="127"/>
      <c r="R8" s="59"/>
    </row>
    <row r="9" spans="1:18" ht="14.1" customHeight="1">
      <c r="A9" s="461"/>
      <c r="B9" s="212"/>
      <c r="C9" s="1435" t="s">
        <v>5</v>
      </c>
      <c r="D9" s="1049" t="s">
        <v>418</v>
      </c>
      <c r="E9" s="1058">
        <v>9129</v>
      </c>
      <c r="F9" s="1059">
        <v>10787</v>
      </c>
      <c r="G9" s="1191">
        <f t="shared" ref="G9:G35" si="1">(F9/E9-1)*100</f>
        <v>18.161901632161246</v>
      </c>
      <c r="H9" s="1026">
        <f t="shared" ref="H9:I30" si="2">N9*1000/E9</f>
        <v>37.002957607624055</v>
      </c>
      <c r="I9" s="1028">
        <f t="shared" si="2"/>
        <v>37.08167238342449</v>
      </c>
      <c r="J9" s="1007">
        <f>(I9/H9-1)*100</f>
        <v>0.21272563300240854</v>
      </c>
      <c r="K9" s="1065">
        <v>0</v>
      </c>
      <c r="L9" s="1023">
        <v>0</v>
      </c>
      <c r="M9" s="1017">
        <v>0</v>
      </c>
      <c r="N9" s="1068">
        <v>337.8</v>
      </c>
      <c r="O9" s="1070">
        <v>400</v>
      </c>
      <c r="P9" s="1041">
        <f t="shared" si="0"/>
        <v>18.413262285375964</v>
      </c>
      <c r="Q9" s="127"/>
      <c r="R9" s="59"/>
    </row>
    <row r="10" spans="1:18" ht="14.1" customHeight="1">
      <c r="A10" s="461"/>
      <c r="B10" s="212"/>
      <c r="C10" s="1436"/>
      <c r="D10" s="1049" t="s">
        <v>419</v>
      </c>
      <c r="E10" s="1053">
        <v>94321</v>
      </c>
      <c r="F10" s="1043">
        <v>91081</v>
      </c>
      <c r="G10" s="1191">
        <f t="shared" si="1"/>
        <v>-3.4350780844138673</v>
      </c>
      <c r="H10" s="1003">
        <f t="shared" si="2"/>
        <v>8.7393051388344052</v>
      </c>
      <c r="I10" s="1045">
        <f t="shared" si="2"/>
        <v>9.8999791394473053</v>
      </c>
      <c r="J10" s="1007">
        <f>(I10/H10-1)*100</f>
        <v>13.2810787834295</v>
      </c>
      <c r="K10" s="1056">
        <v>0</v>
      </c>
      <c r="L10" s="1024">
        <v>0</v>
      </c>
      <c r="M10" s="1017">
        <v>0</v>
      </c>
      <c r="N10" s="974">
        <v>824.3</v>
      </c>
      <c r="O10" s="1046">
        <v>901.7</v>
      </c>
      <c r="P10" s="1041">
        <f t="shared" si="0"/>
        <v>9.3897852723523023</v>
      </c>
      <c r="Q10" s="127"/>
      <c r="R10" s="59"/>
    </row>
    <row r="11" spans="1:18" ht="14.1" customHeight="1">
      <c r="A11" s="461"/>
      <c r="B11" s="212"/>
      <c r="C11" s="1436"/>
      <c r="D11" s="1077" t="s">
        <v>420</v>
      </c>
      <c r="E11" s="1037">
        <v>35228</v>
      </c>
      <c r="F11" s="1061">
        <v>45892</v>
      </c>
      <c r="G11" s="1192">
        <f t="shared" si="1"/>
        <v>30.271375042579773</v>
      </c>
      <c r="H11" s="969">
        <v>0</v>
      </c>
      <c r="I11" s="970">
        <v>0</v>
      </c>
      <c r="J11" s="1036">
        <v>0</v>
      </c>
      <c r="K11" s="972">
        <f>N11*1000/E11</f>
        <v>33.598274100147613</v>
      </c>
      <c r="L11" s="987">
        <f>O11*1000/F11</f>
        <v>40.000435805804933</v>
      </c>
      <c r="M11" s="1035">
        <f>(L11/K11-1)*100</f>
        <v>19.055031477432927</v>
      </c>
      <c r="N11" s="1069">
        <v>1183.5999999999999</v>
      </c>
      <c r="O11" s="1071">
        <v>1835.7</v>
      </c>
      <c r="P11" s="1051">
        <f t="shared" si="0"/>
        <v>55.094626563028058</v>
      </c>
      <c r="Q11" s="127"/>
      <c r="R11" s="59"/>
    </row>
    <row r="12" spans="1:18" ht="14.1" customHeight="1">
      <c r="A12" s="461"/>
      <c r="B12" s="212"/>
      <c r="C12" s="1437"/>
      <c r="D12" s="1008" t="s">
        <v>127</v>
      </c>
      <c r="E12" s="967">
        <f>E9+E10+E11</f>
        <v>138678</v>
      </c>
      <c r="F12" s="1060">
        <f>F9+F10+F11</f>
        <v>147760</v>
      </c>
      <c r="G12" s="1193">
        <f>(F12/E12-1)*100</f>
        <v>6.5489839772710834</v>
      </c>
      <c r="H12" s="1004">
        <f>SUM(N9+N10)*1000/SUM(E9+E10)</f>
        <v>11.233446109231513</v>
      </c>
      <c r="I12" s="1064">
        <f>SUM(O9+O10)*1000/SUM(F9+F10)</f>
        <v>12.77830133113441</v>
      </c>
      <c r="J12" s="1062">
        <f>(I12/H12-1)*100</f>
        <v>13.752282308394692</v>
      </c>
      <c r="K12" s="1004">
        <f>N11*1000/E11</f>
        <v>33.598274100147613</v>
      </c>
      <c r="L12" s="1064">
        <f>O11*1000/F11</f>
        <v>40.000435805804933</v>
      </c>
      <c r="M12" s="1066">
        <f>(L12/K12-1)*100</f>
        <v>19.055031477432927</v>
      </c>
      <c r="N12" s="967">
        <f>N9+N10+N11</f>
        <v>2345.6999999999998</v>
      </c>
      <c r="O12" s="1060">
        <f>O9+O10+O11</f>
        <v>3137.4</v>
      </c>
      <c r="P12" s="1062">
        <f>(O12/N12-1)*100</f>
        <v>33.751119068934663</v>
      </c>
      <c r="Q12" s="127"/>
      <c r="R12" s="59"/>
    </row>
    <row r="13" spans="1:18" ht="14.1" customHeight="1">
      <c r="A13" s="461"/>
      <c r="B13" s="212"/>
      <c r="C13" s="1435" t="s">
        <v>9</v>
      </c>
      <c r="D13" s="1074" t="s">
        <v>47</v>
      </c>
      <c r="E13" s="1053">
        <v>111</v>
      </c>
      <c r="F13" s="1043">
        <v>111</v>
      </c>
      <c r="G13" s="1191">
        <f t="shared" si="1"/>
        <v>0</v>
      </c>
      <c r="H13" s="1003">
        <f t="shared" si="2"/>
        <v>15.315315315315315</v>
      </c>
      <c r="I13" s="1045">
        <f t="shared" si="2"/>
        <v>15.315315315315315</v>
      </c>
      <c r="J13" s="1007">
        <f t="shared" ref="J13:J30" si="3">(I13/H13-1)*100</f>
        <v>0</v>
      </c>
      <c r="K13" s="1056">
        <v>0</v>
      </c>
      <c r="L13" s="1024">
        <v>0</v>
      </c>
      <c r="M13" s="1017">
        <v>0</v>
      </c>
      <c r="N13" s="974">
        <v>1.7</v>
      </c>
      <c r="O13" s="1046">
        <v>1.7</v>
      </c>
      <c r="P13" s="1041">
        <f t="shared" si="0"/>
        <v>0</v>
      </c>
      <c r="Q13" s="127"/>
      <c r="R13" s="59"/>
    </row>
    <row r="14" spans="1:18" ht="14.1" customHeight="1">
      <c r="A14" s="461"/>
      <c r="B14" s="212"/>
      <c r="C14" s="1436"/>
      <c r="D14" s="1076" t="s">
        <v>48</v>
      </c>
      <c r="E14" s="1037">
        <v>20078</v>
      </c>
      <c r="F14" s="1061">
        <v>20078</v>
      </c>
      <c r="G14" s="1192">
        <f t="shared" si="1"/>
        <v>0</v>
      </c>
      <c r="H14" s="969">
        <v>0</v>
      </c>
      <c r="I14" s="970">
        <v>0</v>
      </c>
      <c r="J14" s="1036">
        <v>0</v>
      </c>
      <c r="K14" s="972">
        <f>N14*1000/E14</f>
        <v>6.2854866022512201</v>
      </c>
      <c r="L14" s="987">
        <f>O14*1000/F14</f>
        <v>6.2854866022512201</v>
      </c>
      <c r="M14" s="1035">
        <f>(L14/K14-1)*100</f>
        <v>0</v>
      </c>
      <c r="N14" s="1069">
        <v>126.2</v>
      </c>
      <c r="O14" s="1071">
        <v>126.2</v>
      </c>
      <c r="P14" s="1051">
        <f t="shared" si="0"/>
        <v>0</v>
      </c>
      <c r="Q14" s="127"/>
      <c r="R14" s="59"/>
    </row>
    <row r="15" spans="1:18" ht="14.1" customHeight="1">
      <c r="A15" s="461"/>
      <c r="B15" s="212"/>
      <c r="C15" s="1437"/>
      <c r="D15" s="1008" t="s">
        <v>127</v>
      </c>
      <c r="E15" s="1005">
        <f>E13+E14</f>
        <v>20189</v>
      </c>
      <c r="F15" s="966">
        <f>F13+F14</f>
        <v>20189</v>
      </c>
      <c r="G15" s="1193">
        <f>(F15/E15-1)*100</f>
        <v>0</v>
      </c>
      <c r="H15" s="1004">
        <f>N13*1000/E13</f>
        <v>15.315315315315315</v>
      </c>
      <c r="I15" s="1064">
        <f>O13*1000/F13</f>
        <v>15.315315315315315</v>
      </c>
      <c r="J15" s="1062">
        <f>(I15/H15-1)*100</f>
        <v>0</v>
      </c>
      <c r="K15" s="1004">
        <f>N14*1000/E14</f>
        <v>6.2854866022512201</v>
      </c>
      <c r="L15" s="1064">
        <f>O14*1000/F14</f>
        <v>6.2854866022512201</v>
      </c>
      <c r="M15" s="1066">
        <f>(L15/K15-1)*100</f>
        <v>0</v>
      </c>
      <c r="N15" s="1005">
        <f>N13+N14</f>
        <v>127.9</v>
      </c>
      <c r="O15" s="966">
        <f>O13+O14</f>
        <v>127.9</v>
      </c>
      <c r="P15" s="1062">
        <f>(O15/N15-1)*100</f>
        <v>0</v>
      </c>
      <c r="Q15" s="127"/>
      <c r="R15" s="59"/>
    </row>
    <row r="16" spans="1:18" ht="14.1" customHeight="1">
      <c r="A16" s="461"/>
      <c r="B16" s="212"/>
      <c r="C16" s="943" t="s">
        <v>10</v>
      </c>
      <c r="D16" s="1075" t="s">
        <v>47</v>
      </c>
      <c r="E16" s="1013">
        <v>6175</v>
      </c>
      <c r="F16" s="961">
        <v>5782</v>
      </c>
      <c r="G16" s="1194">
        <f t="shared" si="1"/>
        <v>-6.3643724696356259</v>
      </c>
      <c r="H16" s="965">
        <f t="shared" si="2"/>
        <v>36.631578947368418</v>
      </c>
      <c r="I16" s="982">
        <f t="shared" si="2"/>
        <v>39.311656866136282</v>
      </c>
      <c r="J16" s="1063">
        <f t="shared" si="3"/>
        <v>7.3163046633030859</v>
      </c>
      <c r="K16" s="976">
        <v>0</v>
      </c>
      <c r="L16" s="961">
        <v>0</v>
      </c>
      <c r="M16" s="1067">
        <v>0</v>
      </c>
      <c r="N16" s="976">
        <v>226.2</v>
      </c>
      <c r="O16" s="982">
        <v>227.3</v>
      </c>
      <c r="P16" s="1063">
        <f t="shared" si="0"/>
        <v>0.48629531388153513</v>
      </c>
      <c r="Q16" s="127"/>
      <c r="R16" s="59"/>
    </row>
    <row r="17" spans="1:19" ht="14.1" customHeight="1">
      <c r="A17" s="461"/>
      <c r="B17" s="212"/>
      <c r="C17" s="1397" t="s">
        <v>7</v>
      </c>
      <c r="D17" s="1047" t="s">
        <v>427</v>
      </c>
      <c r="E17" s="1053">
        <v>478056</v>
      </c>
      <c r="F17" s="1043">
        <v>519829</v>
      </c>
      <c r="G17" s="1191">
        <f t="shared" si="1"/>
        <v>8.7380976287296797</v>
      </c>
      <c r="H17" s="1003">
        <f t="shared" si="2"/>
        <v>22.608857539702463</v>
      </c>
      <c r="I17" s="1045">
        <f t="shared" si="2"/>
        <v>26.921545354337677</v>
      </c>
      <c r="J17" s="1007">
        <f t="shared" si="3"/>
        <v>19.075213363001133</v>
      </c>
      <c r="K17" s="1056">
        <v>0</v>
      </c>
      <c r="L17" s="1024">
        <v>0</v>
      </c>
      <c r="M17" s="1017">
        <v>0</v>
      </c>
      <c r="N17" s="974">
        <v>10808.3</v>
      </c>
      <c r="O17" s="1046">
        <v>13994.6</v>
      </c>
      <c r="P17" s="1041">
        <f t="shared" si="0"/>
        <v>29.480121758278365</v>
      </c>
      <c r="Q17" s="127"/>
      <c r="R17" s="59"/>
    </row>
    <row r="18" spans="1:19" ht="14.1" customHeight="1">
      <c r="A18" s="461"/>
      <c r="B18" s="212"/>
      <c r="C18" s="1398"/>
      <c r="D18" s="1048" t="s">
        <v>426</v>
      </c>
      <c r="E18" s="1053">
        <v>170634</v>
      </c>
      <c r="F18" s="1043">
        <v>183273</v>
      </c>
      <c r="G18" s="1191">
        <f t="shared" si="1"/>
        <v>7.4070818242554237</v>
      </c>
      <c r="H18" s="1003">
        <f t="shared" si="2"/>
        <v>24.806896632558576</v>
      </c>
      <c r="I18" s="1045">
        <f t="shared" si="2"/>
        <v>35.47767538044338</v>
      </c>
      <c r="J18" s="1007">
        <f t="shared" si="3"/>
        <v>43.015371515192328</v>
      </c>
      <c r="K18" s="1056">
        <v>0</v>
      </c>
      <c r="L18" s="1024">
        <v>0</v>
      </c>
      <c r="M18" s="1017">
        <v>0</v>
      </c>
      <c r="N18" s="974">
        <v>4232.8999999999996</v>
      </c>
      <c r="O18" s="1046">
        <v>6502.1</v>
      </c>
      <c r="P18" s="1041">
        <f t="shared" si="0"/>
        <v>53.608637104585519</v>
      </c>
      <c r="Q18" s="127"/>
      <c r="R18" s="59"/>
    </row>
    <row r="19" spans="1:19" ht="14.1" customHeight="1">
      <c r="A19" s="461"/>
      <c r="B19" s="212"/>
      <c r="C19" s="1398"/>
      <c r="D19" s="1047" t="s">
        <v>422</v>
      </c>
      <c r="E19" s="1053">
        <v>278646</v>
      </c>
      <c r="F19" s="1043">
        <v>283818</v>
      </c>
      <c r="G19" s="1191">
        <f t="shared" si="1"/>
        <v>1.8561185159664984</v>
      </c>
      <c r="H19" s="1003">
        <f t="shared" si="2"/>
        <v>22.933399366938698</v>
      </c>
      <c r="I19" s="1045">
        <f t="shared" si="2"/>
        <v>21.858726366897095</v>
      </c>
      <c r="J19" s="1007">
        <f t="shared" si="3"/>
        <v>-4.6860606351750711</v>
      </c>
      <c r="K19" s="1056">
        <v>0</v>
      </c>
      <c r="L19" s="1024">
        <v>0</v>
      </c>
      <c r="M19" s="1017">
        <v>0</v>
      </c>
      <c r="N19" s="974">
        <v>6390.3</v>
      </c>
      <c r="O19" s="1046">
        <v>6203.9</v>
      </c>
      <c r="P19" s="1041">
        <f t="shared" si="0"/>
        <v>-2.9169209583274736</v>
      </c>
      <c r="Q19" s="127"/>
      <c r="R19" s="59"/>
    </row>
    <row r="20" spans="1:19" ht="14.1" customHeight="1">
      <c r="A20" s="461"/>
      <c r="B20" s="212"/>
      <c r="C20" s="1398"/>
      <c r="D20" s="1047" t="s">
        <v>423</v>
      </c>
      <c r="E20" s="1053">
        <v>8694</v>
      </c>
      <c r="F20" s="1043">
        <v>8694</v>
      </c>
      <c r="G20" s="1191">
        <f t="shared" si="1"/>
        <v>0</v>
      </c>
      <c r="H20" s="1027">
        <v>0</v>
      </c>
      <c r="I20" s="1029">
        <v>0</v>
      </c>
      <c r="J20" s="1007">
        <v>0</v>
      </c>
      <c r="K20" s="1003">
        <f>N20*1000/E20</f>
        <v>25.212790430181734</v>
      </c>
      <c r="L20" s="1031">
        <f>O20*1000/F20</f>
        <v>25.212790430181734</v>
      </c>
      <c r="M20" s="1017">
        <f>(L20/K20-1)*100</f>
        <v>0</v>
      </c>
      <c r="N20" s="974">
        <v>219.2</v>
      </c>
      <c r="O20" s="1046">
        <v>219.2</v>
      </c>
      <c r="P20" s="1041">
        <f t="shared" si="0"/>
        <v>0</v>
      </c>
      <c r="Q20" s="127"/>
      <c r="R20" s="59"/>
    </row>
    <row r="21" spans="1:19" ht="14.1" customHeight="1">
      <c r="A21" s="461"/>
      <c r="B21" s="212"/>
      <c r="C21" s="1398"/>
      <c r="D21" s="1047" t="s">
        <v>424</v>
      </c>
      <c r="E21" s="1053">
        <v>28161</v>
      </c>
      <c r="F21" s="1043">
        <v>32579</v>
      </c>
      <c r="G21" s="1191"/>
      <c r="H21" s="1003">
        <v>0</v>
      </c>
      <c r="I21" s="1045">
        <f t="shared" si="2"/>
        <v>21.543018508855397</v>
      </c>
      <c r="J21" s="1007">
        <v>0</v>
      </c>
      <c r="K21" s="1056">
        <v>0</v>
      </c>
      <c r="L21" s="1024">
        <v>0</v>
      </c>
      <c r="M21" s="1017">
        <v>0</v>
      </c>
      <c r="N21" s="974">
        <v>534.20000000000005</v>
      </c>
      <c r="O21" s="1046">
        <v>701.85</v>
      </c>
      <c r="P21" s="1041">
        <v>0</v>
      </c>
      <c r="Q21" s="127"/>
      <c r="R21" s="59"/>
      <c r="S21" s="734" t="s">
        <v>307</v>
      </c>
    </row>
    <row r="22" spans="1:19" ht="14.1" customHeight="1">
      <c r="A22" s="461"/>
      <c r="B22" s="212"/>
      <c r="C22" s="1398"/>
      <c r="D22" s="1050" t="s">
        <v>425</v>
      </c>
      <c r="E22" s="1037">
        <v>4681</v>
      </c>
      <c r="F22" s="1061">
        <v>4681</v>
      </c>
      <c r="G22" s="1192"/>
      <c r="H22" s="969">
        <v>0</v>
      </c>
      <c r="I22" s="970">
        <v>0</v>
      </c>
      <c r="J22" s="1036">
        <v>0</v>
      </c>
      <c r="K22" s="972">
        <v>0</v>
      </c>
      <c r="L22" s="987">
        <f>O22*1000/F22</f>
        <v>25.208288827173682</v>
      </c>
      <c r="M22" s="1035">
        <v>0</v>
      </c>
      <c r="N22" s="1069">
        <v>118</v>
      </c>
      <c r="O22" s="1071">
        <v>118</v>
      </c>
      <c r="P22" s="1051">
        <v>0</v>
      </c>
      <c r="Q22" s="127"/>
      <c r="R22" s="59"/>
    </row>
    <row r="23" spans="1:19" ht="14.1" customHeight="1">
      <c r="A23" s="461"/>
      <c r="B23" s="212"/>
      <c r="C23" s="1399"/>
      <c r="D23" s="1057" t="s">
        <v>127</v>
      </c>
      <c r="E23" s="976">
        <f>E17+E18+E19+E20+E21+E22</f>
        <v>968872</v>
      </c>
      <c r="F23" s="982">
        <f>F17+F18+F19+F20+F21+F22</f>
        <v>1032874</v>
      </c>
      <c r="G23" s="1194">
        <f>(F23/E23-1)*100</f>
        <v>6.6058261566027232</v>
      </c>
      <c r="H23" s="978">
        <f>SUM(N17+N18+N19+N21)*1000/SUM(E17+E18+E19+E21)</f>
        <v>22.988769195507679</v>
      </c>
      <c r="I23" s="978">
        <f>SUM(O17+O18+O19+O21)*1000/SUM(F17+F18+F19+F21)</f>
        <v>26.878349071455681</v>
      </c>
      <c r="J23" s="979">
        <f>(I23/H23-1)*100</f>
        <v>16.91947856307192</v>
      </c>
      <c r="K23" s="965">
        <f>SUM(N20+N22)*1000/SUM(E20+E22)</f>
        <v>25.211214953271028</v>
      </c>
      <c r="L23" s="978">
        <f>SUM(O20+O22)*1000/SUM(F20+F22)</f>
        <v>25.211214953271028</v>
      </c>
      <c r="M23" s="964">
        <f>(L23/K23-1)*100</f>
        <v>0</v>
      </c>
      <c r="N23" s="976">
        <f>N17+N18+N19+N20+N21+N22</f>
        <v>22302.9</v>
      </c>
      <c r="O23" s="1016">
        <f>O17+O18+O19+O20+O21+O22</f>
        <v>27739.649999999998</v>
      </c>
      <c r="P23" s="979">
        <f>(O23/N23-1)*100</f>
        <v>24.376874756197608</v>
      </c>
      <c r="Q23" s="127"/>
      <c r="R23" s="59"/>
    </row>
    <row r="24" spans="1:19" ht="14.1" customHeight="1">
      <c r="A24" s="461"/>
      <c r="B24" s="212"/>
      <c r="C24" s="1400" t="s">
        <v>29</v>
      </c>
      <c r="D24" s="1074" t="s">
        <v>47</v>
      </c>
      <c r="E24" s="1053">
        <v>150118</v>
      </c>
      <c r="F24" s="1042">
        <v>150025</v>
      </c>
      <c r="G24" s="1191">
        <f t="shared" si="1"/>
        <v>-6.1951265004867029E-2</v>
      </c>
      <c r="H24" s="1044">
        <f t="shared" si="2"/>
        <v>19.577932026805581</v>
      </c>
      <c r="I24" s="1045">
        <f t="shared" si="2"/>
        <v>23.102816197300449</v>
      </c>
      <c r="J24" s="1007">
        <f t="shared" si="3"/>
        <v>18.0043743418288</v>
      </c>
      <c r="K24" s="1056">
        <v>0</v>
      </c>
      <c r="L24" s="1024">
        <v>0</v>
      </c>
      <c r="M24" s="1017">
        <v>0</v>
      </c>
      <c r="N24" s="1019">
        <v>2939</v>
      </c>
      <c r="O24" s="1046">
        <v>3466</v>
      </c>
      <c r="P24" s="1041">
        <f t="shared" si="0"/>
        <v>17.931269139162985</v>
      </c>
      <c r="Q24" s="127"/>
      <c r="R24" s="59"/>
    </row>
    <row r="25" spans="1:19" ht="14.1" customHeight="1">
      <c r="A25" s="461"/>
      <c r="B25" s="212"/>
      <c r="C25" s="1401"/>
      <c r="D25" s="1050" t="s">
        <v>48</v>
      </c>
      <c r="E25" s="1037">
        <v>283124</v>
      </c>
      <c r="F25" s="1038">
        <v>260032</v>
      </c>
      <c r="G25" s="1195">
        <f t="shared" si="1"/>
        <v>-8.1561435978581791</v>
      </c>
      <c r="H25" s="981">
        <v>0</v>
      </c>
      <c r="I25" s="983">
        <v>0</v>
      </c>
      <c r="J25" s="1054">
        <v>0</v>
      </c>
      <c r="K25" s="972">
        <f>N25*1000/E25</f>
        <v>27.41201734928865</v>
      </c>
      <c r="L25" s="973">
        <f>O25*1000/F25</f>
        <v>29.60020305193207</v>
      </c>
      <c r="M25" s="971">
        <f>(L25/K25-1)*100</f>
        <v>7.9825781326532175</v>
      </c>
      <c r="N25" s="1039">
        <v>7761</v>
      </c>
      <c r="O25" s="1040">
        <v>7697</v>
      </c>
      <c r="P25" s="975">
        <f t="shared" si="0"/>
        <v>-0.82463600051539965</v>
      </c>
      <c r="Q25" s="127"/>
      <c r="R25" s="59"/>
    </row>
    <row r="26" spans="1:19" ht="14.1" customHeight="1">
      <c r="A26" s="461"/>
      <c r="B26" s="212"/>
      <c r="C26" s="1402"/>
      <c r="D26" s="1008" t="s">
        <v>127</v>
      </c>
      <c r="E26" s="1014">
        <f>E24+E25</f>
        <v>433242</v>
      </c>
      <c r="F26" s="984">
        <f>F24+F25</f>
        <v>410057</v>
      </c>
      <c r="G26" s="1196">
        <f>(F26/E26-1)*100</f>
        <v>-5.3515125495681382</v>
      </c>
      <c r="H26" s="978">
        <f>N24*1000/E24</f>
        <v>19.577932026805581</v>
      </c>
      <c r="I26" s="978">
        <f>O24*1000/F24</f>
        <v>23.102816197300449</v>
      </c>
      <c r="J26" s="968">
        <f>(I26/H26-1)*100</f>
        <v>18.0043743418288</v>
      </c>
      <c r="K26" s="965">
        <f>N25*1000/E25</f>
        <v>27.41201734928865</v>
      </c>
      <c r="L26" s="978">
        <f>O25*1000/F25</f>
        <v>29.60020305193207</v>
      </c>
      <c r="M26" s="985">
        <f>(L26/K26-1)*100</f>
        <v>7.9825781326532175</v>
      </c>
      <c r="N26" s="1020">
        <f>N24+N25</f>
        <v>10700</v>
      </c>
      <c r="O26" s="986">
        <f>O24+O25</f>
        <v>11163</v>
      </c>
      <c r="P26" s="968">
        <f>(O26/N26-1)*100</f>
        <v>4.3271028037383141</v>
      </c>
      <c r="Q26" s="127"/>
      <c r="R26" s="59"/>
    </row>
    <row r="27" spans="1:19" ht="14.1" customHeight="1">
      <c r="A27" s="461"/>
      <c r="B27" s="212"/>
      <c r="C27" s="938" t="s">
        <v>30</v>
      </c>
      <c r="D27" s="1075" t="s">
        <v>47</v>
      </c>
      <c r="E27" s="1013">
        <v>12538</v>
      </c>
      <c r="F27" s="962">
        <v>12538</v>
      </c>
      <c r="G27" s="1190">
        <f t="shared" si="1"/>
        <v>0</v>
      </c>
      <c r="H27" s="978">
        <f t="shared" si="2"/>
        <v>24.69293348221407</v>
      </c>
      <c r="I27" s="977">
        <f t="shared" si="2"/>
        <v>24.684957728505342</v>
      </c>
      <c r="J27" s="979">
        <f t="shared" si="3"/>
        <v>-3.2299741602070942E-2</v>
      </c>
      <c r="K27" s="976">
        <v>0</v>
      </c>
      <c r="L27" s="962">
        <v>0</v>
      </c>
      <c r="M27" s="964">
        <v>0</v>
      </c>
      <c r="N27" s="1016">
        <v>309.60000000000002</v>
      </c>
      <c r="O27" s="977">
        <v>309.5</v>
      </c>
      <c r="P27" s="979">
        <f t="shared" si="0"/>
        <v>-3.2299741602070942E-2</v>
      </c>
      <c r="Q27" s="127"/>
      <c r="R27" s="59"/>
    </row>
    <row r="28" spans="1:19" ht="14.1" customHeight="1">
      <c r="A28" s="461"/>
      <c r="B28" s="212"/>
      <c r="C28" s="939" t="s">
        <v>8</v>
      </c>
      <c r="D28" s="1075" t="s">
        <v>47</v>
      </c>
      <c r="E28" s="1013">
        <v>198971.3</v>
      </c>
      <c r="F28" s="962">
        <v>200997.3</v>
      </c>
      <c r="G28" s="1190">
        <f t="shared" si="1"/>
        <v>1.0182373035709125</v>
      </c>
      <c r="H28" s="978">
        <f t="shared" si="2"/>
        <v>20.424553691914362</v>
      </c>
      <c r="I28" s="977">
        <f t="shared" si="2"/>
        <v>24.568489228462273</v>
      </c>
      <c r="J28" s="979">
        <f t="shared" si="3"/>
        <v>20.288989414678895</v>
      </c>
      <c r="K28" s="976">
        <v>0</v>
      </c>
      <c r="L28" s="962">
        <v>0</v>
      </c>
      <c r="M28" s="964">
        <v>0</v>
      </c>
      <c r="N28" s="1016">
        <v>4063.9</v>
      </c>
      <c r="O28" s="977">
        <v>4938.2</v>
      </c>
      <c r="P28" s="979">
        <f t="shared" si="0"/>
        <v>21.513816776987625</v>
      </c>
      <c r="Q28" s="127"/>
      <c r="R28" s="59"/>
    </row>
    <row r="29" spans="1:19" ht="14.1" customHeight="1">
      <c r="A29" s="461"/>
      <c r="B29" s="212"/>
      <c r="C29" s="940" t="s">
        <v>6</v>
      </c>
      <c r="D29" s="1075" t="s">
        <v>47</v>
      </c>
      <c r="E29" s="1013">
        <v>44500</v>
      </c>
      <c r="F29" s="962">
        <v>46500</v>
      </c>
      <c r="G29" s="1190">
        <f t="shared" si="1"/>
        <v>4.4943820224719211</v>
      </c>
      <c r="H29" s="978">
        <f t="shared" si="2"/>
        <v>28.988764044943821</v>
      </c>
      <c r="I29" s="977">
        <f t="shared" si="2"/>
        <v>22.580645161290324</v>
      </c>
      <c r="J29" s="979">
        <f t="shared" si="3"/>
        <v>-22.105526381595396</v>
      </c>
      <c r="K29" s="976">
        <v>0</v>
      </c>
      <c r="L29" s="962">
        <v>0</v>
      </c>
      <c r="M29" s="964">
        <v>0</v>
      </c>
      <c r="N29" s="1016">
        <v>1290</v>
      </c>
      <c r="O29" s="977">
        <v>1050</v>
      </c>
      <c r="P29" s="979">
        <f t="shared" si="0"/>
        <v>-18.604651162790699</v>
      </c>
      <c r="Q29" s="127"/>
      <c r="R29" s="59"/>
    </row>
    <row r="30" spans="1:19" ht="14.1" customHeight="1">
      <c r="A30" s="461"/>
      <c r="B30" s="212"/>
      <c r="C30" s="1403" t="s">
        <v>14</v>
      </c>
      <c r="D30" s="1074" t="s">
        <v>47</v>
      </c>
      <c r="E30" s="1022">
        <v>8450</v>
      </c>
      <c r="F30" s="1023">
        <v>10126</v>
      </c>
      <c r="G30" s="1197">
        <f t="shared" si="1"/>
        <v>19.834319526627219</v>
      </c>
      <c r="H30" s="1052">
        <f t="shared" si="2"/>
        <v>10.662721893491124</v>
      </c>
      <c r="I30" s="1028">
        <f t="shared" si="2"/>
        <v>10.418724076634406</v>
      </c>
      <c r="J30" s="1007">
        <f t="shared" si="3"/>
        <v>-2.288325807368774</v>
      </c>
      <c r="K30" s="1030">
        <v>0</v>
      </c>
      <c r="L30" s="1023">
        <v>0</v>
      </c>
      <c r="M30" s="1017">
        <v>0</v>
      </c>
      <c r="N30" s="1055">
        <v>90.1</v>
      </c>
      <c r="O30" s="1032">
        <v>105.5</v>
      </c>
      <c r="P30" s="1007">
        <f t="shared" si="0"/>
        <v>17.092119866814649</v>
      </c>
      <c r="Q30" s="127"/>
      <c r="R30" s="59"/>
    </row>
    <row r="31" spans="1:19" ht="14.1" customHeight="1">
      <c r="A31" s="461"/>
      <c r="B31" s="212"/>
      <c r="C31" s="1403"/>
      <c r="D31" s="1076" t="s">
        <v>48</v>
      </c>
      <c r="E31" s="1033">
        <v>1559</v>
      </c>
      <c r="F31" s="1034">
        <v>1795</v>
      </c>
      <c r="G31" s="1198">
        <f t="shared" si="1"/>
        <v>15.137908915971776</v>
      </c>
      <c r="H31" s="1011">
        <v>0</v>
      </c>
      <c r="I31" s="970">
        <v>0</v>
      </c>
      <c r="J31" s="1036">
        <v>0</v>
      </c>
      <c r="K31" s="972">
        <f>N31*1000/E31</f>
        <v>24.50288646568313</v>
      </c>
      <c r="L31" s="987">
        <f>O31*1000/F31</f>
        <v>23.454038997214486</v>
      </c>
      <c r="M31" s="1035">
        <f>(L31/K31-1)*100</f>
        <v>-4.2805057679126008</v>
      </c>
      <c r="N31" s="973">
        <v>38.200000000000003</v>
      </c>
      <c r="O31" s="987">
        <v>42.1</v>
      </c>
      <c r="P31" s="1036">
        <f t="shared" si="0"/>
        <v>10.209424083769637</v>
      </c>
      <c r="Q31" s="127"/>
      <c r="R31" s="59"/>
    </row>
    <row r="32" spans="1:19" ht="14.1" customHeight="1" thickBot="1">
      <c r="A32" s="461"/>
      <c r="B32" s="212"/>
      <c r="C32" s="1404"/>
      <c r="D32" s="1008" t="s">
        <v>127</v>
      </c>
      <c r="E32" s="1015">
        <f>E30+E31</f>
        <v>10009</v>
      </c>
      <c r="F32" s="1025">
        <f>F30+F31</f>
        <v>11921</v>
      </c>
      <c r="G32" s="1199">
        <f>(F32/E32-1)*100</f>
        <v>19.102807473274062</v>
      </c>
      <c r="H32" s="1136">
        <f>N30*1000/E30</f>
        <v>10.662721893491124</v>
      </c>
      <c r="I32" s="1137">
        <f>O32*1000/F32</f>
        <v>12.381511618152839</v>
      </c>
      <c r="J32" s="1138">
        <f>(I32/H32-1)*100</f>
        <v>16.119615064807434</v>
      </c>
      <c r="K32" s="1136">
        <f>N31*1000/E31</f>
        <v>24.50288646568313</v>
      </c>
      <c r="L32" s="1139">
        <f>O31*1000/F31</f>
        <v>23.454038997214486</v>
      </c>
      <c r="M32" s="1140">
        <f>(L32/K32-1)*100</f>
        <v>-4.2805057679126008</v>
      </c>
      <c r="N32" s="1021">
        <f>N30+N31</f>
        <v>128.30000000000001</v>
      </c>
      <c r="O32" s="1006">
        <f>O30+O31</f>
        <v>147.6</v>
      </c>
      <c r="P32" s="968">
        <f>(O32/N32-1)*100</f>
        <v>15.042868277474653</v>
      </c>
      <c r="Q32" s="127"/>
      <c r="R32" s="59"/>
    </row>
    <row r="33" spans="1:18" ht="14.1" customHeight="1">
      <c r="A33" s="461"/>
      <c r="B33" s="212"/>
      <c r="C33" s="988"/>
      <c r="D33" s="1147" t="s">
        <v>47</v>
      </c>
      <c r="E33" s="1148">
        <f>E9+E10+E13+E16+E17+E18+E19+E21+E24+E27+E28+E29+E30</f>
        <v>1479810.3</v>
      </c>
      <c r="F33" s="1149">
        <f>F9+F10+F13+F16+F17+F18+F19+F21+F24+F27+F28+F29+F30</f>
        <v>1547446.3</v>
      </c>
      <c r="G33" s="1200">
        <f>(F33/E35-1)*100</f>
        <v>-19.490817810737081</v>
      </c>
      <c r="H33" s="1407">
        <f>N33*1000/E35</f>
        <v>16.673809123820028</v>
      </c>
      <c r="I33" s="1409">
        <f>O33*1000/F33</f>
        <v>25.075086612052385</v>
      </c>
      <c r="J33" s="1411">
        <f>(I33/H33-1)*100</f>
        <v>50.386072107724814</v>
      </c>
      <c r="K33" s="1413">
        <f>N34*1000/E34</f>
        <v>25.294168189135902</v>
      </c>
      <c r="L33" s="1415">
        <f>N34*1000/F34</f>
        <v>26.011226027269853</v>
      </c>
      <c r="M33" s="1405">
        <f>(L33/K33-1)*100</f>
        <v>2.8348741606056604</v>
      </c>
      <c r="N33" s="1148">
        <f>N9+N10+N13+N16+N17+N18+N19+N21+N24+N27+N28+N29+N30</f>
        <v>32048.299999999996</v>
      </c>
      <c r="O33" s="1150">
        <f>O9+O10+O13+O16+O17+O18+O19+O21+O24+O27+O28+O29+O30</f>
        <v>38802.35</v>
      </c>
      <c r="P33" s="1151">
        <f t="shared" si="0"/>
        <v>21.074596780484466</v>
      </c>
      <c r="Q33" s="127"/>
      <c r="R33" s="59"/>
    </row>
    <row r="34" spans="1:18" ht="14.1" customHeight="1" thickBot="1">
      <c r="A34" s="461"/>
      <c r="B34" s="212"/>
      <c r="C34" s="989" t="s">
        <v>551</v>
      </c>
      <c r="D34" s="1146" t="s">
        <v>48</v>
      </c>
      <c r="E34" s="950">
        <f>E7+E8+E11+E14+E20+E22+E25+E31</f>
        <v>442264</v>
      </c>
      <c r="F34" s="952">
        <f>F7+F8+F11+F14+F20+F22+F25+F31</f>
        <v>430072</v>
      </c>
      <c r="G34" s="1201">
        <f t="shared" si="1"/>
        <v>-2.7567244903496602</v>
      </c>
      <c r="H34" s="1408"/>
      <c r="I34" s="1410"/>
      <c r="J34" s="1412"/>
      <c r="K34" s="1414"/>
      <c r="L34" s="1416"/>
      <c r="M34" s="1406"/>
      <c r="N34" s="952">
        <f>N7+N8+N11+N14+N20+N22+N25+N31</f>
        <v>11186.7</v>
      </c>
      <c r="O34" s="951">
        <f>O7+O8+O11+O14+O20+O22+O25+O31</f>
        <v>11732.699999999999</v>
      </c>
      <c r="P34" s="953">
        <f t="shared" si="0"/>
        <v>4.8807959451848903</v>
      </c>
      <c r="Q34" s="127"/>
      <c r="R34" s="59"/>
    </row>
    <row r="35" spans="1:18" ht="14.1" customHeight="1" thickBot="1">
      <c r="A35" s="461"/>
      <c r="B35" s="212"/>
      <c r="C35" s="990"/>
      <c r="D35" s="949" t="s">
        <v>552</v>
      </c>
      <c r="E35" s="950">
        <f>E33+E34</f>
        <v>1922074.3</v>
      </c>
      <c r="F35" s="951">
        <f>F33+F34</f>
        <v>1977518.3</v>
      </c>
      <c r="G35" s="1201">
        <f t="shared" si="1"/>
        <v>2.8845919223830174</v>
      </c>
      <c r="H35" s="1418">
        <f>N35*1000/E35</f>
        <v>22.493927524029637</v>
      </c>
      <c r="I35" s="1419"/>
      <c r="J35" s="1418">
        <f>O35*1000/F35</f>
        <v>25.55478247660211</v>
      </c>
      <c r="K35" s="1419"/>
      <c r="L35" s="1420">
        <f>(J35/H35-1)*100</f>
        <v>13.607472280252741</v>
      </c>
      <c r="M35" s="1421"/>
      <c r="N35" s="952">
        <f>N33+N34</f>
        <v>43235</v>
      </c>
      <c r="O35" s="951">
        <f>O33+O34</f>
        <v>50535.049999999996</v>
      </c>
      <c r="P35" s="953">
        <f t="shared" si="0"/>
        <v>16.884584248872425</v>
      </c>
      <c r="Q35" s="127"/>
      <c r="R35" s="59"/>
    </row>
    <row r="36" spans="1:18">
      <c r="A36" s="461"/>
      <c r="B36" s="212"/>
      <c r="C36" s="856" t="s">
        <v>506</v>
      </c>
      <c r="D36" s="732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191"/>
      <c r="R36" s="59"/>
    </row>
    <row r="37" spans="1:18">
      <c r="A37" s="461"/>
      <c r="B37" s="461"/>
      <c r="C37" s="461"/>
      <c r="D37" s="462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1:18">
      <c r="D38"/>
      <c r="E38"/>
      <c r="F38" s="4"/>
      <c r="G38" s="4"/>
      <c r="H38"/>
      <c r="I38" s="4"/>
      <c r="J38" s="4"/>
      <c r="K38"/>
      <c r="L38" s="4"/>
      <c r="M38" s="4"/>
      <c r="N38"/>
      <c r="O38" s="4"/>
      <c r="P38" s="4"/>
      <c r="Q38"/>
      <c r="R38"/>
    </row>
    <row r="39" spans="1:18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8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8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8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8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8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8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8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8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4:16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4:16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4:16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4:16">
      <c r="D62"/>
    </row>
  </sheetData>
  <mergeCells count="25">
    <mergeCell ref="A1:R1"/>
    <mergeCell ref="H35:I35"/>
    <mergeCell ref="J35:K35"/>
    <mergeCell ref="L35:M35"/>
    <mergeCell ref="H4:M4"/>
    <mergeCell ref="N4:P4"/>
    <mergeCell ref="C2:P2"/>
    <mergeCell ref="C3:P3"/>
    <mergeCell ref="C4:D6"/>
    <mergeCell ref="E4:G4"/>
    <mergeCell ref="E5:G5"/>
    <mergeCell ref="H5:J5"/>
    <mergeCell ref="K5:M5"/>
    <mergeCell ref="N5:P5"/>
    <mergeCell ref="C9:C12"/>
    <mergeCell ref="C13:C15"/>
    <mergeCell ref="C17:C23"/>
    <mergeCell ref="C24:C26"/>
    <mergeCell ref="C30:C32"/>
    <mergeCell ref="M33:M34"/>
    <mergeCell ref="H33:H34"/>
    <mergeCell ref="I33:I34"/>
    <mergeCell ref="J33:J34"/>
    <mergeCell ref="K33:K34"/>
    <mergeCell ref="L33:L34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U62"/>
  <sheetViews>
    <sheetView workbookViewId="0">
      <selection activeCell="U18" sqref="U18"/>
    </sheetView>
  </sheetViews>
  <sheetFormatPr defaultRowHeight="15"/>
  <cols>
    <col min="1" max="2" width="2.7109375" style="1" customWidth="1"/>
    <col min="3" max="3" width="8.7109375" style="1" customWidth="1"/>
    <col min="4" max="4" width="20.5703125" style="27" customWidth="1"/>
    <col min="5" max="6" width="10.28515625" style="27" bestFit="1" customWidth="1"/>
    <col min="7" max="13" width="6.7109375" style="27" customWidth="1"/>
    <col min="14" max="15" width="7.7109375" style="27" bestFit="1" customWidth="1"/>
    <col min="16" max="16" width="6.7109375" style="27" bestFit="1" customWidth="1"/>
    <col min="17" max="18" width="2.7109375" style="1" customWidth="1"/>
    <col min="19" max="16384" width="9.140625" style="1"/>
  </cols>
  <sheetData>
    <row r="1" spans="1:18" ht="14.25" customHeight="1">
      <c r="A1" s="1444" t="s">
        <v>462</v>
      </c>
      <c r="B1" s="1444"/>
      <c r="C1" s="1444"/>
      <c r="D1" s="1444"/>
      <c r="E1" s="1444"/>
      <c r="F1" s="1444"/>
      <c r="G1" s="1444"/>
      <c r="H1" s="1444"/>
      <c r="I1" s="1444"/>
      <c r="J1" s="1444"/>
      <c r="K1" s="1444"/>
      <c r="L1" s="1444"/>
      <c r="M1" s="1444"/>
      <c r="N1" s="1444"/>
      <c r="O1" s="1444"/>
      <c r="P1" s="1444"/>
      <c r="Q1" s="1444"/>
      <c r="R1" s="1444"/>
    </row>
    <row r="2" spans="1:18" ht="15.75">
      <c r="A2" s="461"/>
      <c r="B2" s="1426" t="s">
        <v>421</v>
      </c>
      <c r="C2" s="1426"/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426"/>
      <c r="R2" s="59"/>
    </row>
    <row r="3" spans="1:18" ht="13.5" customHeight="1" thickBot="1">
      <c r="A3" s="461"/>
      <c r="B3" s="212"/>
      <c r="C3" s="1427" t="s">
        <v>466</v>
      </c>
      <c r="D3" s="1427"/>
      <c r="E3" s="1427"/>
      <c r="F3" s="1427"/>
      <c r="G3" s="1427"/>
      <c r="H3" s="1427"/>
      <c r="I3" s="1427"/>
      <c r="J3" s="1427"/>
      <c r="K3" s="1427"/>
      <c r="L3" s="1427"/>
      <c r="M3" s="1427"/>
      <c r="N3" s="1427"/>
      <c r="O3" s="1427"/>
      <c r="P3" s="1427"/>
      <c r="Q3" s="191"/>
      <c r="R3" s="59"/>
    </row>
    <row r="4" spans="1:18" ht="11.1" customHeight="1" thickBot="1">
      <c r="A4" s="461"/>
      <c r="B4" s="212"/>
      <c r="C4" s="1425" t="s">
        <v>431</v>
      </c>
      <c r="D4" s="1425"/>
      <c r="E4" s="1429" t="s">
        <v>430</v>
      </c>
      <c r="F4" s="1430"/>
      <c r="G4" s="1431"/>
      <c r="H4" s="1422" t="s">
        <v>495</v>
      </c>
      <c r="I4" s="1423"/>
      <c r="J4" s="1423"/>
      <c r="K4" s="1423"/>
      <c r="L4" s="1423"/>
      <c r="M4" s="1424"/>
      <c r="N4" s="1425" t="s">
        <v>349</v>
      </c>
      <c r="O4" s="1425"/>
      <c r="P4" s="1425"/>
      <c r="Q4" s="127"/>
      <c r="R4" s="59"/>
    </row>
    <row r="5" spans="1:18" ht="13.5" customHeight="1">
      <c r="A5" s="461"/>
      <c r="B5" s="212"/>
      <c r="C5" s="1425"/>
      <c r="D5" s="1425"/>
      <c r="E5" s="1432" t="s">
        <v>428</v>
      </c>
      <c r="F5" s="1433"/>
      <c r="G5" s="1434"/>
      <c r="H5" s="1433" t="s">
        <v>504</v>
      </c>
      <c r="I5" s="1433"/>
      <c r="J5" s="1434"/>
      <c r="K5" s="1432" t="s">
        <v>503</v>
      </c>
      <c r="L5" s="1433"/>
      <c r="M5" s="1434"/>
      <c r="N5" s="1432" t="s">
        <v>429</v>
      </c>
      <c r="O5" s="1433"/>
      <c r="P5" s="1433"/>
      <c r="Q5" s="127"/>
      <c r="R5" s="59"/>
    </row>
    <row r="6" spans="1:18" ht="11.1" customHeight="1" thickBot="1">
      <c r="A6" s="461"/>
      <c r="B6" s="212"/>
      <c r="C6" s="1428"/>
      <c r="D6" s="1428"/>
      <c r="E6" s="944">
        <v>2014</v>
      </c>
      <c r="F6" s="945">
        <v>2015</v>
      </c>
      <c r="G6" s="946" t="s">
        <v>12</v>
      </c>
      <c r="H6" s="944">
        <v>2014</v>
      </c>
      <c r="I6" s="945">
        <v>2015</v>
      </c>
      <c r="J6" s="946" t="s">
        <v>12</v>
      </c>
      <c r="K6" s="944">
        <v>2014</v>
      </c>
      <c r="L6" s="945">
        <v>2015</v>
      </c>
      <c r="M6" s="946" t="s">
        <v>12</v>
      </c>
      <c r="N6" s="944">
        <v>2014</v>
      </c>
      <c r="O6" s="945">
        <v>2015</v>
      </c>
      <c r="P6" s="948" t="s">
        <v>12</v>
      </c>
      <c r="Q6" s="127"/>
      <c r="R6" s="59"/>
    </row>
    <row r="7" spans="1:18" ht="14.1" customHeight="1">
      <c r="A7" s="461"/>
      <c r="B7" s="212"/>
      <c r="C7" s="997" t="s">
        <v>3</v>
      </c>
      <c r="D7" s="1097" t="s">
        <v>48</v>
      </c>
      <c r="E7" s="758">
        <v>86004</v>
      </c>
      <c r="F7" s="759">
        <v>87657</v>
      </c>
      <c r="G7" s="760">
        <f t="shared" ref="G7:G35" si="0">(F7/E7-1)*100</f>
        <v>1.9220036277382446</v>
      </c>
      <c r="H7" s="1099">
        <v>0</v>
      </c>
      <c r="I7" s="761">
        <v>0</v>
      </c>
      <c r="J7" s="754">
        <v>0</v>
      </c>
      <c r="K7" s="749">
        <f>N7*1000/E7</f>
        <v>17.177108041486441</v>
      </c>
      <c r="L7" s="752">
        <f>O7*1000/F7</f>
        <v>19.66642709652395</v>
      </c>
      <c r="M7" s="760">
        <f t="shared" ref="M7:M31" si="1">(L7/K7-1)*100</f>
        <v>14.492073106982062</v>
      </c>
      <c r="N7" s="753">
        <v>1477.3</v>
      </c>
      <c r="O7" s="761">
        <v>1723.9</v>
      </c>
      <c r="P7" s="754">
        <f t="shared" ref="P7:P35" si="2">(O7/N7-1)*100</f>
        <v>16.692614905570991</v>
      </c>
      <c r="Q7" s="127"/>
      <c r="R7" s="59"/>
    </row>
    <row r="8" spans="1:18" ht="14.1" customHeight="1">
      <c r="A8" s="461"/>
      <c r="B8" s="212"/>
      <c r="C8" s="943" t="s">
        <v>4</v>
      </c>
      <c r="D8" s="1098" t="s">
        <v>48</v>
      </c>
      <c r="E8" s="738">
        <v>4377</v>
      </c>
      <c r="F8" s="731">
        <v>1243</v>
      </c>
      <c r="G8" s="739">
        <f t="shared" si="0"/>
        <v>-71.601553575508333</v>
      </c>
      <c r="H8" s="1100">
        <v>0</v>
      </c>
      <c r="I8" s="762">
        <v>0</v>
      </c>
      <c r="J8" s="1114">
        <v>0</v>
      </c>
      <c r="K8" s="750">
        <f>N8*1000/E8</f>
        <v>15.695681973954764</v>
      </c>
      <c r="L8" s="756">
        <f>O8*1000/F8</f>
        <v>13.354786806114239</v>
      </c>
      <c r="M8" s="739">
        <f t="shared" si="1"/>
        <v>-14.914262226547271</v>
      </c>
      <c r="N8" s="745">
        <v>68.7</v>
      </c>
      <c r="O8" s="762">
        <v>16.600000000000001</v>
      </c>
      <c r="P8" s="459">
        <f t="shared" si="2"/>
        <v>-75.836972343522561</v>
      </c>
      <c r="Q8" s="127"/>
      <c r="R8" s="59"/>
    </row>
    <row r="9" spans="1:18" ht="14.1" customHeight="1">
      <c r="A9" s="461"/>
      <c r="B9" s="212"/>
      <c r="C9" s="1438" t="s">
        <v>5</v>
      </c>
      <c r="D9" s="1086" t="s">
        <v>418</v>
      </c>
      <c r="E9" s="736">
        <v>11973</v>
      </c>
      <c r="F9" s="1109">
        <v>9129</v>
      </c>
      <c r="G9" s="1101">
        <f t="shared" si="0"/>
        <v>-23.753445251816586</v>
      </c>
      <c r="H9" s="1082">
        <f t="shared" ref="H9:I33" si="3">N9*1000/E9</f>
        <v>36.340098555082271</v>
      </c>
      <c r="I9" s="1118">
        <f t="shared" si="3"/>
        <v>37.002957607624055</v>
      </c>
      <c r="J9" s="1115">
        <f>(I9/H9-1)*100</f>
        <v>1.8240430788514672</v>
      </c>
      <c r="K9" s="1090">
        <v>0</v>
      </c>
      <c r="L9" s="1124">
        <v>0</v>
      </c>
      <c r="M9" s="1102">
        <v>0</v>
      </c>
      <c r="N9" s="1126">
        <v>435.1</v>
      </c>
      <c r="O9" s="1130">
        <v>337.8</v>
      </c>
      <c r="P9" s="1087">
        <f t="shared" si="2"/>
        <v>-22.362675247069642</v>
      </c>
      <c r="Q9" s="127"/>
      <c r="R9" s="59"/>
    </row>
    <row r="10" spans="1:18" ht="14.1" customHeight="1">
      <c r="A10" s="461"/>
      <c r="B10" s="212"/>
      <c r="C10" s="1439"/>
      <c r="D10" s="1086" t="s">
        <v>419</v>
      </c>
      <c r="E10" s="736">
        <v>99366</v>
      </c>
      <c r="F10" s="996">
        <v>94321</v>
      </c>
      <c r="G10" s="1101">
        <f t="shared" si="0"/>
        <v>-5.0771893806734747</v>
      </c>
      <c r="H10" s="998">
        <f t="shared" si="3"/>
        <v>9.0191816114163803</v>
      </c>
      <c r="I10" s="1119">
        <f t="shared" si="3"/>
        <v>8.7393051388344052</v>
      </c>
      <c r="J10" s="1088">
        <f>(I10/H10-1)*100</f>
        <v>-3.1031249246351811</v>
      </c>
      <c r="K10" s="775">
        <v>0</v>
      </c>
      <c r="L10" s="1110">
        <v>0</v>
      </c>
      <c r="M10" s="1102">
        <v>0</v>
      </c>
      <c r="N10" s="742">
        <v>896.2</v>
      </c>
      <c r="O10" s="1085">
        <v>824.3</v>
      </c>
      <c r="P10" s="1087">
        <f t="shared" si="2"/>
        <v>-8.0227627761660472</v>
      </c>
      <c r="Q10" s="127"/>
      <c r="R10" s="59"/>
    </row>
    <row r="11" spans="1:18" ht="14.1" customHeight="1">
      <c r="A11" s="461"/>
      <c r="B11" s="212"/>
      <c r="C11" s="1439"/>
      <c r="D11" s="995" t="s">
        <v>420</v>
      </c>
      <c r="E11" s="736">
        <v>32600</v>
      </c>
      <c r="F11" s="996">
        <v>35228</v>
      </c>
      <c r="G11" s="1105">
        <f t="shared" si="0"/>
        <v>8.0613496932515396</v>
      </c>
      <c r="H11" s="772">
        <v>0</v>
      </c>
      <c r="I11" s="773">
        <v>0</v>
      </c>
      <c r="J11" s="1116">
        <v>0</v>
      </c>
      <c r="K11" s="771">
        <f>N11*1000/E11</f>
        <v>31.901840490797547</v>
      </c>
      <c r="L11" s="777">
        <f>O11*1000/F11</f>
        <v>33.598274100147613</v>
      </c>
      <c r="M11" s="1108">
        <f t="shared" si="1"/>
        <v>5.3176668908473168</v>
      </c>
      <c r="N11" s="742">
        <v>1040</v>
      </c>
      <c r="O11" s="504">
        <v>1183.5999999999999</v>
      </c>
      <c r="P11" s="1129">
        <f t="shared" si="2"/>
        <v>13.807692307692299</v>
      </c>
      <c r="Q11" s="127"/>
      <c r="R11" s="59"/>
    </row>
    <row r="12" spans="1:18" ht="14.1" customHeight="1">
      <c r="A12" s="461"/>
      <c r="B12" s="212"/>
      <c r="C12" s="1440"/>
      <c r="D12" s="1000" t="s">
        <v>127</v>
      </c>
      <c r="E12" s="744">
        <f>E9+E10+E11</f>
        <v>143939</v>
      </c>
      <c r="F12" s="751">
        <f>F9+F10+F11</f>
        <v>138678</v>
      </c>
      <c r="G12" s="1106">
        <f>(F12/E12-1)*100</f>
        <v>-3.6550205295298732</v>
      </c>
      <c r="H12" s="750">
        <f>SUM(N9+N10)*1000/SUM(E9+E10)</f>
        <v>11.957175832367815</v>
      </c>
      <c r="I12" s="1120">
        <f>SUM(O9+O10)*1000/SUM(F9+F10)</f>
        <v>11.233446109231513</v>
      </c>
      <c r="J12" s="1114">
        <f>(I12/H12-1)*100</f>
        <v>-6.0526811120162787</v>
      </c>
      <c r="K12" s="750">
        <f>N11*1000/E11</f>
        <v>31.901840490797547</v>
      </c>
      <c r="L12" s="1120">
        <f>O11*1000/F11</f>
        <v>33.598274100147613</v>
      </c>
      <c r="M12" s="1106">
        <f>(L12/K12-1)*100</f>
        <v>5.3176668908473168</v>
      </c>
      <c r="N12" s="744">
        <f>N9+N10+N11</f>
        <v>2371.3000000000002</v>
      </c>
      <c r="O12" s="751">
        <f>O9+O10+O11</f>
        <v>2345.6999999999998</v>
      </c>
      <c r="P12" s="1114">
        <f>(O12/N12-1)*100</f>
        <v>-1.0795766035508136</v>
      </c>
      <c r="Q12" s="127"/>
      <c r="R12" s="59"/>
    </row>
    <row r="13" spans="1:18" ht="14.1" customHeight="1">
      <c r="A13" s="461"/>
      <c r="B13" s="212"/>
      <c r="C13" s="1438" t="s">
        <v>9</v>
      </c>
      <c r="D13" s="1089" t="s">
        <v>47</v>
      </c>
      <c r="E13" s="736">
        <v>135</v>
      </c>
      <c r="F13" s="996">
        <v>111</v>
      </c>
      <c r="G13" s="1101">
        <f t="shared" si="0"/>
        <v>-17.777777777777782</v>
      </c>
      <c r="H13" s="1082">
        <f t="shared" si="3"/>
        <v>14.814814814814815</v>
      </c>
      <c r="I13" s="1118">
        <f t="shared" si="3"/>
        <v>15.315315315315315</v>
      </c>
      <c r="J13" s="1115">
        <f t="shared" ref="J13:J30" si="4">(I13/H13-1)*100</f>
        <v>3.3783783783783772</v>
      </c>
      <c r="K13" s="1090">
        <v>0</v>
      </c>
      <c r="L13" s="1124">
        <v>0</v>
      </c>
      <c r="M13" s="1102">
        <v>0</v>
      </c>
      <c r="N13" s="742">
        <v>2</v>
      </c>
      <c r="O13" s="1085">
        <v>1.7</v>
      </c>
      <c r="P13" s="1087">
        <f>(O13/N13-1)*100</f>
        <v>-15.000000000000002</v>
      </c>
      <c r="Q13" s="127"/>
      <c r="R13" s="59"/>
    </row>
    <row r="14" spans="1:18" ht="14.1" customHeight="1">
      <c r="A14" s="461"/>
      <c r="B14" s="212"/>
      <c r="C14" s="1439"/>
      <c r="D14" s="1135" t="s">
        <v>48</v>
      </c>
      <c r="E14" s="1002">
        <v>19980</v>
      </c>
      <c r="F14" s="999">
        <v>20078</v>
      </c>
      <c r="G14" s="1105">
        <f t="shared" si="0"/>
        <v>0.49049049049048055</v>
      </c>
      <c r="H14" s="772">
        <v>0</v>
      </c>
      <c r="I14" s="773">
        <v>0</v>
      </c>
      <c r="J14" s="1116">
        <v>0</v>
      </c>
      <c r="K14" s="771">
        <f>N14*1000/E14</f>
        <v>8.1981981981981988</v>
      </c>
      <c r="L14" s="777">
        <f>O14*1000/F14</f>
        <v>6.2854866022512201</v>
      </c>
      <c r="M14" s="1108">
        <f t="shared" si="1"/>
        <v>-23.330877708803797</v>
      </c>
      <c r="N14" s="1127">
        <v>163.80000000000001</v>
      </c>
      <c r="O14" s="999">
        <v>126.2</v>
      </c>
      <c r="P14" s="1129">
        <f>(O14/N14-1)*100</f>
        <v>-22.954822954822962</v>
      </c>
      <c r="Q14" s="127"/>
      <c r="R14" s="59"/>
    </row>
    <row r="15" spans="1:18" ht="14.1" customHeight="1">
      <c r="A15" s="461"/>
      <c r="B15" s="212"/>
      <c r="C15" s="1440"/>
      <c r="D15" s="1000" t="s">
        <v>127</v>
      </c>
      <c r="E15" s="1080">
        <f>E13+E14</f>
        <v>20115</v>
      </c>
      <c r="F15" s="756">
        <f>F13+F14</f>
        <v>20189</v>
      </c>
      <c r="G15" s="1107">
        <f>(F15/E15-1)*100</f>
        <v>0.36788466318666835</v>
      </c>
      <c r="H15" s="1091">
        <f>N13*1000/E13</f>
        <v>14.814814814814815</v>
      </c>
      <c r="I15" s="1122">
        <f>O13*1000/F13</f>
        <v>15.315315315315315</v>
      </c>
      <c r="J15" s="1117">
        <f>(I15/H15-1)*100</f>
        <v>3.3783783783783772</v>
      </c>
      <c r="K15" s="1091">
        <f>N14*1000/E14</f>
        <v>8.1981981981981988</v>
      </c>
      <c r="L15" s="1122">
        <f>O14*1000/F14</f>
        <v>6.2854866022512201</v>
      </c>
      <c r="M15" s="1107">
        <f>(L15/K15-1)*100</f>
        <v>-23.330877708803797</v>
      </c>
      <c r="N15" s="1080">
        <f>N13+N14</f>
        <v>165.8</v>
      </c>
      <c r="O15" s="756">
        <f>O13+O14</f>
        <v>127.9</v>
      </c>
      <c r="P15" s="1117">
        <f>(O15/N15-1)*100</f>
        <v>-22.858866103739452</v>
      </c>
      <c r="Q15" s="127"/>
      <c r="R15" s="59"/>
    </row>
    <row r="16" spans="1:18" ht="14.1" customHeight="1">
      <c r="A16" s="461"/>
      <c r="B16" s="212"/>
      <c r="C16" s="943" t="s">
        <v>10</v>
      </c>
      <c r="D16" s="1078" t="s">
        <v>47</v>
      </c>
      <c r="E16" s="738">
        <v>6136.8</v>
      </c>
      <c r="F16" s="731">
        <v>6175</v>
      </c>
      <c r="G16" s="1106">
        <f t="shared" si="0"/>
        <v>0.62247425368269216</v>
      </c>
      <c r="H16" s="750">
        <f t="shared" si="3"/>
        <v>38.55429539825316</v>
      </c>
      <c r="I16" s="751">
        <f t="shared" si="3"/>
        <v>36.631578947368418</v>
      </c>
      <c r="J16" s="1114">
        <f t="shared" si="4"/>
        <v>-4.9870356364283497</v>
      </c>
      <c r="K16" s="744">
        <v>0</v>
      </c>
      <c r="L16" s="731">
        <v>0</v>
      </c>
      <c r="M16" s="1106">
        <v>0</v>
      </c>
      <c r="N16" s="744">
        <v>236.6</v>
      </c>
      <c r="O16" s="762">
        <v>226.2</v>
      </c>
      <c r="P16" s="1114">
        <f t="shared" si="2"/>
        <v>-4.3956043956044022</v>
      </c>
      <c r="Q16" s="127"/>
      <c r="R16" s="59"/>
    </row>
    <row r="17" spans="1:21" ht="14.1" customHeight="1">
      <c r="A17" s="461"/>
      <c r="B17" s="212"/>
      <c r="C17" s="1438" t="s">
        <v>7</v>
      </c>
      <c r="D17" s="1093" t="s">
        <v>427</v>
      </c>
      <c r="E17" s="736">
        <v>501214</v>
      </c>
      <c r="F17" s="996">
        <v>478056</v>
      </c>
      <c r="G17" s="1101">
        <f t="shared" si="0"/>
        <v>-4.6203817132003504</v>
      </c>
      <c r="H17" s="998">
        <f t="shared" si="3"/>
        <v>21.555064303870203</v>
      </c>
      <c r="I17" s="1119">
        <f t="shared" si="3"/>
        <v>22.608857539702463</v>
      </c>
      <c r="J17" s="1088">
        <f t="shared" si="4"/>
        <v>4.8888429232987862</v>
      </c>
      <c r="K17" s="775">
        <v>0</v>
      </c>
      <c r="L17" s="1110">
        <v>0</v>
      </c>
      <c r="M17" s="1102">
        <v>0</v>
      </c>
      <c r="N17" s="742">
        <v>10803.7</v>
      </c>
      <c r="O17" s="1085">
        <v>10808.3</v>
      </c>
      <c r="P17" s="1087">
        <f t="shared" si="2"/>
        <v>4.2578005683213682E-2</v>
      </c>
      <c r="Q17" s="127"/>
      <c r="R17" s="59"/>
    </row>
    <row r="18" spans="1:21" ht="14.1" customHeight="1">
      <c r="A18" s="461"/>
      <c r="B18" s="212"/>
      <c r="C18" s="1439"/>
      <c r="D18" s="1095" t="s">
        <v>426</v>
      </c>
      <c r="E18" s="736">
        <v>174369</v>
      </c>
      <c r="F18" s="996">
        <v>170634</v>
      </c>
      <c r="G18" s="1101">
        <f t="shared" si="0"/>
        <v>-2.1420091874128966</v>
      </c>
      <c r="H18" s="998">
        <f t="shared" si="3"/>
        <v>33.064937001416538</v>
      </c>
      <c r="I18" s="1119">
        <f t="shared" si="3"/>
        <v>24.806896632558576</v>
      </c>
      <c r="J18" s="1088">
        <f t="shared" si="4"/>
        <v>-24.975218820178547</v>
      </c>
      <c r="K18" s="775">
        <v>0</v>
      </c>
      <c r="L18" s="1110">
        <v>0</v>
      </c>
      <c r="M18" s="1102">
        <v>0</v>
      </c>
      <c r="N18" s="742">
        <v>5765.5</v>
      </c>
      <c r="O18" s="1085">
        <v>4232.8999999999996</v>
      </c>
      <c r="P18" s="1087">
        <f t="shared" si="2"/>
        <v>-26.582256525886748</v>
      </c>
      <c r="Q18" s="127"/>
      <c r="R18" s="59"/>
    </row>
    <row r="19" spans="1:21" ht="14.1" customHeight="1">
      <c r="A19" s="461"/>
      <c r="B19" s="212"/>
      <c r="C19" s="1439"/>
      <c r="D19" s="1093" t="s">
        <v>422</v>
      </c>
      <c r="E19" s="736">
        <v>284582</v>
      </c>
      <c r="F19" s="996">
        <v>278646</v>
      </c>
      <c r="G19" s="1101">
        <f t="shared" si="0"/>
        <v>-2.0858662880997358</v>
      </c>
      <c r="H19" s="998">
        <f t="shared" si="3"/>
        <v>18.640672987047669</v>
      </c>
      <c r="I19" s="1119">
        <f t="shared" si="3"/>
        <v>22.933399366938698</v>
      </c>
      <c r="J19" s="1088">
        <f t="shared" si="4"/>
        <v>23.02881651791111</v>
      </c>
      <c r="K19" s="775">
        <v>0</v>
      </c>
      <c r="L19" s="1110">
        <v>0</v>
      </c>
      <c r="M19" s="1102">
        <v>0</v>
      </c>
      <c r="N19" s="742">
        <v>5304.8</v>
      </c>
      <c r="O19" s="1085">
        <v>6390.3</v>
      </c>
      <c r="P19" s="1087">
        <f t="shared" si="2"/>
        <v>20.462599909515909</v>
      </c>
      <c r="Q19" s="127"/>
      <c r="R19" s="59"/>
      <c r="U19" s="506"/>
    </row>
    <row r="20" spans="1:21" ht="14.1" customHeight="1">
      <c r="A20" s="461"/>
      <c r="B20" s="212"/>
      <c r="C20" s="1439"/>
      <c r="D20" s="1093" t="s">
        <v>423</v>
      </c>
      <c r="E20" s="736">
        <v>8755</v>
      </c>
      <c r="F20" s="996">
        <v>8694</v>
      </c>
      <c r="G20" s="1101">
        <f t="shared" si="0"/>
        <v>-0.69674471730439835</v>
      </c>
      <c r="H20" s="1113">
        <v>0</v>
      </c>
      <c r="I20" s="1121">
        <v>0</v>
      </c>
      <c r="J20" s="1088">
        <v>0</v>
      </c>
      <c r="K20" s="998">
        <f>N20*1000/E20</f>
        <v>22.07881210736722</v>
      </c>
      <c r="L20" s="1125">
        <f>O20*1000/F20</f>
        <v>25.212790430181734</v>
      </c>
      <c r="M20" s="1102">
        <f t="shared" si="1"/>
        <v>14.19450606116972</v>
      </c>
      <c r="N20" s="742">
        <v>193.3</v>
      </c>
      <c r="O20" s="1085">
        <v>219.2</v>
      </c>
      <c r="P20" s="1087">
        <f t="shared" si="2"/>
        <v>13.398861872736667</v>
      </c>
      <c r="Q20" s="127"/>
      <c r="R20" s="59"/>
    </row>
    <row r="21" spans="1:21" ht="14.1" customHeight="1">
      <c r="A21" s="461"/>
      <c r="B21" s="212"/>
      <c r="C21" s="1439"/>
      <c r="D21" s="1093" t="s">
        <v>424</v>
      </c>
      <c r="E21" s="736">
        <v>34914</v>
      </c>
      <c r="F21" s="996">
        <v>28161</v>
      </c>
      <c r="G21" s="1101">
        <f t="shared" si="0"/>
        <v>-19.341811307784841</v>
      </c>
      <c r="H21" s="998">
        <f t="shared" si="3"/>
        <v>22.054190296156271</v>
      </c>
      <c r="I21" s="1119">
        <f t="shared" si="3"/>
        <v>18.969496821845816</v>
      </c>
      <c r="J21" s="1088">
        <f t="shared" si="4"/>
        <v>-13.986881553516262</v>
      </c>
      <c r="K21" s="775">
        <v>0</v>
      </c>
      <c r="L21" s="1110">
        <v>0</v>
      </c>
      <c r="M21" s="1102">
        <v>0</v>
      </c>
      <c r="N21" s="742">
        <v>770</v>
      </c>
      <c r="O21" s="1085">
        <v>534.20000000000005</v>
      </c>
      <c r="P21" s="1087">
        <f t="shared" si="2"/>
        <v>-30.623376623376618</v>
      </c>
      <c r="Q21" s="127"/>
      <c r="R21" s="59"/>
    </row>
    <row r="22" spans="1:21" ht="14.1" customHeight="1">
      <c r="A22" s="461"/>
      <c r="B22" s="212"/>
      <c r="C22" s="1439"/>
      <c r="D22" s="1001" t="s">
        <v>425</v>
      </c>
      <c r="E22" s="1002">
        <v>4714</v>
      </c>
      <c r="F22" s="999">
        <v>4681</v>
      </c>
      <c r="G22" s="1105">
        <f t="shared" si="0"/>
        <v>-0.70004242681375173</v>
      </c>
      <c r="H22" s="772">
        <v>0</v>
      </c>
      <c r="I22" s="773">
        <v>0</v>
      </c>
      <c r="J22" s="1116">
        <v>0</v>
      </c>
      <c r="K22" s="771">
        <f>N22*1000/E22</f>
        <v>22.083156554942725</v>
      </c>
      <c r="L22" s="777">
        <f>O22*1000/F22</f>
        <v>25.208288827173682</v>
      </c>
      <c r="M22" s="1108">
        <f t="shared" si="1"/>
        <v>14.151655649660633</v>
      </c>
      <c r="N22" s="1127">
        <v>104.1</v>
      </c>
      <c r="O22" s="504">
        <v>118</v>
      </c>
      <c r="P22" s="1129">
        <f t="shared" si="2"/>
        <v>13.352545629202694</v>
      </c>
      <c r="Q22" s="127"/>
      <c r="R22" s="59"/>
    </row>
    <row r="23" spans="1:21" ht="14.1" customHeight="1">
      <c r="A23" s="461"/>
      <c r="B23" s="212"/>
      <c r="C23" s="1440"/>
      <c r="D23" s="1133" t="s">
        <v>127</v>
      </c>
      <c r="E23" s="744">
        <f>E17+E18+E19+E20+E21+E22</f>
        <v>1008548</v>
      </c>
      <c r="F23" s="751">
        <f>F17+F18+F19+F20+F21+F22</f>
        <v>968872</v>
      </c>
      <c r="G23" s="1106">
        <f>(F23/E23-1)*100</f>
        <v>-3.9339724038915391</v>
      </c>
      <c r="H23" s="750">
        <f>SUM(N17+N18+N19+N21)*1000/SUM(E17+E18+E19+E21)</f>
        <v>22.755982188348863</v>
      </c>
      <c r="I23" s="1120">
        <f>SUM(O17+O18+O19+O21)*1000/SUM(F17+F18+F19+F21)</f>
        <v>22.988769195507679</v>
      </c>
      <c r="J23" s="1114">
        <f>(I23/H23-1)*100</f>
        <v>1.0229705983774373</v>
      </c>
      <c r="K23" s="750">
        <f>SUM(N20+N22)*1000/SUM(E20+E22)</f>
        <v>22.080332615635903</v>
      </c>
      <c r="L23" s="1120">
        <f>SUM(O20+O22)*1000/SUM(F20+F22)</f>
        <v>25.211214953271028</v>
      </c>
      <c r="M23" s="1106">
        <f>(L23/K23-1)*100</f>
        <v>14.179507130332048</v>
      </c>
      <c r="N23" s="744">
        <f>N17+N18+N19+N20+N21+N22</f>
        <v>22941.399999999998</v>
      </c>
      <c r="O23" s="751">
        <f>O17+O18+O19+O20+O21+O22</f>
        <v>22302.9</v>
      </c>
      <c r="P23" s="1114">
        <f>(O23/N23-1)*100</f>
        <v>-2.7831780100603942</v>
      </c>
      <c r="Q23" s="127"/>
      <c r="R23" s="59"/>
    </row>
    <row r="24" spans="1:21" ht="14.1" customHeight="1">
      <c r="A24" s="461"/>
      <c r="B24" s="212"/>
      <c r="C24" s="1397" t="s">
        <v>29</v>
      </c>
      <c r="D24" s="1089" t="s">
        <v>47</v>
      </c>
      <c r="E24" s="736">
        <v>150118</v>
      </c>
      <c r="F24" s="996">
        <v>150118</v>
      </c>
      <c r="G24" s="1101">
        <f t="shared" si="0"/>
        <v>0</v>
      </c>
      <c r="H24" s="998">
        <f t="shared" si="3"/>
        <v>19.029696638644268</v>
      </c>
      <c r="I24" s="1119">
        <f t="shared" si="3"/>
        <v>19.577932026805581</v>
      </c>
      <c r="J24" s="1088">
        <f t="shared" si="4"/>
        <v>2.8809465467147355</v>
      </c>
      <c r="K24" s="775">
        <v>0</v>
      </c>
      <c r="L24" s="1110">
        <v>0</v>
      </c>
      <c r="M24" s="1102">
        <v>0</v>
      </c>
      <c r="N24" s="742">
        <v>2856.7</v>
      </c>
      <c r="O24" s="1085">
        <v>2939</v>
      </c>
      <c r="P24" s="1087">
        <f t="shared" si="2"/>
        <v>2.8809465467147577</v>
      </c>
      <c r="Q24" s="127"/>
      <c r="R24" s="59"/>
    </row>
    <row r="25" spans="1:21" ht="14.1" customHeight="1">
      <c r="A25" s="461"/>
      <c r="B25" s="212"/>
      <c r="C25" s="1398"/>
      <c r="D25" s="1001" t="s">
        <v>48</v>
      </c>
      <c r="E25" s="1002">
        <v>283124</v>
      </c>
      <c r="F25" s="999">
        <v>283124</v>
      </c>
      <c r="G25" s="1105">
        <f t="shared" si="0"/>
        <v>0</v>
      </c>
      <c r="H25" s="772">
        <v>0</v>
      </c>
      <c r="I25" s="773">
        <v>0</v>
      </c>
      <c r="J25" s="1116">
        <v>0</v>
      </c>
      <c r="K25" s="771">
        <f>N25*1000/E25</f>
        <v>35.140079964962347</v>
      </c>
      <c r="L25" s="777">
        <f>O25*1000/F25</f>
        <v>27.41201734928865</v>
      </c>
      <c r="M25" s="1108">
        <f t="shared" si="1"/>
        <v>-21.992160016082018</v>
      </c>
      <c r="N25" s="1127">
        <v>9949</v>
      </c>
      <c r="O25" s="504">
        <v>7761</v>
      </c>
      <c r="P25" s="1129">
        <f t="shared" si="2"/>
        <v>-21.992160016082018</v>
      </c>
      <c r="Q25" s="127"/>
      <c r="R25" s="59"/>
    </row>
    <row r="26" spans="1:21" ht="14.1" customHeight="1">
      <c r="A26" s="461"/>
      <c r="B26" s="212"/>
      <c r="C26" s="1399"/>
      <c r="D26" s="1000" t="s">
        <v>127</v>
      </c>
      <c r="E26" s="737">
        <f>E24+E25</f>
        <v>433242</v>
      </c>
      <c r="F26" s="735">
        <f>F24+F25</f>
        <v>433242</v>
      </c>
      <c r="G26" s="1107">
        <f>(F26/E26-1)*100</f>
        <v>0</v>
      </c>
      <c r="H26" s="750">
        <f>N24*1000/E24</f>
        <v>19.029696638644268</v>
      </c>
      <c r="I26" s="1120">
        <f>O24*1000/F24</f>
        <v>19.577932026805581</v>
      </c>
      <c r="J26" s="1117">
        <f>(I26/H26-1)*100</f>
        <v>2.8809465467147355</v>
      </c>
      <c r="K26" s="750">
        <f>N25*1000/E25</f>
        <v>35.140079964962347</v>
      </c>
      <c r="L26" s="1120">
        <f>O25*1000/F25</f>
        <v>27.41201734928865</v>
      </c>
      <c r="M26" s="1107">
        <f>(L26/K26-1)*100</f>
        <v>-21.992160016082018</v>
      </c>
      <c r="N26" s="743">
        <f>N24+N25</f>
        <v>12805.7</v>
      </c>
      <c r="O26" s="814">
        <f>O24+O25</f>
        <v>10700</v>
      </c>
      <c r="P26" s="1117">
        <f>(O26/N26-1)*100</f>
        <v>-16.443458772265483</v>
      </c>
      <c r="Q26" s="127"/>
      <c r="R26" s="59"/>
    </row>
    <row r="27" spans="1:21" ht="14.1" customHeight="1">
      <c r="A27" s="461"/>
      <c r="B27" s="212"/>
      <c r="C27" s="1131" t="s">
        <v>30</v>
      </c>
      <c r="D27" s="1078" t="s">
        <v>47</v>
      </c>
      <c r="E27" s="738">
        <v>12783</v>
      </c>
      <c r="F27" s="731">
        <v>12538</v>
      </c>
      <c r="G27" s="1106">
        <f t="shared" si="0"/>
        <v>-1.9166079949933468</v>
      </c>
      <c r="H27" s="750">
        <f t="shared" si="3"/>
        <v>22.866306813736994</v>
      </c>
      <c r="I27" s="751">
        <f t="shared" si="3"/>
        <v>24.69293348221407</v>
      </c>
      <c r="J27" s="1114">
        <f t="shared" si="4"/>
        <v>7.9882889849957062</v>
      </c>
      <c r="K27" s="744">
        <v>0</v>
      </c>
      <c r="L27" s="731">
        <v>0</v>
      </c>
      <c r="M27" s="1106">
        <v>0</v>
      </c>
      <c r="N27" s="744">
        <v>292.3</v>
      </c>
      <c r="O27" s="762">
        <v>309.60000000000002</v>
      </c>
      <c r="P27" s="1114">
        <f t="shared" si="2"/>
        <v>5.9185768046527532</v>
      </c>
      <c r="Q27" s="127"/>
      <c r="R27" s="59"/>
    </row>
    <row r="28" spans="1:21" ht="14.1" customHeight="1">
      <c r="A28" s="461"/>
      <c r="B28" s="212"/>
      <c r="C28" s="1132" t="s">
        <v>8</v>
      </c>
      <c r="D28" s="1078" t="s">
        <v>47</v>
      </c>
      <c r="E28" s="738">
        <v>199686</v>
      </c>
      <c r="F28" s="731">
        <v>198971.3</v>
      </c>
      <c r="G28" s="1106">
        <f t="shared" si="0"/>
        <v>-0.35791192171710229</v>
      </c>
      <c r="H28" s="750">
        <f t="shared" si="3"/>
        <v>22.980078723596044</v>
      </c>
      <c r="I28" s="751">
        <f t="shared" si="3"/>
        <v>20.424553691914362</v>
      </c>
      <c r="J28" s="1114">
        <f t="shared" si="4"/>
        <v>-11.120610431406652</v>
      </c>
      <c r="K28" s="744">
        <v>0</v>
      </c>
      <c r="L28" s="731">
        <v>0</v>
      </c>
      <c r="M28" s="1106">
        <v>0</v>
      </c>
      <c r="N28" s="744">
        <v>4588.8</v>
      </c>
      <c r="O28" s="762">
        <v>4063.9</v>
      </c>
      <c r="P28" s="1114">
        <f t="shared" si="2"/>
        <v>-11.438720362622036</v>
      </c>
      <c r="Q28" s="127"/>
      <c r="R28" s="59"/>
    </row>
    <row r="29" spans="1:21" ht="14.1" customHeight="1">
      <c r="A29" s="461"/>
      <c r="B29" s="212"/>
      <c r="C29" s="943" t="s">
        <v>6</v>
      </c>
      <c r="D29" s="1134" t="s">
        <v>47</v>
      </c>
      <c r="E29" s="738">
        <v>33251</v>
      </c>
      <c r="F29" s="731">
        <v>44500</v>
      </c>
      <c r="G29" s="1106">
        <f t="shared" si="0"/>
        <v>33.830561486872583</v>
      </c>
      <c r="H29" s="750">
        <f t="shared" si="3"/>
        <v>16.799494752037532</v>
      </c>
      <c r="I29" s="751">
        <f t="shared" si="3"/>
        <v>28.988764044943821</v>
      </c>
      <c r="J29" s="1114">
        <f t="shared" si="4"/>
        <v>72.557356473044578</v>
      </c>
      <c r="K29" s="744">
        <v>0</v>
      </c>
      <c r="L29" s="731">
        <v>0</v>
      </c>
      <c r="M29" s="1106">
        <v>0</v>
      </c>
      <c r="N29" s="744">
        <v>558.6</v>
      </c>
      <c r="O29" s="762">
        <v>1290</v>
      </c>
      <c r="P29" s="1114">
        <f t="shared" si="2"/>
        <v>130.93447905477981</v>
      </c>
      <c r="Q29" s="127"/>
      <c r="R29" s="59"/>
    </row>
    <row r="30" spans="1:21" ht="14.1" customHeight="1">
      <c r="A30" s="461"/>
      <c r="B30" s="212"/>
      <c r="C30" s="1441" t="s">
        <v>14</v>
      </c>
      <c r="D30" s="1089" t="s">
        <v>47</v>
      </c>
      <c r="E30" s="1104">
        <v>10862</v>
      </c>
      <c r="F30" s="1110">
        <v>8450</v>
      </c>
      <c r="G30" s="1102">
        <f t="shared" si="0"/>
        <v>-22.205855275271592</v>
      </c>
      <c r="H30" s="998">
        <f t="shared" si="3"/>
        <v>8.5343399005707976</v>
      </c>
      <c r="I30" s="1119">
        <f t="shared" si="3"/>
        <v>10.662721893491124</v>
      </c>
      <c r="J30" s="1088">
        <f t="shared" si="4"/>
        <v>24.939034743366317</v>
      </c>
      <c r="K30" s="1123">
        <v>0</v>
      </c>
      <c r="L30" s="1110">
        <v>0</v>
      </c>
      <c r="M30" s="1102">
        <v>0</v>
      </c>
      <c r="N30" s="1113">
        <v>92.7</v>
      </c>
      <c r="O30" s="1121">
        <v>90.1</v>
      </c>
      <c r="P30" s="1088">
        <f t="shared" si="2"/>
        <v>-2.8047464940668898</v>
      </c>
      <c r="Q30" s="127"/>
      <c r="R30" s="59"/>
    </row>
    <row r="31" spans="1:21" ht="14.1" customHeight="1">
      <c r="A31" s="461"/>
      <c r="B31" s="212"/>
      <c r="C31" s="1442"/>
      <c r="D31" s="1001" t="s">
        <v>48</v>
      </c>
      <c r="E31" s="1081">
        <v>1725</v>
      </c>
      <c r="F31" s="1111">
        <v>1559</v>
      </c>
      <c r="G31" s="1108">
        <f t="shared" si="0"/>
        <v>-9.6231884057971016</v>
      </c>
      <c r="H31" s="772">
        <v>0</v>
      </c>
      <c r="I31" s="773">
        <v>0</v>
      </c>
      <c r="J31" s="1116">
        <v>0</v>
      </c>
      <c r="K31" s="771">
        <f>N31*1000/E31</f>
        <v>23.188405797101449</v>
      </c>
      <c r="L31" s="777">
        <f>O31*1000/F31</f>
        <v>24.50288646568313</v>
      </c>
      <c r="M31" s="1108">
        <f t="shared" si="1"/>
        <v>5.6686978832585</v>
      </c>
      <c r="N31" s="1128">
        <v>40</v>
      </c>
      <c r="O31" s="1111">
        <v>38.200000000000003</v>
      </c>
      <c r="P31" s="1129">
        <f t="shared" si="2"/>
        <v>-4.4999999999999929</v>
      </c>
      <c r="Q31" s="127"/>
      <c r="R31" s="59"/>
    </row>
    <row r="32" spans="1:21" ht="14.1" customHeight="1" thickBot="1">
      <c r="A32" s="461"/>
      <c r="B32" s="212"/>
      <c r="C32" s="1443"/>
      <c r="D32" s="1000" t="s">
        <v>127</v>
      </c>
      <c r="E32" s="737">
        <f>E30+E31</f>
        <v>12587</v>
      </c>
      <c r="F32" s="1112">
        <f>F30+F31</f>
        <v>10009</v>
      </c>
      <c r="G32" s="1107">
        <f>(F32/E32-1)*100</f>
        <v>-20.481449114165407</v>
      </c>
      <c r="H32" s="1141">
        <f>N30*1000/E30</f>
        <v>8.5343399005707976</v>
      </c>
      <c r="I32" s="1142">
        <f>O32*1000/F32</f>
        <v>12.818463382955342</v>
      </c>
      <c r="J32" s="1143">
        <f>(I32/H32-1)*100</f>
        <v>50.19865077201824</v>
      </c>
      <c r="K32" s="1141">
        <f>N31*1000/E31</f>
        <v>23.188405797101449</v>
      </c>
      <c r="L32" s="1144">
        <f>O31*1000/F31</f>
        <v>24.50288646568313</v>
      </c>
      <c r="M32" s="1145">
        <f>(L32/K32-1)*100</f>
        <v>5.6686978832585</v>
      </c>
      <c r="N32" s="1092">
        <f>N30+N31</f>
        <v>132.69999999999999</v>
      </c>
      <c r="O32" s="1103">
        <f>O30+O31</f>
        <v>128.30000000000001</v>
      </c>
      <c r="P32" s="460">
        <f>(O32/N32-1)*100</f>
        <v>-3.3157498116051065</v>
      </c>
      <c r="Q32" s="127"/>
      <c r="R32" s="59"/>
    </row>
    <row r="33" spans="1:21" ht="14.1" customHeight="1">
      <c r="A33" s="461"/>
      <c r="B33" s="212"/>
      <c r="C33" s="988"/>
      <c r="D33" s="1147" t="s">
        <v>47</v>
      </c>
      <c r="E33" s="1148">
        <f>E9+E10+E13+E16+E17+E18+E19+E21+E24+E27+E28+E29+E30</f>
        <v>1519389.8</v>
      </c>
      <c r="F33" s="1150">
        <f>F9+F10+F13+F16+F17+F18+F19+F21+F24+F27+F28+F29+F30</f>
        <v>1479810.3</v>
      </c>
      <c r="G33" s="1152">
        <f>(F33/E33-1)*100</f>
        <v>-2.6049602281126294</v>
      </c>
      <c r="H33" s="1407">
        <f t="shared" si="3"/>
        <v>21.457956345369698</v>
      </c>
      <c r="I33" s="1415">
        <f t="shared" si="3"/>
        <v>21.657032661551277</v>
      </c>
      <c r="J33" s="1405">
        <f>(I33/H33-1)*100</f>
        <v>0.9277505880681769</v>
      </c>
      <c r="K33" s="1407">
        <f>N34*1000/E34</f>
        <v>29.541854473020472</v>
      </c>
      <c r="L33" s="1415">
        <f>O34*1000/F34</f>
        <v>25.294168189135902</v>
      </c>
      <c r="M33" s="1405">
        <f>(L33/K33-1)*100</f>
        <v>-14.37853635005829</v>
      </c>
      <c r="N33" s="1148">
        <f>N9+N10+N13+N16+N17+N18+N19+N21+N24+N27+N28+N29+N30</f>
        <v>32602.999999999996</v>
      </c>
      <c r="O33" s="1153">
        <f>O9+O10+O13+O16+O17+O18+O19+O21+O24+O27+O28+O29+O30</f>
        <v>32048.299999999996</v>
      </c>
      <c r="P33" s="1151">
        <f>(O33/N33-1)*100</f>
        <v>-1.7013771738797034</v>
      </c>
      <c r="Q33" s="127"/>
      <c r="R33" s="59"/>
      <c r="S33" s="734" t="s">
        <v>307</v>
      </c>
    </row>
    <row r="34" spans="1:21" ht="14.1" customHeight="1" thickBot="1">
      <c r="A34" s="461"/>
      <c r="B34" s="212"/>
      <c r="C34" s="989" t="s">
        <v>551</v>
      </c>
      <c r="D34" s="1146" t="s">
        <v>48</v>
      </c>
      <c r="E34" s="991">
        <f>E7+E8+E11+E14+E20+E22+E25+E31</f>
        <v>441279</v>
      </c>
      <c r="F34" s="992">
        <f>F7+F8+F11+F14+F20+F22+F25+F31</f>
        <v>442264</v>
      </c>
      <c r="G34" s="953">
        <f>(F34/E34-1)*100</f>
        <v>0.22321479154912005</v>
      </c>
      <c r="H34" s="1408"/>
      <c r="I34" s="1416"/>
      <c r="J34" s="1406"/>
      <c r="K34" s="1408"/>
      <c r="L34" s="1416"/>
      <c r="M34" s="1406"/>
      <c r="N34" s="1154">
        <f>N7+N8+N11+N14+N20+N22+N25+N31</f>
        <v>13036.2</v>
      </c>
      <c r="O34" s="951">
        <f>O7+O8+O11+O14+O20+O22+O25+O31</f>
        <v>11186.7</v>
      </c>
      <c r="P34" s="953">
        <f>(O34/N34-1)*100</f>
        <v>-14.187416578450772</v>
      </c>
      <c r="Q34" s="127"/>
      <c r="R34" s="59"/>
      <c r="U34" s="1222"/>
    </row>
    <row r="35" spans="1:21" ht="14.1" customHeight="1" thickBot="1">
      <c r="A35" s="461"/>
      <c r="B35" s="212"/>
      <c r="C35" s="990"/>
      <c r="D35" s="949" t="s">
        <v>552</v>
      </c>
      <c r="E35" s="991">
        <f>E33+E34</f>
        <v>1960668.8</v>
      </c>
      <c r="F35" s="992">
        <f>F33+F34</f>
        <v>1922074.3</v>
      </c>
      <c r="G35" s="993">
        <f t="shared" si="0"/>
        <v>-1.9684354644700863</v>
      </c>
      <c r="H35" s="1418">
        <f>N35*1000/E35</f>
        <v>23.277363316027675</v>
      </c>
      <c r="I35" s="1419"/>
      <c r="J35" s="1418">
        <f>O35*1000/F35</f>
        <v>22.493927524029637</v>
      </c>
      <c r="K35" s="1419"/>
      <c r="L35" s="1420">
        <f>(J35/H35-1)*100</f>
        <v>-3.3656552134433637</v>
      </c>
      <c r="M35" s="1421"/>
      <c r="N35" s="951">
        <f>N33+N34</f>
        <v>45639.199999999997</v>
      </c>
      <c r="O35" s="994">
        <f>O33+O34</f>
        <v>43235</v>
      </c>
      <c r="P35" s="953">
        <f t="shared" si="2"/>
        <v>-5.2678399270802201</v>
      </c>
      <c r="Q35" s="127"/>
      <c r="R35" s="59"/>
    </row>
    <row r="36" spans="1:21" ht="15" customHeight="1">
      <c r="A36" s="461"/>
      <c r="B36" s="212"/>
      <c r="C36" s="193" t="s">
        <v>345</v>
      </c>
      <c r="D36" s="732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191"/>
      <c r="R36" s="59"/>
    </row>
    <row r="37" spans="1:21">
      <c r="A37" s="461"/>
      <c r="B37" s="461"/>
      <c r="C37" s="461"/>
      <c r="D37" s="462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1:21">
      <c r="D38"/>
      <c r="E38"/>
      <c r="F38" s="4"/>
      <c r="G38" s="4"/>
      <c r="H38"/>
      <c r="I38" s="4"/>
      <c r="J38" s="4"/>
      <c r="K38"/>
      <c r="L38" s="4"/>
      <c r="M38" s="4"/>
      <c r="N38"/>
      <c r="O38" s="4"/>
      <c r="P38" s="4"/>
      <c r="Q38"/>
      <c r="R38"/>
    </row>
    <row r="39" spans="1:21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21"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1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21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21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21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21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21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21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21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4:16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4:16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4:16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4:16">
      <c r="D62"/>
    </row>
  </sheetData>
  <mergeCells count="25">
    <mergeCell ref="A1:R1"/>
    <mergeCell ref="B2:Q2"/>
    <mergeCell ref="H35:I35"/>
    <mergeCell ref="J35:K35"/>
    <mergeCell ref="L35:M35"/>
    <mergeCell ref="H4:M4"/>
    <mergeCell ref="C3:P3"/>
    <mergeCell ref="C4:D6"/>
    <mergeCell ref="E4:G4"/>
    <mergeCell ref="N4:P4"/>
    <mergeCell ref="E5:G5"/>
    <mergeCell ref="H5:J5"/>
    <mergeCell ref="K5:M5"/>
    <mergeCell ref="N5:P5"/>
    <mergeCell ref="C9:C12"/>
    <mergeCell ref="C13:C15"/>
    <mergeCell ref="J33:J34"/>
    <mergeCell ref="K33:K34"/>
    <mergeCell ref="L33:L34"/>
    <mergeCell ref="M33:M34"/>
    <mergeCell ref="C17:C23"/>
    <mergeCell ref="C24:C26"/>
    <mergeCell ref="C30:C32"/>
    <mergeCell ref="H33:H34"/>
    <mergeCell ref="I33:I3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W62"/>
  <sheetViews>
    <sheetView workbookViewId="0">
      <selection activeCell="T34" sqref="T34"/>
    </sheetView>
  </sheetViews>
  <sheetFormatPr defaultRowHeight="15"/>
  <cols>
    <col min="1" max="2" width="2.7109375" style="1" customWidth="1"/>
    <col min="3" max="3" width="8.7109375" style="1" customWidth="1"/>
    <col min="4" max="4" width="19.7109375" style="27" customWidth="1"/>
    <col min="5" max="6" width="10.7109375" style="27" customWidth="1"/>
    <col min="7" max="7" width="6.7109375" style="27" bestFit="1" customWidth="1"/>
    <col min="8" max="13" width="6.7109375" style="27" customWidth="1"/>
    <col min="14" max="15" width="7.7109375" style="27" bestFit="1" customWidth="1"/>
    <col min="16" max="16" width="8.28515625" style="27" bestFit="1" customWidth="1"/>
    <col min="17" max="18" width="2.7109375" style="1" customWidth="1"/>
    <col min="19" max="16384" width="9.140625" style="1"/>
  </cols>
  <sheetData>
    <row r="1" spans="1:18" ht="15" customHeight="1">
      <c r="A1" s="1449" t="s">
        <v>463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9"/>
      <c r="P1" s="1449"/>
      <c r="Q1" s="1449"/>
      <c r="R1" s="1449"/>
    </row>
    <row r="2" spans="1:18" ht="15.75">
      <c r="A2" s="461"/>
      <c r="B2" s="212"/>
      <c r="C2" s="1426" t="s">
        <v>421</v>
      </c>
      <c r="D2" s="1426"/>
      <c r="E2" s="1426"/>
      <c r="F2" s="1426"/>
      <c r="G2" s="1426"/>
      <c r="H2" s="1426"/>
      <c r="I2" s="1426"/>
      <c r="J2" s="1426"/>
      <c r="K2" s="1426"/>
      <c r="L2" s="1426"/>
      <c r="M2" s="1426"/>
      <c r="N2" s="1426"/>
      <c r="O2" s="1426"/>
      <c r="P2" s="1426"/>
      <c r="Q2" s="191"/>
      <c r="R2" s="59"/>
    </row>
    <row r="3" spans="1:18" ht="13.5" customHeight="1" thickBot="1">
      <c r="A3" s="461"/>
      <c r="B3" s="212"/>
      <c r="C3" s="1427" t="s">
        <v>467</v>
      </c>
      <c r="D3" s="1427"/>
      <c r="E3" s="1427"/>
      <c r="F3" s="1427"/>
      <c r="G3" s="1427"/>
      <c r="H3" s="1427"/>
      <c r="I3" s="1427"/>
      <c r="J3" s="1427"/>
      <c r="K3" s="1427"/>
      <c r="L3" s="1427"/>
      <c r="M3" s="1427"/>
      <c r="N3" s="1427"/>
      <c r="O3" s="1427"/>
      <c r="P3" s="1427"/>
      <c r="Q3" s="191"/>
      <c r="R3" s="59"/>
    </row>
    <row r="4" spans="1:18" ht="11.1" customHeight="1" thickBot="1">
      <c r="A4" s="461"/>
      <c r="B4" s="212"/>
      <c r="C4" s="1425" t="s">
        <v>431</v>
      </c>
      <c r="D4" s="1425"/>
      <c r="E4" s="1429" t="s">
        <v>430</v>
      </c>
      <c r="F4" s="1430"/>
      <c r="G4" s="1431"/>
      <c r="H4" s="1422" t="s">
        <v>495</v>
      </c>
      <c r="I4" s="1423"/>
      <c r="J4" s="1423"/>
      <c r="K4" s="1423"/>
      <c r="L4" s="1423"/>
      <c r="M4" s="1424"/>
      <c r="N4" s="1425" t="s">
        <v>349</v>
      </c>
      <c r="O4" s="1425"/>
      <c r="P4" s="1425"/>
      <c r="Q4" s="127"/>
      <c r="R4" s="59"/>
    </row>
    <row r="5" spans="1:18" ht="15.75" customHeight="1" thickBot="1">
      <c r="A5" s="461"/>
      <c r="B5" s="212"/>
      <c r="C5" s="1425"/>
      <c r="D5" s="1425"/>
      <c r="E5" s="1450" t="s">
        <v>428</v>
      </c>
      <c r="F5" s="1451"/>
      <c r="G5" s="1452"/>
      <c r="H5" s="1433" t="s">
        <v>504</v>
      </c>
      <c r="I5" s="1433"/>
      <c r="J5" s="1434"/>
      <c r="K5" s="1432" t="s">
        <v>503</v>
      </c>
      <c r="L5" s="1433"/>
      <c r="M5" s="1434"/>
      <c r="N5" s="1432" t="s">
        <v>429</v>
      </c>
      <c r="O5" s="1433"/>
      <c r="P5" s="1433"/>
      <c r="Q5" s="127"/>
      <c r="R5" s="59"/>
    </row>
    <row r="6" spans="1:18" ht="11.1" customHeight="1" thickBot="1">
      <c r="A6" s="461"/>
      <c r="B6" s="212"/>
      <c r="C6" s="1428"/>
      <c r="D6" s="1428"/>
      <c r="E6" s="1186">
        <v>2013</v>
      </c>
      <c r="F6" s="1187">
        <v>2014</v>
      </c>
      <c r="G6" s="1188" t="s">
        <v>12</v>
      </c>
      <c r="H6" s="944">
        <v>2013</v>
      </c>
      <c r="I6" s="945">
        <v>2014</v>
      </c>
      <c r="J6" s="946" t="s">
        <v>12</v>
      </c>
      <c r="K6" s="944">
        <v>2013</v>
      </c>
      <c r="L6" s="945">
        <v>2014</v>
      </c>
      <c r="M6" s="946" t="s">
        <v>12</v>
      </c>
      <c r="N6" s="944">
        <v>2013</v>
      </c>
      <c r="O6" s="945">
        <v>2014</v>
      </c>
      <c r="P6" s="948" t="s">
        <v>12</v>
      </c>
      <c r="Q6" s="127"/>
      <c r="R6" s="59"/>
    </row>
    <row r="7" spans="1:18" ht="14.1" customHeight="1">
      <c r="A7" s="461"/>
      <c r="B7" s="212"/>
      <c r="C7" s="997" t="s">
        <v>3</v>
      </c>
      <c r="D7" s="1097" t="s">
        <v>48</v>
      </c>
      <c r="E7" s="758">
        <v>102840</v>
      </c>
      <c r="F7" s="759">
        <v>86004</v>
      </c>
      <c r="G7" s="1158">
        <f t="shared" ref="G7:G35" si="0">(F7/E7-1)*100</f>
        <v>-16.371061843640611</v>
      </c>
      <c r="H7" s="763">
        <v>0</v>
      </c>
      <c r="I7" s="764">
        <v>0</v>
      </c>
      <c r="J7" s="765">
        <v>0</v>
      </c>
      <c r="K7" s="766">
        <f>N7*1000/E7</f>
        <v>13.195254764683003</v>
      </c>
      <c r="L7" s="767">
        <f>O7*1000/F7</f>
        <v>17.177108041486441</v>
      </c>
      <c r="M7" s="765">
        <f t="shared" ref="M7:M31" si="1">(L7/K7-1)*100</f>
        <v>30.176403167757226</v>
      </c>
      <c r="N7" s="1162">
        <v>1357</v>
      </c>
      <c r="O7" s="753">
        <v>1477.3</v>
      </c>
      <c r="P7" s="754">
        <f t="shared" ref="P7:P35" si="2">(O7/N7-1)*100</f>
        <v>8.8651436993367749</v>
      </c>
      <c r="Q7" s="127"/>
      <c r="R7" s="59"/>
    </row>
    <row r="8" spans="1:18" ht="14.1" customHeight="1">
      <c r="A8" s="461"/>
      <c r="B8" s="212"/>
      <c r="C8" s="943" t="s">
        <v>4</v>
      </c>
      <c r="D8" s="1098" t="s">
        <v>48</v>
      </c>
      <c r="E8" s="738">
        <v>6383</v>
      </c>
      <c r="F8" s="731">
        <v>4377</v>
      </c>
      <c r="G8" s="1106">
        <f t="shared" si="0"/>
        <v>-31.427228575904742</v>
      </c>
      <c r="H8" s="768">
        <v>0</v>
      </c>
      <c r="I8" s="769">
        <v>0</v>
      </c>
      <c r="J8" s="770">
        <v>0</v>
      </c>
      <c r="K8" s="748">
        <f>N8*1000/E8</f>
        <v>19.066269779100736</v>
      </c>
      <c r="L8" s="777">
        <f>O8*1000/F8</f>
        <v>15.695681973954764</v>
      </c>
      <c r="M8" s="770">
        <f t="shared" si="1"/>
        <v>-17.678276056077845</v>
      </c>
      <c r="N8" s="746">
        <v>121.7</v>
      </c>
      <c r="O8" s="745">
        <v>68.7</v>
      </c>
      <c r="P8" s="459">
        <f t="shared" si="2"/>
        <v>-43.549712407559568</v>
      </c>
      <c r="Q8" s="127"/>
      <c r="R8" s="59"/>
    </row>
    <row r="9" spans="1:18" ht="14.1" customHeight="1">
      <c r="A9" s="461"/>
      <c r="B9" s="212"/>
      <c r="C9" s="1435" t="s">
        <v>5</v>
      </c>
      <c r="D9" s="1086" t="s">
        <v>418</v>
      </c>
      <c r="E9" s="736">
        <v>11858.2</v>
      </c>
      <c r="F9" s="996">
        <v>11973</v>
      </c>
      <c r="G9" s="1101">
        <f t="shared" si="0"/>
        <v>0.96810645797844597</v>
      </c>
      <c r="H9" s="1082">
        <f t="shared" ref="H9:I30" si="3">N9*1000/E9</f>
        <v>33.647602502909379</v>
      </c>
      <c r="I9" s="1118">
        <f t="shared" si="3"/>
        <v>36.340098555082271</v>
      </c>
      <c r="J9" s="1102">
        <f>(I9/H9-1)*100</f>
        <v>8.002044282174591</v>
      </c>
      <c r="K9" s="775">
        <v>0</v>
      </c>
      <c r="L9" s="1083">
        <v>0</v>
      </c>
      <c r="M9" s="1084">
        <v>0</v>
      </c>
      <c r="N9" s="1094">
        <v>399</v>
      </c>
      <c r="O9" s="505">
        <v>435.1</v>
      </c>
      <c r="P9" s="1079">
        <f t="shared" si="2"/>
        <v>9.0476190476190599</v>
      </c>
      <c r="Q9" s="127"/>
      <c r="R9" s="59"/>
    </row>
    <row r="10" spans="1:18" ht="14.1" customHeight="1">
      <c r="A10" s="461"/>
      <c r="B10" s="212"/>
      <c r="C10" s="1436"/>
      <c r="D10" s="1086" t="s">
        <v>419</v>
      </c>
      <c r="E10" s="736">
        <v>98473.7</v>
      </c>
      <c r="F10" s="996">
        <v>99366</v>
      </c>
      <c r="G10" s="1101">
        <f t="shared" si="0"/>
        <v>0.90613026625383508</v>
      </c>
      <c r="H10" s="998">
        <f t="shared" si="3"/>
        <v>6.9165675708336343</v>
      </c>
      <c r="I10" s="1119">
        <f t="shared" si="3"/>
        <v>9.0191816114163803</v>
      </c>
      <c r="J10" s="1102">
        <f>(I10/H10-1)*100</f>
        <v>30.399674680389531</v>
      </c>
      <c r="K10" s="775">
        <v>0</v>
      </c>
      <c r="L10" s="1110">
        <v>0</v>
      </c>
      <c r="M10" s="1102">
        <v>0</v>
      </c>
      <c r="N10" s="742">
        <v>681.1</v>
      </c>
      <c r="O10" s="1178">
        <v>896.2</v>
      </c>
      <c r="P10" s="1087">
        <f t="shared" si="2"/>
        <v>31.581265599765086</v>
      </c>
      <c r="Q10" s="127"/>
      <c r="R10" s="59"/>
    </row>
    <row r="11" spans="1:18" ht="14.1" customHeight="1">
      <c r="A11" s="461"/>
      <c r="B11" s="212"/>
      <c r="C11" s="1436"/>
      <c r="D11" s="995" t="s">
        <v>420</v>
      </c>
      <c r="E11" s="736">
        <v>24178.9</v>
      </c>
      <c r="F11" s="999">
        <v>32600</v>
      </c>
      <c r="G11" s="1105">
        <f t="shared" si="0"/>
        <v>34.828300708468937</v>
      </c>
      <c r="H11" s="772">
        <v>0</v>
      </c>
      <c r="I11" s="773">
        <v>0</v>
      </c>
      <c r="J11" s="1108">
        <v>0</v>
      </c>
      <c r="K11" s="771">
        <f>N11*1000/E11</f>
        <v>29.918648077455963</v>
      </c>
      <c r="L11" s="777">
        <f>O11*1000/F11</f>
        <v>31.901840490797547</v>
      </c>
      <c r="M11" s="1108">
        <f t="shared" si="1"/>
        <v>6.6286164007388404</v>
      </c>
      <c r="N11" s="741">
        <v>723.4</v>
      </c>
      <c r="O11" s="1178">
        <v>1040</v>
      </c>
      <c r="P11" s="1129">
        <f t="shared" si="2"/>
        <v>43.765551562068005</v>
      </c>
      <c r="Q11" s="127"/>
      <c r="R11" s="59"/>
    </row>
    <row r="12" spans="1:18" ht="14.1" customHeight="1">
      <c r="A12" s="461"/>
      <c r="B12" s="212"/>
      <c r="C12" s="1437"/>
      <c r="D12" s="1165" t="s">
        <v>127</v>
      </c>
      <c r="E12" s="744">
        <f>E9+E10+E11</f>
        <v>134510.79999999999</v>
      </c>
      <c r="F12" s="751">
        <f>F9+F10+F11</f>
        <v>143939</v>
      </c>
      <c r="G12" s="1106">
        <f>(F12/E12-1)*100</f>
        <v>7.0092513017542268</v>
      </c>
      <c r="H12" s="748">
        <f>SUM(N9+N10)*1000/SUM(E9+E10)</f>
        <v>9.7895531573370906</v>
      </c>
      <c r="I12" s="1170">
        <f>SUM(O9+O10)*1000/SUM(F9+F10)</f>
        <v>11.957175832367815</v>
      </c>
      <c r="J12" s="1168">
        <f>(I12/H12-1)*100</f>
        <v>22.142202408964206</v>
      </c>
      <c r="K12" s="748">
        <f>N11*1000/E11</f>
        <v>29.918648077455963</v>
      </c>
      <c r="L12" s="1170">
        <f>O11*1000/F11</f>
        <v>31.901840490797547</v>
      </c>
      <c r="M12" s="1168">
        <f>(L12/K12-1)*100</f>
        <v>6.6286164007388404</v>
      </c>
      <c r="N12" s="744">
        <f>N9+N10+N11</f>
        <v>1803.5</v>
      </c>
      <c r="O12" s="751">
        <f>O9+O10+O11</f>
        <v>2371.3000000000002</v>
      </c>
      <c r="P12" s="1114">
        <f>(O12/N12-1)*100</f>
        <v>31.483227058497377</v>
      </c>
      <c r="Q12" s="127"/>
      <c r="R12" s="59"/>
    </row>
    <row r="13" spans="1:18" ht="14.1" customHeight="1">
      <c r="A13" s="461"/>
      <c r="B13" s="212"/>
      <c r="C13" s="1435" t="s">
        <v>9</v>
      </c>
      <c r="D13" s="1089" t="s">
        <v>47</v>
      </c>
      <c r="E13" s="1156">
        <v>85</v>
      </c>
      <c r="F13" s="996">
        <v>135</v>
      </c>
      <c r="G13" s="1159">
        <f t="shared" si="0"/>
        <v>58.823529411764696</v>
      </c>
      <c r="H13" s="1082">
        <f t="shared" si="3"/>
        <v>18.823529411764707</v>
      </c>
      <c r="I13" s="1118">
        <f t="shared" si="3"/>
        <v>14.814814814814815</v>
      </c>
      <c r="J13" s="1169">
        <f t="shared" ref="J13:J30" si="4">(I13/H13-1)*100</f>
        <v>-21.296296296296301</v>
      </c>
      <c r="K13" s="1090">
        <v>0</v>
      </c>
      <c r="L13" s="1124">
        <v>0</v>
      </c>
      <c r="M13" s="1169">
        <v>0</v>
      </c>
      <c r="N13" s="1126">
        <v>1.6</v>
      </c>
      <c r="O13" s="1179">
        <v>2</v>
      </c>
      <c r="P13" s="1176">
        <f t="shared" si="2"/>
        <v>25</v>
      </c>
      <c r="Q13" s="127"/>
      <c r="R13" s="59"/>
    </row>
    <row r="14" spans="1:18" ht="14.1" customHeight="1">
      <c r="A14" s="461"/>
      <c r="B14" s="212"/>
      <c r="C14" s="1436"/>
      <c r="D14" s="1135" t="s">
        <v>48</v>
      </c>
      <c r="E14" s="1002">
        <v>20805</v>
      </c>
      <c r="F14" s="999">
        <v>19980</v>
      </c>
      <c r="G14" s="1105">
        <f t="shared" si="0"/>
        <v>-3.9653929343907768</v>
      </c>
      <c r="H14" s="772">
        <v>0</v>
      </c>
      <c r="I14" s="773">
        <v>0</v>
      </c>
      <c r="J14" s="1108">
        <v>0</v>
      </c>
      <c r="K14" s="771">
        <f>N14*1000/E14</f>
        <v>8.1663061763999032</v>
      </c>
      <c r="L14" s="777">
        <f>O14*1000/F14</f>
        <v>8.1981981981981988</v>
      </c>
      <c r="M14" s="1108">
        <f t="shared" si="1"/>
        <v>0.39053179135581928</v>
      </c>
      <c r="N14" s="742">
        <v>169.9</v>
      </c>
      <c r="O14" s="1178">
        <v>163.80000000000001</v>
      </c>
      <c r="P14" s="1087">
        <f t="shared" si="2"/>
        <v>-3.5903472630959388</v>
      </c>
      <c r="Q14" s="127"/>
      <c r="R14" s="59"/>
    </row>
    <row r="15" spans="1:18" ht="14.1" customHeight="1">
      <c r="A15" s="461"/>
      <c r="B15" s="212"/>
      <c r="C15" s="1437"/>
      <c r="D15" s="747" t="s">
        <v>127</v>
      </c>
      <c r="E15" s="1080">
        <f>E13+E14</f>
        <v>20890</v>
      </c>
      <c r="F15" s="733">
        <f>F13+F14</f>
        <v>20115</v>
      </c>
      <c r="G15" s="1107">
        <f>(F15/E15-1)*100</f>
        <v>-3.7099090473910912</v>
      </c>
      <c r="H15" s="771">
        <f>N13*1000/E13</f>
        <v>18.823529411764707</v>
      </c>
      <c r="I15" s="1171">
        <f>O13*1000/F13</f>
        <v>14.814814814814815</v>
      </c>
      <c r="J15" s="1108">
        <f>(I15/H15-1)*100</f>
        <v>-21.296296296296301</v>
      </c>
      <c r="K15" s="771">
        <f>N14*1000/E14</f>
        <v>8.1663061763999032</v>
      </c>
      <c r="L15" s="1171">
        <f>O14*1000/F14</f>
        <v>8.1981981981981988</v>
      </c>
      <c r="M15" s="1108">
        <f>(L15/K15-1)*100</f>
        <v>0.39053179135581928</v>
      </c>
      <c r="N15" s="740">
        <f>N13+N14</f>
        <v>171.5</v>
      </c>
      <c r="O15" s="733">
        <f>O13+O14</f>
        <v>165.8</v>
      </c>
      <c r="P15" s="1114">
        <f>(O15/N15-1)*100</f>
        <v>-3.3236151603498465</v>
      </c>
      <c r="Q15" s="127"/>
      <c r="R15" s="59"/>
    </row>
    <row r="16" spans="1:18" ht="14.1" customHeight="1">
      <c r="A16" s="461"/>
      <c r="B16" s="212"/>
      <c r="C16" s="941" t="s">
        <v>10</v>
      </c>
      <c r="D16" s="1164" t="s">
        <v>47</v>
      </c>
      <c r="E16" s="737">
        <v>6382.6</v>
      </c>
      <c r="F16" s="1184">
        <v>6136.8</v>
      </c>
      <c r="G16" s="1107">
        <f t="shared" si="0"/>
        <v>-3.8510951649797898</v>
      </c>
      <c r="H16" s="771">
        <f t="shared" si="3"/>
        <v>41.61313571271895</v>
      </c>
      <c r="I16" s="1172">
        <f t="shared" si="3"/>
        <v>38.55429539825316</v>
      </c>
      <c r="J16" s="1108">
        <f t="shared" si="4"/>
        <v>-7.3506604635200867</v>
      </c>
      <c r="K16" s="1157">
        <v>0</v>
      </c>
      <c r="L16" s="1111">
        <v>0</v>
      </c>
      <c r="M16" s="1108">
        <v>0</v>
      </c>
      <c r="N16" s="755">
        <v>265.60000000000002</v>
      </c>
      <c r="O16" s="1180">
        <v>236.6</v>
      </c>
      <c r="P16" s="1117">
        <f t="shared" si="2"/>
        <v>-10.918674698795193</v>
      </c>
      <c r="Q16" s="127"/>
      <c r="R16" s="59"/>
    </row>
    <row r="17" spans="1:23" ht="14.1" customHeight="1">
      <c r="A17" s="461"/>
      <c r="B17" s="212"/>
      <c r="C17" s="1398" t="s">
        <v>7</v>
      </c>
      <c r="D17" s="1093" t="s">
        <v>427</v>
      </c>
      <c r="E17" s="736">
        <v>521187</v>
      </c>
      <c r="F17" s="996">
        <v>501214</v>
      </c>
      <c r="G17" s="1101">
        <f t="shared" si="0"/>
        <v>-3.832213773559201</v>
      </c>
      <c r="H17" s="998">
        <f t="shared" si="3"/>
        <v>25.624200143134807</v>
      </c>
      <c r="I17" s="1119">
        <f t="shared" si="3"/>
        <v>21.555064303870203</v>
      </c>
      <c r="J17" s="1102">
        <f t="shared" si="4"/>
        <v>-15.880050173409222</v>
      </c>
      <c r="K17" s="775">
        <v>0</v>
      </c>
      <c r="L17" s="1110">
        <v>0</v>
      </c>
      <c r="M17" s="1102">
        <v>0</v>
      </c>
      <c r="N17" s="742">
        <v>13355</v>
      </c>
      <c r="O17" s="1178">
        <v>10803.7</v>
      </c>
      <c r="P17" s="1087">
        <f t="shared" si="2"/>
        <v>-19.103706476974914</v>
      </c>
      <c r="Q17" s="127"/>
      <c r="R17" s="59"/>
    </row>
    <row r="18" spans="1:23" ht="14.1" customHeight="1">
      <c r="A18" s="461"/>
      <c r="B18" s="212"/>
      <c r="C18" s="1398"/>
      <c r="D18" s="1095" t="s">
        <v>426</v>
      </c>
      <c r="E18" s="736">
        <v>169415</v>
      </c>
      <c r="F18" s="996">
        <v>174369</v>
      </c>
      <c r="G18" s="1101">
        <f t="shared" si="0"/>
        <v>2.9241802673907191</v>
      </c>
      <c r="H18" s="998">
        <f t="shared" si="3"/>
        <v>30.770592922704601</v>
      </c>
      <c r="I18" s="1119">
        <f t="shared" si="3"/>
        <v>33.064937001416538</v>
      </c>
      <c r="J18" s="1102">
        <f t="shared" si="4"/>
        <v>7.4562881660269031</v>
      </c>
      <c r="K18" s="775">
        <v>0</v>
      </c>
      <c r="L18" s="1110">
        <v>0</v>
      </c>
      <c r="M18" s="1102">
        <v>0</v>
      </c>
      <c r="N18" s="742">
        <v>5213</v>
      </c>
      <c r="O18" s="1178">
        <v>5765.5</v>
      </c>
      <c r="P18" s="1087">
        <f t="shared" si="2"/>
        <v>10.598503740648368</v>
      </c>
      <c r="Q18" s="127"/>
      <c r="R18" s="59"/>
    </row>
    <row r="19" spans="1:23" ht="14.1" customHeight="1">
      <c r="A19" s="461"/>
      <c r="B19" s="212"/>
      <c r="C19" s="1398"/>
      <c r="D19" s="1093" t="s">
        <v>422</v>
      </c>
      <c r="E19" s="736">
        <v>301152</v>
      </c>
      <c r="F19" s="996">
        <v>284582</v>
      </c>
      <c r="G19" s="1101">
        <f t="shared" si="0"/>
        <v>-5.5022048666454104</v>
      </c>
      <c r="H19" s="998">
        <f t="shared" si="3"/>
        <v>27.006295824035703</v>
      </c>
      <c r="I19" s="1119">
        <f t="shared" si="3"/>
        <v>18.640672987047669</v>
      </c>
      <c r="J19" s="1102">
        <f t="shared" si="4"/>
        <v>-30.976565210926111</v>
      </c>
      <c r="K19" s="775">
        <v>0</v>
      </c>
      <c r="L19" s="1110">
        <v>0</v>
      </c>
      <c r="M19" s="1102">
        <v>0</v>
      </c>
      <c r="N19" s="742">
        <v>8133</v>
      </c>
      <c r="O19" s="1178">
        <v>5304.8</v>
      </c>
      <c r="P19" s="1087">
        <f t="shared" si="2"/>
        <v>-34.77437599901635</v>
      </c>
      <c r="Q19" s="127"/>
      <c r="R19" s="59"/>
      <c r="W19" s="506"/>
    </row>
    <row r="20" spans="1:23" ht="14.1" customHeight="1">
      <c r="A20" s="461"/>
      <c r="B20" s="212"/>
      <c r="C20" s="1398"/>
      <c r="D20" s="1093" t="s">
        <v>423</v>
      </c>
      <c r="E20" s="736">
        <v>8441</v>
      </c>
      <c r="F20" s="996">
        <v>8755</v>
      </c>
      <c r="G20" s="1101">
        <f t="shared" si="0"/>
        <v>3.7199383959246601</v>
      </c>
      <c r="H20" s="1113">
        <v>0</v>
      </c>
      <c r="I20" s="1121">
        <v>0</v>
      </c>
      <c r="J20" s="1102">
        <v>0</v>
      </c>
      <c r="K20" s="998">
        <f>N20*1000/E20</f>
        <v>21.561426371283023</v>
      </c>
      <c r="L20" s="1125">
        <f>O20*1000/F20</f>
        <v>22.07881210736722</v>
      </c>
      <c r="M20" s="1102">
        <f t="shared" si="1"/>
        <v>2.3995895594981942</v>
      </c>
      <c r="N20" s="742">
        <v>182</v>
      </c>
      <c r="O20" s="1178">
        <v>193.3</v>
      </c>
      <c r="P20" s="1087">
        <f t="shared" si="2"/>
        <v>6.2087912087912089</v>
      </c>
      <c r="Q20" s="127"/>
      <c r="R20" s="59"/>
    </row>
    <row r="21" spans="1:23" ht="14.1" customHeight="1">
      <c r="A21" s="461"/>
      <c r="B21" s="212"/>
      <c r="C21" s="1398"/>
      <c r="D21" s="1093" t="s">
        <v>424</v>
      </c>
      <c r="E21" s="736">
        <v>33057</v>
      </c>
      <c r="F21" s="996">
        <v>34914</v>
      </c>
      <c r="G21" s="1101">
        <f t="shared" si="0"/>
        <v>5.6175696524185526</v>
      </c>
      <c r="H21" s="998">
        <f t="shared" si="3"/>
        <v>20.540278912181989</v>
      </c>
      <c r="I21" s="1119">
        <f t="shared" si="3"/>
        <v>22.054190296156271</v>
      </c>
      <c r="J21" s="1102">
        <f t="shared" si="4"/>
        <v>7.3704519322588924</v>
      </c>
      <c r="K21" s="775">
        <v>0</v>
      </c>
      <c r="L21" s="1110">
        <v>0</v>
      </c>
      <c r="M21" s="1102">
        <v>0</v>
      </c>
      <c r="N21" s="742">
        <v>679</v>
      </c>
      <c r="O21" s="1178">
        <v>770</v>
      </c>
      <c r="P21" s="1087">
        <f t="shared" si="2"/>
        <v>13.4020618556701</v>
      </c>
      <c r="Q21" s="127"/>
      <c r="R21" s="59"/>
    </row>
    <row r="22" spans="1:23" ht="14.1" customHeight="1">
      <c r="A22" s="461"/>
      <c r="B22" s="212"/>
      <c r="C22" s="1398"/>
      <c r="D22" s="1001" t="s">
        <v>425</v>
      </c>
      <c r="E22" s="1002">
        <v>4545</v>
      </c>
      <c r="F22" s="999">
        <v>4714</v>
      </c>
      <c r="G22" s="1105">
        <f t="shared" si="0"/>
        <v>3.7183718371837093</v>
      </c>
      <c r="H22" s="772">
        <v>0</v>
      </c>
      <c r="I22" s="773">
        <v>0</v>
      </c>
      <c r="J22" s="1108">
        <v>0</v>
      </c>
      <c r="K22" s="771">
        <f>N22*1000/E22</f>
        <v>21.562156215621563</v>
      </c>
      <c r="L22" s="777">
        <f>O22*1000/F22</f>
        <v>22.083156554942725</v>
      </c>
      <c r="M22" s="1108">
        <f t="shared" si="1"/>
        <v>2.4162719818517253</v>
      </c>
      <c r="N22" s="1127">
        <v>98</v>
      </c>
      <c r="O22" s="1180">
        <v>104.1</v>
      </c>
      <c r="P22" s="1129">
        <f t="shared" si="2"/>
        <v>6.2244897959183643</v>
      </c>
      <c r="Q22" s="127"/>
      <c r="R22" s="59"/>
    </row>
    <row r="23" spans="1:23" ht="14.1" customHeight="1">
      <c r="A23" s="461"/>
      <c r="B23" s="212"/>
      <c r="C23" s="1399"/>
      <c r="D23" s="1165" t="s">
        <v>127</v>
      </c>
      <c r="E23" s="744">
        <f>E17+E18+E19+E20+E21+E22</f>
        <v>1037797</v>
      </c>
      <c r="F23" s="751">
        <f>F17+F18+F19+F20+F21+F22</f>
        <v>1008548</v>
      </c>
      <c r="G23" s="1106">
        <f>(F23/E23-1)*100</f>
        <v>-2.8183739209113101</v>
      </c>
      <c r="H23" s="748">
        <f>SUM(N17+N18+N19+N21)*1000/SUM(E17+E18+E19+E21)</f>
        <v>26.717121498500699</v>
      </c>
      <c r="I23" s="1170">
        <f>SUM(O17+O18+O19+O21)*1000/SUM(F17+F18+F19+F21)</f>
        <v>22.755982188348863</v>
      </c>
      <c r="J23" s="1168">
        <f>(I23/H23-1)*100</f>
        <v>-14.826220370986166</v>
      </c>
      <c r="K23" s="748">
        <f>SUM(N20+N22)*1000/SUM(E20+E22)</f>
        <v>21.561681811181273</v>
      </c>
      <c r="L23" s="1170">
        <f>SUM(O20+O22)*1000/SUM(F20+F22)</f>
        <v>22.080332615635903</v>
      </c>
      <c r="M23" s="1168">
        <f>(L23/K23-1)*100</f>
        <v>2.4054283380885</v>
      </c>
      <c r="N23" s="744">
        <f>N17+N18+N19+N20+N21+N22</f>
        <v>27660</v>
      </c>
      <c r="O23" s="751">
        <f>O17+O18+O19+O20+O21+O22</f>
        <v>22941.399999999998</v>
      </c>
      <c r="P23" s="1114">
        <f>(O23/N23-1)*100</f>
        <v>-17.059291395516997</v>
      </c>
      <c r="Q23" s="127"/>
      <c r="R23" s="59"/>
    </row>
    <row r="24" spans="1:23" ht="14.1" customHeight="1">
      <c r="A24" s="461"/>
      <c r="B24" s="212"/>
      <c r="C24" s="1166"/>
      <c r="D24" s="1089" t="s">
        <v>47</v>
      </c>
      <c r="E24" s="736">
        <v>170043</v>
      </c>
      <c r="F24" s="996">
        <v>150118</v>
      </c>
      <c r="G24" s="1101">
        <f t="shared" si="0"/>
        <v>-11.717624365601642</v>
      </c>
      <c r="H24" s="998">
        <f t="shared" si="3"/>
        <v>20.500696882553235</v>
      </c>
      <c r="I24" s="1119">
        <f t="shared" si="3"/>
        <v>19.029696638644268</v>
      </c>
      <c r="J24" s="1102">
        <f t="shared" si="4"/>
        <v>-7.1753670245270351</v>
      </c>
      <c r="K24" s="775">
        <v>0</v>
      </c>
      <c r="L24" s="1110">
        <v>0</v>
      </c>
      <c r="M24" s="1102">
        <v>0</v>
      </c>
      <c r="N24" s="742">
        <v>3486</v>
      </c>
      <c r="O24" s="1178">
        <v>2856.7</v>
      </c>
      <c r="P24" s="1087">
        <f t="shared" si="2"/>
        <v>-18.052208835341364</v>
      </c>
      <c r="Q24" s="127"/>
      <c r="R24" s="59"/>
    </row>
    <row r="25" spans="1:23" ht="14.1" customHeight="1">
      <c r="A25" s="461"/>
      <c r="B25" s="212"/>
      <c r="C25" s="942" t="s">
        <v>29</v>
      </c>
      <c r="D25" s="1001" t="s">
        <v>48</v>
      </c>
      <c r="E25" s="1002">
        <v>283124</v>
      </c>
      <c r="F25" s="999">
        <v>283124</v>
      </c>
      <c r="G25" s="1105">
        <f t="shared" si="0"/>
        <v>0</v>
      </c>
      <c r="H25" s="772">
        <v>0</v>
      </c>
      <c r="I25" s="773">
        <v>0</v>
      </c>
      <c r="J25" s="1108">
        <v>0</v>
      </c>
      <c r="K25" s="771">
        <f>N25*1000/E25</f>
        <v>29.001426936607281</v>
      </c>
      <c r="L25" s="777">
        <f>O25*1000/F25</f>
        <v>35.140079964962347</v>
      </c>
      <c r="M25" s="1108">
        <f t="shared" si="1"/>
        <v>21.166727560589436</v>
      </c>
      <c r="N25" s="1127">
        <v>8211</v>
      </c>
      <c r="O25" s="1180">
        <v>9949</v>
      </c>
      <c r="P25" s="1129">
        <f t="shared" si="2"/>
        <v>21.166727560589461</v>
      </c>
      <c r="Q25" s="127"/>
      <c r="R25" s="59"/>
    </row>
    <row r="26" spans="1:23" ht="14.1" customHeight="1">
      <c r="A26" s="461"/>
      <c r="B26" s="212"/>
      <c r="C26" s="1167"/>
      <c r="D26" s="1165" t="s">
        <v>127</v>
      </c>
      <c r="E26" s="757">
        <f>E24+E25</f>
        <v>453167</v>
      </c>
      <c r="F26" s="731">
        <f>F24+F25</f>
        <v>433242</v>
      </c>
      <c r="G26" s="1160">
        <f>(F26/E26-1)*100</f>
        <v>-4.3968338382980203</v>
      </c>
      <c r="H26" s="1082">
        <f>N24*1000/E24</f>
        <v>20.500696882553235</v>
      </c>
      <c r="I26" s="1173">
        <f>O24*1000/F24</f>
        <v>19.029696638644268</v>
      </c>
      <c r="J26" s="1102">
        <f>(I26/H26-1)*100</f>
        <v>-7.1753670245270351</v>
      </c>
      <c r="K26" s="1082">
        <f>N25*1000/E25</f>
        <v>29.001426936607281</v>
      </c>
      <c r="L26" s="1173">
        <f>O25*1000/F25</f>
        <v>35.140079964962347</v>
      </c>
      <c r="M26" s="1102">
        <f>(L26/K26-1)*100</f>
        <v>21.166727560589436</v>
      </c>
      <c r="N26" s="1096">
        <f>N24+N25</f>
        <v>11697</v>
      </c>
      <c r="O26" s="1181">
        <f>O24+O25</f>
        <v>12805.7</v>
      </c>
      <c r="P26" s="1177">
        <f>(O26/N26-1)*100</f>
        <v>9.4784987603659054</v>
      </c>
      <c r="Q26" s="127"/>
      <c r="R26" s="59"/>
    </row>
    <row r="27" spans="1:23" ht="14.1" customHeight="1">
      <c r="A27" s="461"/>
      <c r="B27" s="212"/>
      <c r="C27" s="1131" t="s">
        <v>30</v>
      </c>
      <c r="D27" s="1164" t="s">
        <v>47</v>
      </c>
      <c r="E27" s="738">
        <v>13276</v>
      </c>
      <c r="F27" s="1184">
        <v>12783</v>
      </c>
      <c r="G27" s="1106">
        <f t="shared" si="0"/>
        <v>-3.7134679120216951</v>
      </c>
      <c r="H27" s="748">
        <f t="shared" si="3"/>
        <v>21.166013859596266</v>
      </c>
      <c r="I27" s="1174">
        <f t="shared" si="3"/>
        <v>22.866306813736994</v>
      </c>
      <c r="J27" s="1168">
        <f t="shared" si="4"/>
        <v>8.0331278502392642</v>
      </c>
      <c r="K27" s="776">
        <v>0</v>
      </c>
      <c r="L27" s="1175">
        <v>0</v>
      </c>
      <c r="M27" s="1168">
        <v>0</v>
      </c>
      <c r="N27" s="744">
        <v>281</v>
      </c>
      <c r="O27" s="1182">
        <v>292.3</v>
      </c>
      <c r="P27" s="1114">
        <f t="shared" si="2"/>
        <v>4.0213523131672702</v>
      </c>
      <c r="Q27" s="127"/>
      <c r="R27" s="59"/>
    </row>
    <row r="28" spans="1:23" ht="14.1" customHeight="1">
      <c r="A28" s="461"/>
      <c r="B28" s="212"/>
      <c r="C28" s="1132" t="s">
        <v>8</v>
      </c>
      <c r="D28" s="1078" t="s">
        <v>47</v>
      </c>
      <c r="E28" s="738">
        <v>162328.5</v>
      </c>
      <c r="F28" s="1184">
        <v>199686</v>
      </c>
      <c r="G28" s="1106">
        <f t="shared" si="0"/>
        <v>23.013518883005759</v>
      </c>
      <c r="H28" s="748">
        <f t="shared" si="3"/>
        <v>24.70361027176374</v>
      </c>
      <c r="I28" s="1174">
        <f t="shared" si="3"/>
        <v>22.980078723596044</v>
      </c>
      <c r="J28" s="1168">
        <f t="shared" si="4"/>
        <v>-6.9768407500246816</v>
      </c>
      <c r="K28" s="776">
        <v>0</v>
      </c>
      <c r="L28" s="1175">
        <v>0</v>
      </c>
      <c r="M28" s="1168">
        <v>0</v>
      </c>
      <c r="N28" s="744">
        <v>4010.1</v>
      </c>
      <c r="O28" s="1182">
        <v>4588.8</v>
      </c>
      <c r="P28" s="1114">
        <f t="shared" si="2"/>
        <v>14.431061569536929</v>
      </c>
      <c r="Q28" s="127"/>
      <c r="R28" s="59"/>
      <c r="T28" s="1222"/>
    </row>
    <row r="29" spans="1:23" ht="14.1" customHeight="1">
      <c r="A29" s="461"/>
      <c r="B29" s="212"/>
      <c r="C29" s="943" t="s">
        <v>6</v>
      </c>
      <c r="D29" s="1078" t="s">
        <v>47</v>
      </c>
      <c r="E29" s="738">
        <v>65150</v>
      </c>
      <c r="F29" s="1184">
        <v>33251</v>
      </c>
      <c r="G29" s="1106">
        <f t="shared" si="0"/>
        <v>-48.962394474290107</v>
      </c>
      <c r="H29" s="748">
        <f t="shared" si="3"/>
        <v>25.326170376055256</v>
      </c>
      <c r="I29" s="1174">
        <f t="shared" si="3"/>
        <v>16.799494752037532</v>
      </c>
      <c r="J29" s="1168">
        <f t="shared" si="4"/>
        <v>-33.667449509379075</v>
      </c>
      <c r="K29" s="776">
        <v>0</v>
      </c>
      <c r="L29" s="1175">
        <v>0</v>
      </c>
      <c r="M29" s="1168">
        <v>0</v>
      </c>
      <c r="N29" s="744">
        <v>1650</v>
      </c>
      <c r="O29" s="1182">
        <v>558.6</v>
      </c>
      <c r="P29" s="1114">
        <f t="shared" si="2"/>
        <v>-66.145454545454555</v>
      </c>
      <c r="Q29" s="127"/>
      <c r="R29" s="59"/>
    </row>
    <row r="30" spans="1:23" ht="14.1" customHeight="1">
      <c r="A30" s="461"/>
      <c r="B30" s="212"/>
      <c r="C30" s="1441" t="s">
        <v>14</v>
      </c>
      <c r="D30" s="1089" t="s">
        <v>47</v>
      </c>
      <c r="E30" s="1104">
        <v>13305</v>
      </c>
      <c r="F30" s="1110">
        <v>10862</v>
      </c>
      <c r="G30" s="1102">
        <f t="shared" si="0"/>
        <v>-18.361518226230743</v>
      </c>
      <c r="H30" s="998">
        <f t="shared" si="3"/>
        <v>9.8985343855693344</v>
      </c>
      <c r="I30" s="1119">
        <f t="shared" si="3"/>
        <v>8.5343399005707976</v>
      </c>
      <c r="J30" s="1102">
        <f t="shared" si="4"/>
        <v>-13.781782553459021</v>
      </c>
      <c r="K30" s="1123">
        <v>0</v>
      </c>
      <c r="L30" s="1110">
        <v>0</v>
      </c>
      <c r="M30" s="1102">
        <v>0</v>
      </c>
      <c r="N30" s="742">
        <v>131.69999999999999</v>
      </c>
      <c r="O30" s="1121">
        <v>92.7</v>
      </c>
      <c r="P30" s="1088">
        <f t="shared" si="2"/>
        <v>-29.612756264236893</v>
      </c>
      <c r="Q30" s="127"/>
      <c r="R30" s="59"/>
    </row>
    <row r="31" spans="1:23" ht="14.1" customHeight="1">
      <c r="A31" s="461"/>
      <c r="B31" s="212"/>
      <c r="C31" s="1442"/>
      <c r="D31" s="1001" t="s">
        <v>48</v>
      </c>
      <c r="E31" s="1081">
        <v>395</v>
      </c>
      <c r="F31" s="1111">
        <v>1725</v>
      </c>
      <c r="G31" s="1108">
        <f t="shared" si="0"/>
        <v>336.70886075949369</v>
      </c>
      <c r="H31" s="772">
        <v>0</v>
      </c>
      <c r="I31" s="778">
        <v>0</v>
      </c>
      <c r="J31" s="774">
        <v>0</v>
      </c>
      <c r="K31" s="771">
        <f>N31*1000/E31</f>
        <v>7.0886075949367084</v>
      </c>
      <c r="L31" s="777">
        <f>O31*1000/F31</f>
        <v>23.188405797101449</v>
      </c>
      <c r="M31" s="774">
        <f t="shared" si="1"/>
        <v>227.12215320910977</v>
      </c>
      <c r="N31" s="1127">
        <v>2.8</v>
      </c>
      <c r="O31" s="779">
        <v>40</v>
      </c>
      <c r="P31" s="503">
        <f t="shared" si="2"/>
        <v>1328.5714285714287</v>
      </c>
      <c r="Q31" s="127"/>
      <c r="R31" s="59"/>
    </row>
    <row r="32" spans="1:23" ht="14.1" customHeight="1" thickBot="1">
      <c r="A32" s="461"/>
      <c r="B32" s="212"/>
      <c r="C32" s="1442"/>
      <c r="D32" s="1155" t="s">
        <v>127</v>
      </c>
      <c r="E32" s="1183">
        <f>E30+E31</f>
        <v>13700</v>
      </c>
      <c r="F32" s="1112">
        <f>F30+F31</f>
        <v>12587</v>
      </c>
      <c r="G32" s="1161">
        <f>(F32/E32-1)*100</f>
        <v>-8.1240875912408796</v>
      </c>
      <c r="H32" s="1141">
        <f>N30*1000/E30</f>
        <v>9.8985343855693344</v>
      </c>
      <c r="I32" s="1185">
        <f>O32*1000/F32</f>
        <v>10.542623341542862</v>
      </c>
      <c r="J32" s="1145">
        <f>(I32/H32-1)*100</f>
        <v>6.5069123456551248</v>
      </c>
      <c r="K32" s="1141">
        <f>N31*1000/E31</f>
        <v>7.0886075949367084</v>
      </c>
      <c r="L32" s="1144">
        <f>O31*1000/F31</f>
        <v>23.188405797101449</v>
      </c>
      <c r="M32" s="1145">
        <f>(L32/K32-1)*100</f>
        <v>227.12215320910977</v>
      </c>
      <c r="N32" s="1163">
        <f>N30+N31</f>
        <v>134.5</v>
      </c>
      <c r="O32" s="1092">
        <f>O30+O31</f>
        <v>132.69999999999999</v>
      </c>
      <c r="P32" s="460">
        <f>(O32/N32-1)*100</f>
        <v>-1.3382899628252898</v>
      </c>
      <c r="Q32" s="127"/>
      <c r="R32" s="59"/>
    </row>
    <row r="33" spans="1:20" ht="14.1" customHeight="1">
      <c r="A33" s="461"/>
      <c r="B33" s="212"/>
      <c r="C33" s="988"/>
      <c r="D33" s="1147" t="s">
        <v>47</v>
      </c>
      <c r="E33" s="1148">
        <f>E9+E10+E13+E16+E17+E18+E19+E21+E24+E27+E28+E29+E30</f>
        <v>1565713</v>
      </c>
      <c r="F33" s="1150">
        <f>F9+F10+F13+F16+F17+F18+F19+F21+F24+F27+F28+F29+F30</f>
        <v>1519389.8</v>
      </c>
      <c r="G33" s="1152">
        <f t="shared" si="0"/>
        <v>-2.9586009696540794</v>
      </c>
      <c r="H33" s="1445">
        <f>N33*1000/E33</f>
        <v>24.452821174761915</v>
      </c>
      <c r="I33" s="1415">
        <f>O33*1000/F33</f>
        <v>21.457956345369698</v>
      </c>
      <c r="J33" s="1447">
        <f>(I33/H33-1)*100</f>
        <v>-12.247522721358861</v>
      </c>
      <c r="K33" s="1407">
        <f>N34*1000/E34</f>
        <v>24.10808323454517</v>
      </c>
      <c r="L33" s="1415">
        <f>N34*1000/F34</f>
        <v>24.623424182886563</v>
      </c>
      <c r="M33" s="1405">
        <f>(L33/K33-1)*100</f>
        <v>2.1376272154351339</v>
      </c>
      <c r="N33" s="1150">
        <f>N9+N10+N13+N16+N17+N18+N19+N21+N24+N27+N28+N29+N30</f>
        <v>38286.1</v>
      </c>
      <c r="O33" s="1150">
        <f>O9+O10+O13+O16+O17+O18+O19+O21+O24+O27+O28+O29+O30</f>
        <v>32602.999999999996</v>
      </c>
      <c r="P33" s="1151">
        <f t="shared" si="2"/>
        <v>-14.843768365020205</v>
      </c>
      <c r="Q33" s="127"/>
      <c r="R33" s="59"/>
      <c r="T33" s="734" t="s">
        <v>307</v>
      </c>
    </row>
    <row r="34" spans="1:20" ht="14.1" customHeight="1" thickBot="1">
      <c r="A34" s="461"/>
      <c r="B34" s="212"/>
      <c r="C34" s="989" t="s">
        <v>551</v>
      </c>
      <c r="D34" s="1146" t="s">
        <v>48</v>
      </c>
      <c r="E34" s="950">
        <f>E7+E8+E11+E14+E20+E22+E25+E31</f>
        <v>450711.9</v>
      </c>
      <c r="F34" s="952">
        <f>F7+F8+F11+F14+F20+F22+F25+F31</f>
        <v>441279</v>
      </c>
      <c r="G34" s="993">
        <f t="shared" si="0"/>
        <v>-2.0928890495236607</v>
      </c>
      <c r="H34" s="1446"/>
      <c r="I34" s="1416"/>
      <c r="J34" s="1448"/>
      <c r="K34" s="1408"/>
      <c r="L34" s="1416"/>
      <c r="M34" s="1406"/>
      <c r="N34" s="952">
        <f>N7+N8+N11+N14+N20+N22+N25+N31</f>
        <v>10865.8</v>
      </c>
      <c r="O34" s="951">
        <f>O7+O8+O11+O14+O20+O22+O25+O31</f>
        <v>13036.2</v>
      </c>
      <c r="P34" s="953">
        <f t="shared" si="2"/>
        <v>19.97459920116329</v>
      </c>
      <c r="Q34" s="127"/>
      <c r="R34" s="59"/>
    </row>
    <row r="35" spans="1:20" ht="14.1" customHeight="1" thickBot="1">
      <c r="A35" s="461"/>
      <c r="B35" s="212"/>
      <c r="C35" s="990"/>
      <c r="D35" s="949" t="s">
        <v>552</v>
      </c>
      <c r="E35" s="950">
        <f>E33+E34</f>
        <v>2016424.9</v>
      </c>
      <c r="F35" s="951">
        <f>F33+F34</f>
        <v>1960668.8</v>
      </c>
      <c r="G35" s="993">
        <f t="shared" si="0"/>
        <v>-2.7650967809413562</v>
      </c>
      <c r="H35" s="1418">
        <f>N35*1000/E35</f>
        <v>24.375765246699739</v>
      </c>
      <c r="I35" s="1419"/>
      <c r="J35" s="1418">
        <f>O35*1000/F35</f>
        <v>23.277363316027675</v>
      </c>
      <c r="K35" s="1419"/>
      <c r="L35" s="1420">
        <f>(J35/H35-1)*100</f>
        <v>-4.5061228624228677</v>
      </c>
      <c r="M35" s="1421"/>
      <c r="N35" s="950">
        <f>N33+N34</f>
        <v>49151.899999999994</v>
      </c>
      <c r="O35" s="951">
        <f>O33+O34</f>
        <v>45639.199999999997</v>
      </c>
      <c r="P35" s="953">
        <f t="shared" si="2"/>
        <v>-7.1466209851501095</v>
      </c>
      <c r="Q35" s="127"/>
      <c r="R35" s="59"/>
    </row>
    <row r="36" spans="1:20">
      <c r="A36" s="461"/>
      <c r="B36" s="212"/>
      <c r="C36" s="193" t="s">
        <v>345</v>
      </c>
      <c r="D36" s="732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191"/>
      <c r="R36" s="59"/>
    </row>
    <row r="37" spans="1:20">
      <c r="A37" s="461"/>
      <c r="B37" s="461"/>
      <c r="C37" s="461"/>
      <c r="D37" s="462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1:20">
      <c r="D38"/>
      <c r="E38"/>
      <c r="F38" s="4"/>
      <c r="G38" s="4"/>
      <c r="H38"/>
      <c r="I38" s="4"/>
      <c r="J38" s="4"/>
      <c r="K38"/>
      <c r="L38" s="4"/>
      <c r="M38" s="4"/>
      <c r="N38"/>
      <c r="O38" s="4"/>
      <c r="P38" s="4"/>
      <c r="Q38"/>
      <c r="R38"/>
    </row>
    <row r="39" spans="1:20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20"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0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20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20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20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20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20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20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20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4:16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4:16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4:16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4:16">
      <c r="D62"/>
    </row>
  </sheetData>
  <mergeCells count="24">
    <mergeCell ref="A1:R1"/>
    <mergeCell ref="H35:I35"/>
    <mergeCell ref="J35:K35"/>
    <mergeCell ref="L35:M35"/>
    <mergeCell ref="H4:M4"/>
    <mergeCell ref="C2:P2"/>
    <mergeCell ref="C3:P3"/>
    <mergeCell ref="C4:D6"/>
    <mergeCell ref="E4:G4"/>
    <mergeCell ref="N4:P4"/>
    <mergeCell ref="E5:G5"/>
    <mergeCell ref="H5:J5"/>
    <mergeCell ref="K5:M5"/>
    <mergeCell ref="N5:P5"/>
    <mergeCell ref="C30:C32"/>
    <mergeCell ref="C9:C12"/>
    <mergeCell ref="K33:K34"/>
    <mergeCell ref="L33:L34"/>
    <mergeCell ref="M33:M34"/>
    <mergeCell ref="C13:C15"/>
    <mergeCell ref="C17:C23"/>
    <mergeCell ref="H33:H34"/>
    <mergeCell ref="I33:I34"/>
    <mergeCell ref="J33:J34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76"/>
  <sheetViews>
    <sheetView workbookViewId="0">
      <selection activeCell="P33" sqref="P33"/>
    </sheetView>
  </sheetViews>
  <sheetFormatPr defaultRowHeight="15"/>
  <cols>
    <col min="1" max="1" width="15.7109375" style="28" customWidth="1"/>
    <col min="2" max="2" width="10.28515625" style="28" bestFit="1" customWidth="1"/>
    <col min="3" max="3" width="8.140625" style="28" bestFit="1" customWidth="1"/>
    <col min="4" max="4" width="9.42578125" style="28" customWidth="1"/>
    <col min="5" max="5" width="8.140625" style="28" bestFit="1" customWidth="1"/>
    <col min="6" max="6" width="10.28515625" style="28" bestFit="1" customWidth="1"/>
    <col min="7" max="7" width="8.140625" style="28" bestFit="1" customWidth="1"/>
    <col min="8" max="8" width="9.42578125" style="28" customWidth="1"/>
    <col min="9" max="9" width="8.140625" style="28" bestFit="1" customWidth="1"/>
    <col min="10" max="10" width="9.42578125" style="28" customWidth="1"/>
    <col min="11" max="11" width="8.140625" style="28" bestFit="1" customWidth="1"/>
    <col min="12" max="12" width="9.42578125" style="28" customWidth="1"/>
    <col min="13" max="13" width="8.5703125" style="28" customWidth="1"/>
    <col min="14" max="14" width="8.7109375" style="28" customWidth="1"/>
    <col min="15" max="16384" width="9.140625" style="28"/>
  </cols>
  <sheetData>
    <row r="1" spans="1:14">
      <c r="A1" s="1462" t="s">
        <v>464</v>
      </c>
      <c r="B1" s="1462"/>
      <c r="C1" s="1462"/>
      <c r="D1" s="1462"/>
      <c r="E1" s="1462"/>
      <c r="F1" s="1462"/>
      <c r="G1" s="1462"/>
      <c r="H1" s="1462"/>
      <c r="I1" s="1462"/>
      <c r="J1" s="1462"/>
      <c r="K1" s="1462"/>
      <c r="L1" s="1462"/>
      <c r="M1" s="1462"/>
    </row>
    <row r="2" spans="1:14" ht="15" customHeight="1">
      <c r="A2" s="1463" t="s">
        <v>159</v>
      </c>
      <c r="B2" s="1463"/>
      <c r="C2" s="1463"/>
      <c r="D2" s="1463"/>
      <c r="E2" s="1463"/>
      <c r="F2" s="1463"/>
      <c r="G2" s="1463"/>
      <c r="H2" s="1463"/>
      <c r="I2" s="1463"/>
      <c r="J2" s="1463"/>
      <c r="K2" s="1463"/>
      <c r="L2" s="1463"/>
      <c r="M2" s="1463"/>
    </row>
    <row r="3" spans="1:14" ht="15" customHeight="1">
      <c r="A3" s="1464" t="s">
        <v>160</v>
      </c>
      <c r="B3" s="1464"/>
      <c r="C3" s="1464"/>
      <c r="D3" s="1464"/>
      <c r="E3" s="1464"/>
      <c r="F3" s="1464"/>
      <c r="G3" s="1464"/>
      <c r="H3" s="1464"/>
      <c r="I3" s="1464"/>
      <c r="J3" s="1464"/>
      <c r="K3" s="1464"/>
      <c r="L3" s="1464"/>
      <c r="M3" s="1464"/>
    </row>
    <row r="4" spans="1:14" ht="15" customHeight="1">
      <c r="A4" s="1465" t="s">
        <v>42</v>
      </c>
      <c r="B4" s="1465"/>
      <c r="C4" s="1465"/>
      <c r="D4" s="1465"/>
      <c r="E4" s="1465"/>
      <c r="F4" s="1465"/>
      <c r="G4" s="1465"/>
      <c r="H4" s="1465"/>
      <c r="I4" s="1465"/>
      <c r="J4" s="1465"/>
      <c r="K4" s="1465"/>
      <c r="L4" s="1465"/>
      <c r="M4" s="1465"/>
    </row>
    <row r="5" spans="1:14" ht="15" customHeight="1">
      <c r="A5" s="1466" t="s">
        <v>161</v>
      </c>
      <c r="B5" s="1466"/>
      <c r="C5" s="1466"/>
      <c r="D5" s="1466"/>
      <c r="E5" s="1466"/>
      <c r="F5" s="1466"/>
      <c r="G5" s="1466"/>
      <c r="H5" s="1466"/>
      <c r="I5" s="1466"/>
      <c r="J5" s="1466"/>
      <c r="K5" s="1466"/>
      <c r="L5" s="1466"/>
      <c r="M5" s="1466"/>
    </row>
    <row r="6" spans="1:14" ht="15" customHeight="1">
      <c r="A6" s="1461" t="s">
        <v>162</v>
      </c>
      <c r="B6" s="1461"/>
      <c r="C6" s="1461"/>
      <c r="D6" s="1461"/>
      <c r="E6" s="1461"/>
      <c r="F6" s="1461"/>
      <c r="G6" s="1461"/>
      <c r="H6" s="1461"/>
      <c r="I6" s="1461"/>
      <c r="J6" s="1461"/>
      <c r="K6" s="1461"/>
      <c r="L6" s="1461"/>
      <c r="M6" s="1461"/>
    </row>
    <row r="7" spans="1:14" ht="15" customHeight="1">
      <c r="A7" s="1456" t="s">
        <v>163</v>
      </c>
      <c r="B7" s="1457" t="s">
        <v>500</v>
      </c>
      <c r="C7" s="1457"/>
      <c r="D7" s="1457" t="s">
        <v>203</v>
      </c>
      <c r="E7" s="1457"/>
      <c r="F7" s="1457" t="s">
        <v>165</v>
      </c>
      <c r="G7" s="1457"/>
      <c r="H7" s="1458" t="s">
        <v>166</v>
      </c>
      <c r="I7" s="1459"/>
      <c r="J7" s="1458" t="s">
        <v>31</v>
      </c>
      <c r="K7" s="1459"/>
      <c r="L7" s="1458" t="s">
        <v>167</v>
      </c>
      <c r="M7" s="1460"/>
    </row>
    <row r="8" spans="1:14" ht="15" customHeight="1">
      <c r="A8" s="1456"/>
      <c r="B8" s="30" t="s">
        <v>16</v>
      </c>
      <c r="C8" s="31" t="s">
        <v>168</v>
      </c>
      <c r="D8" s="30" t="s">
        <v>16</v>
      </c>
      <c r="E8" s="31" t="s">
        <v>168</v>
      </c>
      <c r="F8" s="30" t="s">
        <v>16</v>
      </c>
      <c r="G8" s="31" t="s">
        <v>168</v>
      </c>
      <c r="H8" s="30" t="s">
        <v>16</v>
      </c>
      <c r="I8" s="31" t="s">
        <v>168</v>
      </c>
      <c r="J8" s="30" t="s">
        <v>16</v>
      </c>
      <c r="K8" s="31" t="s">
        <v>168</v>
      </c>
      <c r="L8" s="30" t="s">
        <v>16</v>
      </c>
      <c r="M8" s="32" t="s">
        <v>168</v>
      </c>
    </row>
    <row r="9" spans="1:14" ht="14.1" customHeight="1">
      <c r="A9" s="356" t="s">
        <v>169</v>
      </c>
      <c r="B9" s="33">
        <v>43200</v>
      </c>
      <c r="C9" s="34">
        <f>(B9/B26)*100</f>
        <v>30.125523012552303</v>
      </c>
      <c r="D9" s="33">
        <v>45346</v>
      </c>
      <c r="E9" s="34">
        <f>(D9/D26)*100</f>
        <v>31.967571378216427</v>
      </c>
      <c r="F9" s="33">
        <v>49152</v>
      </c>
      <c r="G9" s="34">
        <f>(F9/F26)*100</f>
        <v>33.49483798425841</v>
      </c>
      <c r="H9" s="33">
        <v>50826</v>
      </c>
      <c r="I9" s="34">
        <f>(H9/H26)*100</f>
        <v>34.44382700153156</v>
      </c>
      <c r="J9" s="33">
        <v>43484</v>
      </c>
      <c r="K9" s="34">
        <f>(J9/J26)*100</f>
        <v>31.837051463212845</v>
      </c>
      <c r="L9" s="33">
        <v>48095</v>
      </c>
      <c r="M9" s="35">
        <f>(L9/L26)*100</f>
        <v>35.990900315046659</v>
      </c>
      <c r="N9" s="36"/>
    </row>
    <row r="10" spans="1:14" ht="14.1" customHeight="1">
      <c r="A10" s="357" t="s">
        <v>170</v>
      </c>
      <c r="B10" s="37">
        <v>27500</v>
      </c>
      <c r="C10" s="34">
        <f>(B10/B26)*100</f>
        <v>19.177126917712691</v>
      </c>
      <c r="D10" s="37">
        <v>27500</v>
      </c>
      <c r="E10" s="34">
        <f>(D10/D26)*100</f>
        <v>19.386676066267185</v>
      </c>
      <c r="F10" s="37">
        <v>27500</v>
      </c>
      <c r="G10" s="34">
        <f>(F10/F26)*100</f>
        <v>18.739991141095096</v>
      </c>
      <c r="H10" s="37">
        <v>25000</v>
      </c>
      <c r="I10" s="34">
        <f>(H10/H26)*100</f>
        <v>16.942031146230061</v>
      </c>
      <c r="J10" s="37">
        <v>26500</v>
      </c>
      <c r="K10" s="34">
        <f>(J10/J26)*100</f>
        <v>19.402121786752378</v>
      </c>
      <c r="L10" s="37">
        <v>20000</v>
      </c>
      <c r="M10" s="35">
        <f>(L10/L26)*100</f>
        <v>14.966587094311947</v>
      </c>
    </row>
    <row r="11" spans="1:14" ht="14.1" customHeight="1">
      <c r="A11" s="358" t="s">
        <v>171</v>
      </c>
      <c r="B11" s="37">
        <v>13500</v>
      </c>
      <c r="C11" s="34">
        <f>(B11/B26)*100</f>
        <v>9.4142259414225933</v>
      </c>
      <c r="D11" s="37">
        <v>12500</v>
      </c>
      <c r="E11" s="34">
        <f>(D11/D26)*100</f>
        <v>8.8121254846669022</v>
      </c>
      <c r="F11" s="37">
        <v>12124</v>
      </c>
      <c r="G11" s="34">
        <f>(F11/F26)*100</f>
        <v>8.261951003441343</v>
      </c>
      <c r="H11" s="37">
        <v>9927</v>
      </c>
      <c r="I11" s="34">
        <f>(H11/H26)*100</f>
        <v>6.7273417275450313</v>
      </c>
      <c r="J11" s="37">
        <v>7652</v>
      </c>
      <c r="K11" s="34">
        <f>(J11/J26)*100</f>
        <v>5.6024541853671392</v>
      </c>
      <c r="L11" s="37">
        <v>8523</v>
      </c>
      <c r="M11" s="35">
        <f>(L11/L26)*100</f>
        <v>6.3780110902410367</v>
      </c>
      <c r="N11" s="50"/>
    </row>
    <row r="12" spans="1:14" ht="14.1" customHeight="1">
      <c r="A12" s="358" t="s">
        <v>172</v>
      </c>
      <c r="B12" s="37">
        <v>11000</v>
      </c>
      <c r="C12" s="34">
        <f>(B12/B26)*100</f>
        <v>7.670850767085077</v>
      </c>
      <c r="D12" s="37">
        <v>9000</v>
      </c>
      <c r="E12" s="34">
        <f>(D12/D26)*100</f>
        <v>6.3447303489601685</v>
      </c>
      <c r="F12" s="37">
        <v>11667</v>
      </c>
      <c r="G12" s="34">
        <f>(F12/F26)*100</f>
        <v>7.950526423387509</v>
      </c>
      <c r="H12" s="37">
        <v>13048</v>
      </c>
      <c r="I12" s="34">
        <f>(H12/H26)*100</f>
        <v>8.842384895840393</v>
      </c>
      <c r="J12" s="37">
        <v>7288</v>
      </c>
      <c r="K12" s="34">
        <f>(J12/J26)*100</f>
        <v>5.3359495691264653</v>
      </c>
      <c r="L12" s="37">
        <v>9129</v>
      </c>
      <c r="M12" s="35">
        <f>(L12/L26)*100</f>
        <v>6.8314986791986883</v>
      </c>
    </row>
    <row r="13" spans="1:14" ht="14.1" customHeight="1">
      <c r="A13" s="358" t="s">
        <v>173</v>
      </c>
      <c r="B13" s="37">
        <v>6400</v>
      </c>
      <c r="C13" s="34">
        <f>(B13/B26)*100</f>
        <v>4.4630404463040447</v>
      </c>
      <c r="D13" s="37">
        <v>6625</v>
      </c>
      <c r="E13" s="34">
        <f>(D13/D26)*100</f>
        <v>4.6704265068734578</v>
      </c>
      <c r="F13" s="37">
        <v>6527</v>
      </c>
      <c r="G13" s="34">
        <f>(F13/F26)*100</f>
        <v>4.4478517155610069</v>
      </c>
      <c r="H13" s="37">
        <v>6233</v>
      </c>
      <c r="I13" s="34">
        <f>(H13/H26)*100</f>
        <v>4.2239872053780783</v>
      </c>
      <c r="J13" s="37">
        <v>6798</v>
      </c>
      <c r="K13" s="34">
        <f>(J13/J26)*100</f>
        <v>4.9771933549563263</v>
      </c>
      <c r="L13" s="37">
        <v>7500</v>
      </c>
      <c r="M13" s="35">
        <f>(L13/L26)*100</f>
        <v>5.6124701603669811</v>
      </c>
    </row>
    <row r="14" spans="1:14" ht="14.1" customHeight="1">
      <c r="A14" s="358" t="s">
        <v>174</v>
      </c>
      <c r="B14" s="37">
        <v>5800</v>
      </c>
      <c r="C14" s="34">
        <f>(B14/B26)*100</f>
        <v>4.0446304044630406</v>
      </c>
      <c r="D14" s="37">
        <v>5517</v>
      </c>
      <c r="E14" s="34">
        <f>(D14/D26)*100</f>
        <v>3.8893197039125837</v>
      </c>
      <c r="F14" s="37">
        <v>5075</v>
      </c>
      <c r="G14" s="34">
        <f>(F14/F26)*100</f>
        <v>3.4583801833111862</v>
      </c>
      <c r="H14" s="37">
        <v>4977</v>
      </c>
      <c r="I14" s="34">
        <f>(H14/H26)*100</f>
        <v>3.3728195605914801</v>
      </c>
      <c r="J14" s="37">
        <v>4921</v>
      </c>
      <c r="K14" s="34">
        <f>(J14/J26)*100</f>
        <v>3.6029374080229601</v>
      </c>
      <c r="L14" s="37">
        <v>4728</v>
      </c>
      <c r="M14" s="35">
        <f>(L14/L26)*100</f>
        <v>3.5381011890953449</v>
      </c>
    </row>
    <row r="15" spans="1:14" ht="14.1" customHeight="1">
      <c r="A15" s="358" t="s">
        <v>176</v>
      </c>
      <c r="B15" s="37">
        <v>5800</v>
      </c>
      <c r="C15" s="34">
        <f>(B15/B26)*100</f>
        <v>4.0446304044630406</v>
      </c>
      <c r="D15" s="37">
        <v>5400</v>
      </c>
      <c r="E15" s="34">
        <f>(D15/D26)*100</f>
        <v>3.8068382093761017</v>
      </c>
      <c r="F15" s="37">
        <v>4568</v>
      </c>
      <c r="G15" s="34">
        <f>(F15/F26)*100</f>
        <v>3.112882892091724</v>
      </c>
      <c r="H15" s="37">
        <v>4537</v>
      </c>
      <c r="I15" s="34">
        <f>(H15/H26)*100</f>
        <v>3.0746398124178311</v>
      </c>
      <c r="J15" s="37">
        <v>5903</v>
      </c>
      <c r="K15" s="34">
        <f>(J15/J26)*100</f>
        <v>4.3219141474414826</v>
      </c>
      <c r="L15" s="37">
        <v>4331</v>
      </c>
      <c r="M15" s="35">
        <f>(L15/L26)*100</f>
        <v>3.2410144352732524</v>
      </c>
    </row>
    <row r="16" spans="1:14" ht="14.1" customHeight="1">
      <c r="A16" s="358" t="s">
        <v>177</v>
      </c>
      <c r="B16" s="37">
        <v>3900</v>
      </c>
      <c r="C16" s="34">
        <f>(B16/B26)*100</f>
        <v>2.7196652719665275</v>
      </c>
      <c r="D16" s="37">
        <v>3900</v>
      </c>
      <c r="E16" s="34">
        <f>(D16/D26)*100</f>
        <v>2.7493831512160734</v>
      </c>
      <c r="F16" s="37">
        <v>3916</v>
      </c>
      <c r="G16" s="34">
        <f>(F16/F26)*100</f>
        <v>2.6685747384919418</v>
      </c>
      <c r="H16" s="37">
        <v>4327</v>
      </c>
      <c r="I16" s="34">
        <f>(H16/H26)*100</f>
        <v>2.9323267507894988</v>
      </c>
      <c r="J16" s="37">
        <v>4563</v>
      </c>
      <c r="K16" s="34">
        <f>(J16/J26)*100</f>
        <v>3.340825725017023</v>
      </c>
      <c r="L16" s="37">
        <v>4001</v>
      </c>
      <c r="M16" s="35">
        <f>(L16/L26)*100</f>
        <v>2.9940657482171051</v>
      </c>
    </row>
    <row r="17" spans="1:13" ht="14.1" customHeight="1">
      <c r="A17" s="358" t="s">
        <v>178</v>
      </c>
      <c r="B17" s="37">
        <v>4800</v>
      </c>
      <c r="C17" s="34">
        <f>(B17/B26)*100</f>
        <v>3.3472803347280333</v>
      </c>
      <c r="D17" s="37">
        <v>3800</v>
      </c>
      <c r="E17" s="34">
        <f>(D17/D26)*100</f>
        <v>2.678886147338738</v>
      </c>
      <c r="F17" s="37">
        <v>3602</v>
      </c>
      <c r="G17" s="34">
        <f>(F17/F26)*100</f>
        <v>2.4545981123718015</v>
      </c>
      <c r="H17" s="37">
        <v>3878</v>
      </c>
      <c r="I17" s="34">
        <f>(H17/H26)*100</f>
        <v>2.6280478714032069</v>
      </c>
      <c r="J17" s="37">
        <v>3075</v>
      </c>
      <c r="K17" s="34">
        <f>(J17/J26)*100</f>
        <v>2.2513782828023987</v>
      </c>
      <c r="L17" s="37">
        <v>3223</v>
      </c>
      <c r="M17" s="35">
        <f>(L17/L26)*100</f>
        <v>2.4118655102483704</v>
      </c>
    </row>
    <row r="18" spans="1:13" ht="14.1" customHeight="1">
      <c r="A18" s="358" t="s">
        <v>179</v>
      </c>
      <c r="B18" s="37">
        <v>3400</v>
      </c>
      <c r="C18" s="34">
        <f>(B18/B26)*100</f>
        <v>2.3709902370990235</v>
      </c>
      <c r="D18" s="37">
        <v>3500</v>
      </c>
      <c r="E18" s="34">
        <f>(D18/D26)*100</f>
        <v>2.4673951357067323</v>
      </c>
      <c r="F18" s="37">
        <v>3159</v>
      </c>
      <c r="G18" s="34">
        <f>(F18/F26)*100</f>
        <v>2.1527138914443422</v>
      </c>
      <c r="H18" s="37">
        <v>3743</v>
      </c>
      <c r="I18" s="34">
        <f>(H18/H26)*100</f>
        <v>2.5365609032135645</v>
      </c>
      <c r="J18" s="37">
        <v>3840</v>
      </c>
      <c r="K18" s="34">
        <f>(J18/J26)*100</f>
        <v>2.8114772702312876</v>
      </c>
      <c r="L18" s="37">
        <v>3950</v>
      </c>
      <c r="M18" s="35">
        <f>(L18/L26)*100</f>
        <v>2.9559009511266101</v>
      </c>
    </row>
    <row r="19" spans="1:13" ht="14.1" customHeight="1">
      <c r="A19" s="358" t="s">
        <v>175</v>
      </c>
      <c r="B19" s="37">
        <v>3200</v>
      </c>
      <c r="C19" s="34">
        <f>(B19/B26)*100</f>
        <v>2.2315202231520224</v>
      </c>
      <c r="D19" s="37">
        <v>3400</v>
      </c>
      <c r="E19" s="34">
        <f>(D19/D26)*100</f>
        <v>2.3968981318293969</v>
      </c>
      <c r="F19" s="37">
        <v>4338</v>
      </c>
      <c r="G19" s="34">
        <f>(F19/F26)*100</f>
        <v>2.9561484207298374</v>
      </c>
      <c r="H19" s="37">
        <v>4453</v>
      </c>
      <c r="I19" s="34">
        <f>(H19/H26)*100</f>
        <v>3.0177145877664979</v>
      </c>
      <c r="J19" s="37">
        <v>5373</v>
      </c>
      <c r="K19" s="34">
        <f>(J19/J26)*100</f>
        <v>3.9338717117064346</v>
      </c>
      <c r="L19" s="37">
        <v>4069</v>
      </c>
      <c r="M19" s="35">
        <f>(L19/L26)*100</f>
        <v>3.0449521443377656</v>
      </c>
    </row>
    <row r="20" spans="1:13" ht="14.1" customHeight="1">
      <c r="A20" s="358" t="s">
        <v>180</v>
      </c>
      <c r="B20" s="37">
        <v>1800</v>
      </c>
      <c r="C20" s="34">
        <f>(B20/B26)*100</f>
        <v>1.2552301255230125</v>
      </c>
      <c r="D20" s="37">
        <v>2175</v>
      </c>
      <c r="E20" s="34">
        <f>(D20/D26)*100</f>
        <v>1.5333098343320408</v>
      </c>
      <c r="F20" s="37">
        <v>1923</v>
      </c>
      <c r="G20" s="34">
        <f>(F20/F26)*100</f>
        <v>1.3104364714300316</v>
      </c>
      <c r="H20" s="37">
        <v>2046</v>
      </c>
      <c r="I20" s="34">
        <f>(H20/H26)*100</f>
        <v>1.3865358290074681</v>
      </c>
      <c r="J20" s="37">
        <v>1886</v>
      </c>
      <c r="K20" s="34">
        <f>(J20/J26)*100</f>
        <v>1.3808453467854711</v>
      </c>
      <c r="L20" s="37">
        <v>982</v>
      </c>
      <c r="M20" s="35">
        <f>(L20/L26)*100</f>
        <v>0.73485942633071666</v>
      </c>
    </row>
    <row r="21" spans="1:13" ht="14.1" customHeight="1">
      <c r="A21" s="358" t="s">
        <v>181</v>
      </c>
      <c r="B21" s="37">
        <v>2000</v>
      </c>
      <c r="C21" s="34">
        <f>(B21/B26)*100</f>
        <v>1.394700139470014</v>
      </c>
      <c r="D21" s="37">
        <v>2000</v>
      </c>
      <c r="E21" s="34">
        <f>(D21/D26)*100</f>
        <v>1.4099400775467044</v>
      </c>
      <c r="F21" s="37">
        <v>2017</v>
      </c>
      <c r="G21" s="34">
        <f>(F21/F26)*100</f>
        <v>1.3744931684214112</v>
      </c>
      <c r="H21" s="37">
        <v>1890</v>
      </c>
      <c r="I21" s="34">
        <f>(H21/H26)*100</f>
        <v>1.2808175546549925</v>
      </c>
      <c r="J21" s="37">
        <v>2193</v>
      </c>
      <c r="K21" s="34">
        <f>(J21/J26)*100</f>
        <v>1.6056170972961499</v>
      </c>
      <c r="L21" s="37">
        <v>1634</v>
      </c>
      <c r="M21" s="35">
        <f>(L21/L26)*100</f>
        <v>1.2227701656052863</v>
      </c>
    </row>
    <row r="22" spans="1:13" ht="14.1" customHeight="1">
      <c r="A22" s="358" t="s">
        <v>182</v>
      </c>
      <c r="B22" s="37">
        <v>1508</v>
      </c>
      <c r="C22" s="34">
        <f>(B22/B26)*100</f>
        <v>1.0516039051603905</v>
      </c>
      <c r="D22" s="37">
        <v>1508</v>
      </c>
      <c r="E22" s="34">
        <f>(D22/D26)*100</f>
        <v>1.0630948184702151</v>
      </c>
      <c r="F22" s="37">
        <v>1444</v>
      </c>
      <c r="G22" s="34">
        <f>(F22/F26)*100</f>
        <v>0.98401989846332083</v>
      </c>
      <c r="H22" s="37">
        <v>1571</v>
      </c>
      <c r="I22" s="34">
        <f>(H22/H26)*100</f>
        <v>1.0646372372290971</v>
      </c>
      <c r="J22" s="37">
        <v>1462</v>
      </c>
      <c r="K22" s="34">
        <f>(J22/J26)*100</f>
        <v>1.070411398197433</v>
      </c>
      <c r="L22" s="37">
        <v>1392</v>
      </c>
      <c r="M22" s="35">
        <f>(L22/L26)*100</f>
        <v>1.0416744617641116</v>
      </c>
    </row>
    <row r="23" spans="1:13" ht="14.1" customHeight="1">
      <c r="A23" s="358" t="s">
        <v>183</v>
      </c>
      <c r="B23" s="37">
        <v>680</v>
      </c>
      <c r="C23" s="34">
        <f>(B23/B26)*100</f>
        <v>0.47419804741980476</v>
      </c>
      <c r="D23" s="37">
        <v>680</v>
      </c>
      <c r="E23" s="34">
        <f>(D23/D26)*100</f>
        <v>0.4793796263658795</v>
      </c>
      <c r="F23" s="37">
        <v>537</v>
      </c>
      <c r="G23" s="34">
        <f>(F23/F26)*100</f>
        <v>0.36594091791883876</v>
      </c>
      <c r="H23" s="37">
        <v>1235</v>
      </c>
      <c r="I23" s="34">
        <f>(H23/H26)*100</f>
        <v>0.83693633862376493</v>
      </c>
      <c r="J23" s="37">
        <v>1152</v>
      </c>
      <c r="K23" s="34">
        <f>(J23/J26)*100</f>
        <v>0.84344318106938632</v>
      </c>
      <c r="L23" s="37">
        <v>1814</v>
      </c>
      <c r="M23" s="35">
        <f>(L23/L26)*100</f>
        <v>1.3574694494540938</v>
      </c>
    </row>
    <row r="24" spans="1:13" ht="15" hidden="1" customHeight="1">
      <c r="A24" s="358"/>
      <c r="B24" s="37">
        <f>SUM(B9:B23)</f>
        <v>134488</v>
      </c>
      <c r="C24" s="357"/>
      <c r="D24" s="37">
        <f>SUM(D9:D23)</f>
        <v>132851</v>
      </c>
      <c r="E24" s="357"/>
      <c r="F24" s="37">
        <f>SUM(F9:F23)</f>
        <v>137549</v>
      </c>
      <c r="G24" s="357"/>
      <c r="H24" s="37">
        <f>SUM(H9:H23)</f>
        <v>137691</v>
      </c>
      <c r="I24" s="357"/>
      <c r="J24" s="37">
        <f>SUM(J9:J23)</f>
        <v>126090</v>
      </c>
      <c r="K24" s="357"/>
      <c r="L24" s="37">
        <f>SUM(L9:L23)</f>
        <v>123371</v>
      </c>
      <c r="M24" s="358"/>
    </row>
    <row r="25" spans="1:13">
      <c r="A25" s="358" t="s">
        <v>184</v>
      </c>
      <c r="B25" s="38">
        <f>B26-B24</f>
        <v>8912</v>
      </c>
      <c r="C25" s="39">
        <f>(B25/B26)*100</f>
        <v>6.2147838214783819</v>
      </c>
      <c r="D25" s="38">
        <f>D26-D24</f>
        <v>8999</v>
      </c>
      <c r="E25" s="39">
        <f>(D25/D26)*100</f>
        <v>6.3440253789213958</v>
      </c>
      <c r="F25" s="38">
        <f>F26-F24</f>
        <v>9196</v>
      </c>
      <c r="G25" s="39">
        <f>(F25/F26)*100</f>
        <v>6.2666530375822012</v>
      </c>
      <c r="H25" s="38">
        <f>H26-H24</f>
        <v>9871</v>
      </c>
      <c r="I25" s="39">
        <f>(H25/H26)*100</f>
        <v>6.6893915777774762</v>
      </c>
      <c r="J25" s="38">
        <f>J26-J24</f>
        <v>10493</v>
      </c>
      <c r="K25" s="39">
        <f>(J25/J26)*100</f>
        <v>7.6825080720148193</v>
      </c>
      <c r="L25" s="38">
        <f>L26-L24</f>
        <v>10260</v>
      </c>
      <c r="M25" s="40">
        <f>(L25/L26)*100</f>
        <v>7.677859179382029</v>
      </c>
    </row>
    <row r="26" spans="1:13" ht="18" customHeight="1">
      <c r="A26" s="359" t="s">
        <v>115</v>
      </c>
      <c r="B26" s="360">
        <v>143400</v>
      </c>
      <c r="C26" s="361">
        <f>SUM(C9:C25)</f>
        <v>99.999999999999986</v>
      </c>
      <c r="D26" s="360">
        <v>141850</v>
      </c>
      <c r="E26" s="361">
        <f>SUM(E9:E25)</f>
        <v>100.00000000000004</v>
      </c>
      <c r="F26" s="360">
        <v>146745</v>
      </c>
      <c r="G26" s="361">
        <f>SUM(G9:G25)</f>
        <v>99.999999999999986</v>
      </c>
      <c r="H26" s="360">
        <v>147562</v>
      </c>
      <c r="I26" s="361">
        <f>SUM(I9:I25)</f>
        <v>99.999999999999986</v>
      </c>
      <c r="J26" s="360">
        <v>136583</v>
      </c>
      <c r="K26" s="361">
        <f>SUM(K9:K25)</f>
        <v>99.999999999999972</v>
      </c>
      <c r="L26" s="360">
        <v>133631</v>
      </c>
      <c r="M26" s="362">
        <f>SUM(M9:M25)</f>
        <v>100.00000000000003</v>
      </c>
    </row>
    <row r="27" spans="1:13" ht="15" customHeight="1">
      <c r="A27" s="363" t="s">
        <v>185</v>
      </c>
      <c r="B27" s="363"/>
      <c r="C27" s="363"/>
      <c r="D27" s="41"/>
      <c r="E27" s="41"/>
      <c r="F27" s="26"/>
      <c r="G27" s="26"/>
      <c r="H27" s="26"/>
      <c r="I27" s="26"/>
      <c r="J27" s="26"/>
      <c r="K27" s="26"/>
      <c r="L27" s="26"/>
      <c r="M27" s="26"/>
    </row>
    <row r="28" spans="1:13" ht="9" customHeight="1">
      <c r="A28" s="42"/>
      <c r="B28" s="42"/>
      <c r="C28" s="42"/>
      <c r="D28" s="41"/>
      <c r="E28" s="41"/>
      <c r="F28" s="26"/>
      <c r="G28" s="26"/>
      <c r="H28" s="26"/>
      <c r="I28" s="26"/>
      <c r="J28" s="26"/>
      <c r="K28" s="26"/>
      <c r="L28" s="26"/>
      <c r="M28" s="26"/>
    </row>
    <row r="29" spans="1:13" ht="15" customHeight="1">
      <c r="A29" s="1453" t="s">
        <v>187</v>
      </c>
      <c r="B29" s="1453"/>
      <c r="C29" s="1453"/>
      <c r="D29" s="1454"/>
      <c r="E29" s="1454"/>
      <c r="F29" s="1454"/>
      <c r="G29" s="1454"/>
      <c r="H29" s="1454"/>
      <c r="I29" s="1454"/>
      <c r="J29" s="1454"/>
      <c r="K29" s="1454"/>
      <c r="L29" s="1454"/>
      <c r="M29" s="1455"/>
    </row>
    <row r="30" spans="1:13" ht="15" customHeight="1">
      <c r="A30" s="1456" t="s">
        <v>163</v>
      </c>
      <c r="B30" s="1457" t="s">
        <v>500</v>
      </c>
      <c r="C30" s="1457"/>
      <c r="D30" s="1457" t="s">
        <v>203</v>
      </c>
      <c r="E30" s="1457"/>
      <c r="F30" s="1457" t="s">
        <v>165</v>
      </c>
      <c r="G30" s="1457"/>
      <c r="H30" s="1458" t="s">
        <v>166</v>
      </c>
      <c r="I30" s="1459"/>
      <c r="J30" s="1458" t="s">
        <v>31</v>
      </c>
      <c r="K30" s="1459"/>
      <c r="L30" s="1458" t="s">
        <v>167</v>
      </c>
      <c r="M30" s="1460"/>
    </row>
    <row r="31" spans="1:13" ht="15" customHeight="1">
      <c r="A31" s="1456"/>
      <c r="B31" s="30" t="s">
        <v>18</v>
      </c>
      <c r="C31" s="30" t="s">
        <v>168</v>
      </c>
      <c r="D31" s="30" t="s">
        <v>18</v>
      </c>
      <c r="E31" s="30" t="s">
        <v>168</v>
      </c>
      <c r="F31" s="30" t="s">
        <v>18</v>
      </c>
      <c r="G31" s="30" t="s">
        <v>168</v>
      </c>
      <c r="H31" s="30" t="s">
        <v>18</v>
      </c>
      <c r="I31" s="30" t="s">
        <v>168</v>
      </c>
      <c r="J31" s="30" t="s">
        <v>18</v>
      </c>
      <c r="K31" s="30" t="s">
        <v>168</v>
      </c>
      <c r="L31" s="30" t="s">
        <v>18</v>
      </c>
      <c r="M31" s="43" t="s">
        <v>168</v>
      </c>
    </row>
    <row r="32" spans="1:13" ht="14.1" customHeight="1">
      <c r="A32" s="364" t="s">
        <v>169</v>
      </c>
      <c r="B32" s="33">
        <v>37100</v>
      </c>
      <c r="C32" s="44">
        <f>(B32/B49)*100</f>
        <v>33.483754512635379</v>
      </c>
      <c r="D32" s="33">
        <v>36735</v>
      </c>
      <c r="E32" s="44">
        <f>(D32/D49)*100</f>
        <v>32.878956036087644</v>
      </c>
      <c r="F32" s="33">
        <v>32010</v>
      </c>
      <c r="G32" s="44">
        <f>(F32/F49)*100</f>
        <v>28.816809355335295</v>
      </c>
      <c r="H32" s="33">
        <v>28735</v>
      </c>
      <c r="I32" s="44">
        <f>(H32/H49)*100</f>
        <v>25.393921719381034</v>
      </c>
      <c r="J32" s="33">
        <v>33610</v>
      </c>
      <c r="K32" s="44">
        <f>(J32/J49)*100</f>
        <v>32.140227400954359</v>
      </c>
      <c r="L32" s="33">
        <v>33494</v>
      </c>
      <c r="M32" s="45">
        <f>(L32/L49)*100</f>
        <v>34.555902895993889</v>
      </c>
    </row>
    <row r="33" spans="1:13" ht="14.1" customHeight="1">
      <c r="A33" s="357" t="s">
        <v>170</v>
      </c>
      <c r="B33" s="46">
        <v>20200</v>
      </c>
      <c r="C33" s="34">
        <f>(B33/B49)*100</f>
        <v>18.231046931407942</v>
      </c>
      <c r="D33" s="46">
        <v>25000</v>
      </c>
      <c r="E33" s="34">
        <f>(D33/D49)*100</f>
        <v>22.375769726478591</v>
      </c>
      <c r="F33" s="46">
        <v>20475</v>
      </c>
      <c r="G33" s="34">
        <f>(F33/F49)*100</f>
        <v>18.43249520620088</v>
      </c>
      <c r="H33" s="46">
        <v>25475</v>
      </c>
      <c r="I33" s="34">
        <f>(H33/H49)*100</f>
        <v>22.512968707194428</v>
      </c>
      <c r="J33" s="46">
        <v>17675</v>
      </c>
      <c r="K33" s="34">
        <f>(J33/J49)*100</f>
        <v>16.902068411540263</v>
      </c>
      <c r="L33" s="46">
        <v>14229</v>
      </c>
      <c r="M33" s="35">
        <f>(L33/L49)*100</f>
        <v>14.680120090377294</v>
      </c>
    </row>
    <row r="34" spans="1:13" ht="14.1" customHeight="1">
      <c r="A34" s="357" t="s">
        <v>171</v>
      </c>
      <c r="B34" s="46">
        <v>12300</v>
      </c>
      <c r="C34" s="34">
        <f>(B34/B49)*100</f>
        <v>11.101083032490974</v>
      </c>
      <c r="D34" s="46">
        <v>10954</v>
      </c>
      <c r="E34" s="34">
        <f>(D34/D49)*100</f>
        <v>9.8041672633538592</v>
      </c>
      <c r="F34" s="46">
        <v>9670</v>
      </c>
      <c r="G34" s="34">
        <f>(F34/F49)*100</f>
        <v>8.7053591523302813</v>
      </c>
      <c r="H34" s="46">
        <v>7170</v>
      </c>
      <c r="I34" s="34">
        <f>(H34/H49)*100</f>
        <v>6.3363291709748397</v>
      </c>
      <c r="J34" s="46">
        <v>7734</v>
      </c>
      <c r="K34" s="34">
        <f>(J34/J49)*100</f>
        <v>7.395790500415977</v>
      </c>
      <c r="L34" s="46">
        <v>7822</v>
      </c>
      <c r="M34" s="35">
        <f>(L34/L49)*100</f>
        <v>8.069990817831977</v>
      </c>
    </row>
    <row r="35" spans="1:13" ht="14.1" customHeight="1">
      <c r="A35" s="357" t="s">
        <v>174</v>
      </c>
      <c r="B35" s="46">
        <v>5100</v>
      </c>
      <c r="C35" s="34">
        <f>(B35/B49)*100</f>
        <v>4.6028880866425999</v>
      </c>
      <c r="D35" s="46">
        <v>5131</v>
      </c>
      <c r="E35" s="34">
        <f>(D35/D49)*100</f>
        <v>4.5924029786624656</v>
      </c>
      <c r="F35" s="46">
        <v>4963</v>
      </c>
      <c r="G35" s="34">
        <f>(F35/F49)*100</f>
        <v>4.4679108038278379</v>
      </c>
      <c r="H35" s="46">
        <v>5288</v>
      </c>
      <c r="I35" s="34">
        <f>(H35/H49)*100</f>
        <v>4.6731532295836757</v>
      </c>
      <c r="J35" s="46">
        <v>5840</v>
      </c>
      <c r="K35" s="34">
        <f>(J35/J49)*100</f>
        <v>5.5846155317338129</v>
      </c>
      <c r="L35" s="46">
        <v>4631</v>
      </c>
      <c r="M35" s="35">
        <f>(L35/L49)*100</f>
        <v>4.7778224849629103</v>
      </c>
    </row>
    <row r="36" spans="1:13" ht="14.1" customHeight="1">
      <c r="A36" s="357" t="s">
        <v>172</v>
      </c>
      <c r="B36" s="46">
        <v>6600</v>
      </c>
      <c r="C36" s="34">
        <f>(B36/B49)*100</f>
        <v>5.9566787003610111</v>
      </c>
      <c r="D36" s="46">
        <v>4548</v>
      </c>
      <c r="E36" s="34">
        <f>(D36/D49)*100</f>
        <v>4.0706000286409854</v>
      </c>
      <c r="F36" s="46">
        <v>10882</v>
      </c>
      <c r="G36" s="34">
        <f>(F36/F49)*100</f>
        <v>9.7964548392614397</v>
      </c>
      <c r="H36" s="46">
        <v>10940</v>
      </c>
      <c r="I36" s="34">
        <f>(H36/H49)*100</f>
        <v>9.6679834212642621</v>
      </c>
      <c r="J36" s="46">
        <v>6185</v>
      </c>
      <c r="K36" s="34">
        <f>(J36/J49)*100</f>
        <v>5.9145286068105536</v>
      </c>
      <c r="L36" s="46">
        <v>5489</v>
      </c>
      <c r="M36" s="35">
        <f>(L36/L49)*100</f>
        <v>5.6630247505854925</v>
      </c>
    </row>
    <row r="37" spans="1:13" ht="14.1" customHeight="1">
      <c r="A37" s="357" t="s">
        <v>176</v>
      </c>
      <c r="B37" s="37">
        <v>5000</v>
      </c>
      <c r="C37" s="34">
        <f>(B37/B49)*100</f>
        <v>4.512635379061372</v>
      </c>
      <c r="D37" s="37">
        <v>4261</v>
      </c>
      <c r="E37" s="34">
        <f>(D37/D49)*100</f>
        <v>3.8137261921810115</v>
      </c>
      <c r="F37" s="37">
        <v>4185</v>
      </c>
      <c r="G37" s="34">
        <f>(F37/F49)*100</f>
        <v>3.7675209981905091</v>
      </c>
      <c r="H37" s="37">
        <v>5508</v>
      </c>
      <c r="I37" s="34">
        <f>(H37/H49)*100</f>
        <v>4.8675733715103791</v>
      </c>
      <c r="J37" s="37">
        <v>3947</v>
      </c>
      <c r="K37" s="34">
        <f>(J37/J49)*100</f>
        <v>3.774396832834479</v>
      </c>
      <c r="L37" s="37">
        <v>3349</v>
      </c>
      <c r="M37" s="35">
        <f>(L37/L49)*100</f>
        <v>3.4551776078904743</v>
      </c>
    </row>
    <row r="38" spans="1:13" ht="14.1" customHeight="1">
      <c r="A38" s="357" t="s">
        <v>178</v>
      </c>
      <c r="B38" s="37">
        <v>3500</v>
      </c>
      <c r="C38" s="34">
        <f>(B38/B49)*100</f>
        <v>3.1588447653429599</v>
      </c>
      <c r="D38" s="37">
        <v>3442</v>
      </c>
      <c r="E38" s="34">
        <f>(D38/D49)*100</f>
        <v>3.0806959759415724</v>
      </c>
      <c r="F38" s="37">
        <v>3672</v>
      </c>
      <c r="G38" s="34">
        <f>(F38/F49)*100</f>
        <v>3.3056958435736084</v>
      </c>
      <c r="H38" s="37">
        <v>2685</v>
      </c>
      <c r="I38" s="34">
        <f>(H38/H49)*100</f>
        <v>2.3728094594236326</v>
      </c>
      <c r="J38" s="37">
        <v>3142</v>
      </c>
      <c r="K38" s="34">
        <f>(J38/J49)*100</f>
        <v>3.0045996576554179</v>
      </c>
      <c r="L38" s="37">
        <v>2657</v>
      </c>
      <c r="M38" s="35">
        <f>(L38/L49)*100</f>
        <v>2.7412382514675993</v>
      </c>
    </row>
    <row r="39" spans="1:13" ht="14.1" customHeight="1">
      <c r="A39" s="357" t="s">
        <v>173</v>
      </c>
      <c r="B39" s="46">
        <v>2900</v>
      </c>
      <c r="C39" s="34">
        <f>(B39/B49)*100</f>
        <v>2.6173285198555956</v>
      </c>
      <c r="D39" s="46">
        <v>3137</v>
      </c>
      <c r="E39" s="34">
        <f>(D39/D49)*100</f>
        <v>2.8077115852785335</v>
      </c>
      <c r="F39" s="46">
        <v>2870</v>
      </c>
      <c r="G39" s="34">
        <f>(F39/F49)*100</f>
        <v>2.5837001827495252</v>
      </c>
      <c r="H39" s="46">
        <v>3203</v>
      </c>
      <c r="I39" s="34">
        <f>(H39/H49)*100</f>
        <v>2.8305805208692347</v>
      </c>
      <c r="J39" s="46">
        <v>2675</v>
      </c>
      <c r="K39" s="34">
        <f>(J39/J49)*100</f>
        <v>2.5580216690732791</v>
      </c>
      <c r="L39" s="46">
        <v>3324</v>
      </c>
      <c r="M39" s="35">
        <f>(L39/L49)*100</f>
        <v>3.4293850010832898</v>
      </c>
    </row>
    <row r="40" spans="1:13" ht="14.1" customHeight="1">
      <c r="A40" s="357" t="s">
        <v>179</v>
      </c>
      <c r="B40" s="46">
        <v>2900</v>
      </c>
      <c r="C40" s="34">
        <f>(B40/B49)*100</f>
        <v>2.6173285198555956</v>
      </c>
      <c r="D40" s="46">
        <v>3045</v>
      </c>
      <c r="E40" s="34">
        <f>(D40/D49)*100</f>
        <v>2.7253687526850925</v>
      </c>
      <c r="F40" s="46">
        <v>2575</v>
      </c>
      <c r="G40" s="34">
        <f>(F40/F49)*100</f>
        <v>2.3181282127456537</v>
      </c>
      <c r="H40" s="46">
        <v>3750</v>
      </c>
      <c r="I40" s="34">
        <f>(H40/H49)*100</f>
        <v>3.3139796919324476</v>
      </c>
      <c r="J40" s="46">
        <v>3697</v>
      </c>
      <c r="K40" s="34">
        <f>(J40/J49)*100</f>
        <v>3.5353293871266964</v>
      </c>
      <c r="L40" s="46">
        <v>3468</v>
      </c>
      <c r="M40" s="35">
        <f>(L40/L49)*100</f>
        <v>3.5779504162926736</v>
      </c>
    </row>
    <row r="41" spans="1:13" ht="14.1" customHeight="1">
      <c r="A41" s="358" t="s">
        <v>175</v>
      </c>
      <c r="B41" s="46">
        <v>2400</v>
      </c>
      <c r="C41" s="34">
        <f>(B41/B49)*100</f>
        <v>2.1660649819494582</v>
      </c>
      <c r="D41" s="46">
        <v>2891</v>
      </c>
      <c r="E41" s="34">
        <f>(D41/D49)*100</f>
        <v>2.5875340111699843</v>
      </c>
      <c r="F41" s="46">
        <v>3971</v>
      </c>
      <c r="G41" s="34">
        <f>(F41/F49)*100</f>
        <v>3.5748687894419389</v>
      </c>
      <c r="H41" s="46">
        <v>4310</v>
      </c>
      <c r="I41" s="34">
        <f>(H41/H49)*100</f>
        <v>3.8088673259276935</v>
      </c>
      <c r="J41" s="46">
        <v>4697</v>
      </c>
      <c r="K41" s="34">
        <f>(J41/J49)*100</f>
        <v>4.491599169957829</v>
      </c>
      <c r="L41" s="46">
        <v>3817</v>
      </c>
      <c r="M41" s="35">
        <f>(L41/L49)*100</f>
        <v>3.9380152073209738</v>
      </c>
    </row>
    <row r="42" spans="1:13" ht="14.1" customHeight="1">
      <c r="A42" s="358" t="s">
        <v>177</v>
      </c>
      <c r="B42" s="46">
        <v>2500</v>
      </c>
      <c r="C42" s="34">
        <f>(B42/B49)*100</f>
        <v>2.256317689530686</v>
      </c>
      <c r="D42" s="46">
        <v>2448</v>
      </c>
      <c r="E42" s="34">
        <f>(D42/D49)*100</f>
        <v>2.1910353716167839</v>
      </c>
      <c r="F42" s="46">
        <v>3132</v>
      </c>
      <c r="G42" s="34">
        <f>(F42/F49)*100</f>
        <v>2.8195641018716069</v>
      </c>
      <c r="H42" s="46">
        <v>3556</v>
      </c>
      <c r="I42" s="34">
        <f>(H42/H49)*100</f>
        <v>3.1425364758698096</v>
      </c>
      <c r="J42" s="46">
        <v>2907</v>
      </c>
      <c r="K42" s="34">
        <f>(J42/J49)*100</f>
        <v>2.7798762586901016</v>
      </c>
      <c r="L42" s="46">
        <v>2498</v>
      </c>
      <c r="M42" s="35">
        <f>(L42/L49)*100</f>
        <v>2.5771972721739043</v>
      </c>
    </row>
    <row r="43" spans="1:13" ht="14.1" customHeight="1">
      <c r="A43" s="357" t="s">
        <v>181</v>
      </c>
      <c r="B43" s="46">
        <v>1900</v>
      </c>
      <c r="C43" s="34">
        <f>(B43/B49)*100</f>
        <v>1.7148014440433215</v>
      </c>
      <c r="D43" s="46">
        <v>1900</v>
      </c>
      <c r="E43" s="34">
        <f>(D43/D49)*100</f>
        <v>1.7005584992123728</v>
      </c>
      <c r="F43" s="46">
        <v>1661</v>
      </c>
      <c r="G43" s="34">
        <f>(F43/F49)*100</f>
        <v>1.4953052277167111</v>
      </c>
      <c r="H43" s="46">
        <v>1987</v>
      </c>
      <c r="I43" s="34">
        <f>(H43/H49)*100</f>
        <v>1.7559673727652731</v>
      </c>
      <c r="J43" s="46">
        <v>1468</v>
      </c>
      <c r="K43" s="34">
        <f>(J43/J49)*100</f>
        <v>1.4038040411961021</v>
      </c>
      <c r="L43" s="46">
        <v>1712</v>
      </c>
      <c r="M43" s="35">
        <f>(L43/L49)*100</f>
        <v>1.7662777141560144</v>
      </c>
    </row>
    <row r="44" spans="1:13" ht="14.1" customHeight="1">
      <c r="A44" s="358" t="s">
        <v>180</v>
      </c>
      <c r="B44" s="46">
        <v>1400</v>
      </c>
      <c r="C44" s="34">
        <f>(B44/B49)*100</f>
        <v>1.2635379061371841</v>
      </c>
      <c r="D44" s="46">
        <v>1567</v>
      </c>
      <c r="E44" s="34">
        <f>(D44/D49)*100</f>
        <v>1.4025132464556782</v>
      </c>
      <c r="F44" s="46">
        <v>1942</v>
      </c>
      <c r="G44" s="34">
        <f>(F44/F49)*100</f>
        <v>1.748273782194975</v>
      </c>
      <c r="H44" s="46">
        <v>1712</v>
      </c>
      <c r="I44" s="34">
        <f>(H44/H49)*100</f>
        <v>1.5129421953568933</v>
      </c>
      <c r="J44" s="46">
        <v>772</v>
      </c>
      <c r="K44" s="34">
        <f>(J44/J49)*100</f>
        <v>0.73824027234563416</v>
      </c>
      <c r="L44" s="46">
        <v>1912</v>
      </c>
      <c r="M44" s="35">
        <f>(L44/L49)*100</f>
        <v>1.9726185686134927</v>
      </c>
    </row>
    <row r="45" spans="1:13" ht="14.1" customHeight="1">
      <c r="A45" s="358" t="s">
        <v>182</v>
      </c>
      <c r="B45" s="37">
        <v>1100</v>
      </c>
      <c r="C45" s="34">
        <f>(B45/B49)*100</f>
        <v>0.99277978339350181</v>
      </c>
      <c r="D45" s="37">
        <v>1212</v>
      </c>
      <c r="E45" s="34">
        <f>(D45/D49)*100</f>
        <v>1.0847773163396821</v>
      </c>
      <c r="F45" s="37">
        <v>1344</v>
      </c>
      <c r="G45" s="34">
        <f>(F45/F49)*100</f>
        <v>1.2099278904583142</v>
      </c>
      <c r="H45" s="37">
        <v>1374</v>
      </c>
      <c r="I45" s="34">
        <f>(H45/H49)*100</f>
        <v>1.2142421591240489</v>
      </c>
      <c r="J45" s="37">
        <v>1243</v>
      </c>
      <c r="K45" s="34">
        <f>(J45/J49)*100</f>
        <v>1.1886433400590974</v>
      </c>
      <c r="L45" s="37">
        <v>1200</v>
      </c>
      <c r="M45" s="35">
        <f>(L45/L49)*100</f>
        <v>1.23804512674487</v>
      </c>
    </row>
    <row r="46" spans="1:13" ht="14.1" customHeight="1">
      <c r="A46" s="358" t="s">
        <v>183</v>
      </c>
      <c r="B46" s="46">
        <v>430</v>
      </c>
      <c r="C46" s="34">
        <f>(B46/B49)*100</f>
        <v>0.388086642599278</v>
      </c>
      <c r="D46" s="46">
        <v>430</v>
      </c>
      <c r="E46" s="34">
        <f>(D46/D49)*100</f>
        <v>0.38486323929543176</v>
      </c>
      <c r="F46" s="46">
        <v>1103</v>
      </c>
      <c r="G46" s="34">
        <f>(F46/F49)*100</f>
        <v>0.99296909462464333</v>
      </c>
      <c r="H46" s="46">
        <v>1044</v>
      </c>
      <c r="I46" s="34">
        <f>(H46/H49)*100</f>
        <v>0.92261194623399345</v>
      </c>
      <c r="J46" s="46">
        <v>1826</v>
      </c>
      <c r="K46" s="34">
        <f>(J46/J49)*100</f>
        <v>1.7461486234496477</v>
      </c>
      <c r="L46" s="46">
        <v>1082</v>
      </c>
      <c r="M46" s="35">
        <f>(L46/L49)*100</f>
        <v>1.1163040226149576</v>
      </c>
    </row>
    <row r="47" spans="1:13" ht="17.25" hidden="1" customHeight="1">
      <c r="A47" s="357"/>
      <c r="B47" s="46">
        <f>SUM(B32:B46)</f>
        <v>105330</v>
      </c>
      <c r="C47" s="357"/>
      <c r="D47" s="46">
        <f>SUM(D32:D46)</f>
        <v>106701</v>
      </c>
      <c r="E47" s="357"/>
      <c r="F47" s="46">
        <f>SUM(F32:F46)</f>
        <v>104455</v>
      </c>
      <c r="G47" s="357"/>
      <c r="H47" s="46">
        <f>SUM(H32:H46)</f>
        <v>106737</v>
      </c>
      <c r="I47" s="357"/>
      <c r="J47" s="46">
        <f>SUM(J32:J46)</f>
        <v>97418</v>
      </c>
      <c r="K47" s="357"/>
      <c r="L47" s="46">
        <f>SUM(L32:L46)</f>
        <v>90684</v>
      </c>
      <c r="M47" s="358"/>
    </row>
    <row r="48" spans="1:13">
      <c r="A48" s="365" t="s">
        <v>184</v>
      </c>
      <c r="B48" s="38">
        <f>B49-B47</f>
        <v>5470</v>
      </c>
      <c r="C48" s="39">
        <f>(B48/B49)*100</f>
        <v>4.9368231046931408</v>
      </c>
      <c r="D48" s="38">
        <f>D49-D47</f>
        <v>5027</v>
      </c>
      <c r="E48" s="39">
        <f>(D48/D49)*100</f>
        <v>4.4993197766003146</v>
      </c>
      <c r="F48" s="38">
        <f>F49-F47</f>
        <v>6626</v>
      </c>
      <c r="G48" s="39">
        <f>(F48/F49)*100</f>
        <v>5.9650165194767784</v>
      </c>
      <c r="H48" s="38">
        <f>H49-H47</f>
        <v>6420</v>
      </c>
      <c r="I48" s="39">
        <f>(H48/H49)*100</f>
        <v>5.6735332325883503</v>
      </c>
      <c r="J48" s="38">
        <f>J49-J47</f>
        <v>7155</v>
      </c>
      <c r="K48" s="39">
        <f>(J48/J49)*100</f>
        <v>6.8421102961567515</v>
      </c>
      <c r="L48" s="38">
        <f>L49-L47</f>
        <v>6243</v>
      </c>
      <c r="M48" s="40">
        <f>(L48/L49)*100</f>
        <v>6.4409297718901861</v>
      </c>
    </row>
    <row r="49" spans="1:13" ht="18" customHeight="1">
      <c r="A49" s="366" t="s">
        <v>115</v>
      </c>
      <c r="B49" s="360">
        <v>110800</v>
      </c>
      <c r="C49" s="361">
        <f>SUM(C32:C48)</f>
        <v>99.999999999999986</v>
      </c>
      <c r="D49" s="360">
        <v>111728</v>
      </c>
      <c r="E49" s="361">
        <f>SUM(E32:E48)</f>
        <v>99.999999999999986</v>
      </c>
      <c r="F49" s="360">
        <v>111081</v>
      </c>
      <c r="G49" s="361">
        <f>SUM(G32:G48)</f>
        <v>99.999999999999986</v>
      </c>
      <c r="H49" s="360">
        <v>113157</v>
      </c>
      <c r="I49" s="361">
        <f>SUM(I32:I48)</f>
        <v>100</v>
      </c>
      <c r="J49" s="360">
        <v>104573</v>
      </c>
      <c r="K49" s="361">
        <f>SUM(K32:K48)</f>
        <v>99.999999999999986</v>
      </c>
      <c r="L49" s="360">
        <v>96927</v>
      </c>
      <c r="M49" s="362">
        <f>SUM(M32:M48)</f>
        <v>100</v>
      </c>
    </row>
    <row r="50" spans="1:13" ht="15" customHeight="1">
      <c r="A50" s="367" t="s">
        <v>188</v>
      </c>
      <c r="B50" s="367"/>
      <c r="C50" s="367"/>
      <c r="D50" s="47"/>
      <c r="E50" s="47"/>
      <c r="F50" s="48"/>
      <c r="G50" s="48"/>
      <c r="H50" s="48"/>
      <c r="I50" s="48"/>
      <c r="J50" s="368"/>
      <c r="K50" s="369"/>
      <c r="L50" s="368"/>
      <c r="M50" s="369"/>
    </row>
    <row r="51" spans="1:13" ht="9" customHeight="1">
      <c r="A51" s="42"/>
      <c r="B51" s="42"/>
      <c r="C51" s="42"/>
      <c r="D51" s="47"/>
      <c r="E51" s="47"/>
      <c r="F51" s="48"/>
      <c r="G51" s="48"/>
      <c r="H51" s="48"/>
      <c r="I51" s="48"/>
      <c r="J51" s="368"/>
      <c r="K51" s="369"/>
      <c r="L51" s="368"/>
      <c r="M51" s="369"/>
    </row>
    <row r="52" spans="1:13" ht="15" customHeight="1">
      <c r="A52" s="1453" t="s">
        <v>189</v>
      </c>
      <c r="B52" s="1453"/>
      <c r="C52" s="1453"/>
      <c r="D52" s="1454"/>
      <c r="E52" s="1454"/>
      <c r="F52" s="1454"/>
      <c r="G52" s="1454"/>
      <c r="H52" s="1454"/>
      <c r="I52" s="1454"/>
      <c r="J52" s="1454"/>
      <c r="K52" s="1454"/>
      <c r="L52" s="1454"/>
      <c r="M52" s="1455"/>
    </row>
    <row r="53" spans="1:13" ht="15" customHeight="1">
      <c r="A53" s="1456" t="s">
        <v>163</v>
      </c>
      <c r="B53" s="1457" t="s">
        <v>505</v>
      </c>
      <c r="C53" s="1457"/>
      <c r="D53" s="1457" t="s">
        <v>164</v>
      </c>
      <c r="E53" s="1457"/>
      <c r="F53" s="1457" t="s">
        <v>165</v>
      </c>
      <c r="G53" s="1457"/>
      <c r="H53" s="1458" t="s">
        <v>166</v>
      </c>
      <c r="I53" s="1459"/>
      <c r="J53" s="1458" t="s">
        <v>31</v>
      </c>
      <c r="K53" s="1459"/>
      <c r="L53" s="1458" t="s">
        <v>167</v>
      </c>
      <c r="M53" s="1460"/>
    </row>
    <row r="54" spans="1:13" ht="15" customHeight="1">
      <c r="A54" s="1456"/>
      <c r="B54" s="30" t="s">
        <v>17</v>
      </c>
      <c r="C54" s="30" t="s">
        <v>168</v>
      </c>
      <c r="D54" s="30" t="s">
        <v>17</v>
      </c>
      <c r="E54" s="30" t="s">
        <v>168</v>
      </c>
      <c r="F54" s="30" t="s">
        <v>17</v>
      </c>
      <c r="G54" s="30" t="s">
        <v>168</v>
      </c>
      <c r="H54" s="30" t="s">
        <v>17</v>
      </c>
      <c r="I54" s="30" t="s">
        <v>168</v>
      </c>
      <c r="J54" s="30" t="s">
        <v>17</v>
      </c>
      <c r="K54" s="30" t="s">
        <v>168</v>
      </c>
      <c r="L54" s="30" t="s">
        <v>17</v>
      </c>
      <c r="M54" s="43" t="s">
        <v>168</v>
      </c>
    </row>
    <row r="55" spans="1:13" ht="14.1" customHeight="1">
      <c r="A55" s="364" t="s">
        <v>169</v>
      </c>
      <c r="B55" s="33">
        <v>21000</v>
      </c>
      <c r="C55" s="44">
        <f>(B55/B72)*100</f>
        <v>43.75</v>
      </c>
      <c r="D55" s="33">
        <v>20333</v>
      </c>
      <c r="E55" s="44">
        <f>(D55/D72)*100</f>
        <v>44.00986991623558</v>
      </c>
      <c r="F55" s="33">
        <v>20085</v>
      </c>
      <c r="G55" s="44">
        <f>(F55/F72)*100</f>
        <v>44.641269559032715</v>
      </c>
      <c r="H55" s="33">
        <v>20330</v>
      </c>
      <c r="I55" s="44">
        <f>(H55/H72)*100</f>
        <v>45.972592827099632</v>
      </c>
      <c r="J55" s="33">
        <v>19720</v>
      </c>
      <c r="K55" s="44">
        <f>(J55/J72)*100</f>
        <v>46.081226340141143</v>
      </c>
      <c r="L55" s="33">
        <v>19131.830000000002</v>
      </c>
      <c r="M55" s="45">
        <f>(L55/L72)*100</f>
        <v>46.657310084136085</v>
      </c>
    </row>
    <row r="56" spans="1:13" ht="14.1" customHeight="1">
      <c r="A56" s="357" t="s">
        <v>172</v>
      </c>
      <c r="B56" s="46">
        <v>4200</v>
      </c>
      <c r="C56" s="34">
        <f>(B56/B72)*100</f>
        <v>8.75</v>
      </c>
      <c r="D56" s="46">
        <v>3584</v>
      </c>
      <c r="E56" s="34">
        <f>(D56/D72)*100</f>
        <v>7.7574078483149718</v>
      </c>
      <c r="F56" s="46">
        <v>3584</v>
      </c>
      <c r="G56" s="34">
        <f>(F56/F72)*100</f>
        <v>7.9658605974395442</v>
      </c>
      <c r="H56" s="46">
        <v>3584</v>
      </c>
      <c r="I56" s="34">
        <f>(H56/H72)*100</f>
        <v>8.104563339514268</v>
      </c>
      <c r="J56" s="46">
        <v>3333</v>
      </c>
      <c r="K56" s="34">
        <f>(J56/J72)*100</f>
        <v>7.7884750198625978</v>
      </c>
      <c r="L56" s="46">
        <v>3333</v>
      </c>
      <c r="M56" s="35">
        <f>(L56/L72)*100</f>
        <v>8.1282770393854413</v>
      </c>
    </row>
    <row r="57" spans="1:13" ht="14.1" customHeight="1">
      <c r="A57" s="357" t="s">
        <v>173</v>
      </c>
      <c r="B57" s="46">
        <v>3700</v>
      </c>
      <c r="C57" s="34">
        <f>(B57/B72)*100</f>
        <v>7.7083333333333339</v>
      </c>
      <c r="D57" s="46">
        <v>3383</v>
      </c>
      <c r="E57" s="34">
        <f>(D57/D72)*100</f>
        <v>7.3223523300361473</v>
      </c>
      <c r="F57" s="46">
        <v>3383</v>
      </c>
      <c r="G57" s="34">
        <f>(F57/F72)*100</f>
        <v>7.5191145092460889</v>
      </c>
      <c r="H57" s="46">
        <v>3383</v>
      </c>
      <c r="I57" s="34">
        <f>(H57/H72)*100</f>
        <v>7.6500384424042336</v>
      </c>
      <c r="J57" s="46">
        <v>3383</v>
      </c>
      <c r="K57" s="34">
        <f>(J57/J72)*100</f>
        <v>7.9053138290414546</v>
      </c>
      <c r="L57" s="46">
        <v>3253</v>
      </c>
      <c r="M57" s="35">
        <f>(L57/L72)*100</f>
        <v>7.9331788806243146</v>
      </c>
    </row>
    <row r="58" spans="1:13" ht="14.1" customHeight="1">
      <c r="A58" s="357" t="s">
        <v>177</v>
      </c>
      <c r="B58" s="46">
        <v>2400</v>
      </c>
      <c r="C58" s="34">
        <f>(B58/B72)*100</f>
        <v>5</v>
      </c>
      <c r="D58" s="46">
        <v>2354</v>
      </c>
      <c r="E58" s="34">
        <f>(D58/D72)*100</f>
        <v>5.0951278110863401</v>
      </c>
      <c r="F58" s="46">
        <v>2354</v>
      </c>
      <c r="G58" s="34">
        <f>(F58/F72)*100</f>
        <v>5.2320412517780941</v>
      </c>
      <c r="H58" s="46">
        <v>2354</v>
      </c>
      <c r="I58" s="34">
        <f>(H58/H72)*100</f>
        <v>5.3231423273483784</v>
      </c>
      <c r="J58" s="46">
        <v>2354</v>
      </c>
      <c r="K58" s="34">
        <f>(J58/J72)*100</f>
        <v>5.50077113614058</v>
      </c>
      <c r="L58" s="46">
        <v>2239</v>
      </c>
      <c r="M58" s="35">
        <f>(L58/L72)*100</f>
        <v>5.460309718327033</v>
      </c>
    </row>
    <row r="59" spans="1:13" ht="14.1" customHeight="1">
      <c r="A59" s="357" t="s">
        <v>174</v>
      </c>
      <c r="B59" s="46">
        <v>2300</v>
      </c>
      <c r="C59" s="34">
        <f>(B59/B72)*100</f>
        <v>4.791666666666667</v>
      </c>
      <c r="D59" s="46">
        <v>1917</v>
      </c>
      <c r="E59" s="34">
        <f>(D59/D72)*100</f>
        <v>4.1492608385099894</v>
      </c>
      <c r="F59" s="46">
        <v>1917</v>
      </c>
      <c r="G59" s="34">
        <f>(F59/F72)*100</f>
        <v>4.2607574679943108</v>
      </c>
      <c r="H59" s="46">
        <v>1917</v>
      </c>
      <c r="I59" s="34">
        <f>(H59/H72)*100</f>
        <v>4.3349464067658632</v>
      </c>
      <c r="J59" s="46">
        <v>1829</v>
      </c>
      <c r="K59" s="34">
        <f>(J59/J72)*100</f>
        <v>4.2739636397625835</v>
      </c>
      <c r="L59" s="46">
        <v>1725</v>
      </c>
      <c r="M59" s="35">
        <f>(L59/L72)*100</f>
        <v>4.2068040482867941</v>
      </c>
    </row>
    <row r="60" spans="1:13" ht="14.1" customHeight="1">
      <c r="A60" s="357" t="s">
        <v>170</v>
      </c>
      <c r="B60" s="46">
        <v>2300</v>
      </c>
      <c r="C60" s="34">
        <f>(B60/B72)*100</f>
        <v>4.791666666666667</v>
      </c>
      <c r="D60" s="46">
        <v>1583</v>
      </c>
      <c r="E60" s="34">
        <f>(D60/D72)*100</f>
        <v>3.4263327633601</v>
      </c>
      <c r="F60" s="46">
        <v>1583</v>
      </c>
      <c r="G60" s="34">
        <f>(F60/F72)*100</f>
        <v>3.5184032716927454</v>
      </c>
      <c r="H60" s="46">
        <v>1583</v>
      </c>
      <c r="I60" s="34">
        <f>(H60/H72)*100</f>
        <v>3.5796662294785406</v>
      </c>
      <c r="J60" s="46">
        <v>1583</v>
      </c>
      <c r="K60" s="34">
        <f>(J60/J72)*100</f>
        <v>3.6991166986026078</v>
      </c>
      <c r="L60" s="46">
        <v>1302</v>
      </c>
      <c r="M60" s="35">
        <f>(L60/L72)*100</f>
        <v>3.1752225338373368</v>
      </c>
    </row>
    <row r="61" spans="1:13" ht="14.1" customHeight="1">
      <c r="A61" s="357" t="s">
        <v>171</v>
      </c>
      <c r="B61" s="46">
        <v>1600</v>
      </c>
      <c r="C61" s="34">
        <f>(B61/B72)*100</f>
        <v>3.3333333333333335</v>
      </c>
      <c r="D61" s="46">
        <v>1439</v>
      </c>
      <c r="E61" s="34">
        <f>(D61/D72)*100</f>
        <v>3.1146511980260168</v>
      </c>
      <c r="F61" s="46">
        <v>1439</v>
      </c>
      <c r="G61" s="34">
        <f>(F61/F72)*100</f>
        <v>3.1983463726884778</v>
      </c>
      <c r="H61" s="46">
        <v>1439</v>
      </c>
      <c r="I61" s="34">
        <f>(H61/H72)*100</f>
        <v>3.2540364524444843</v>
      </c>
      <c r="J61" s="46">
        <v>1439</v>
      </c>
      <c r="K61" s="34">
        <f>(J61/J72)*100</f>
        <v>3.3626209281674999</v>
      </c>
      <c r="L61" s="46">
        <v>1308</v>
      </c>
      <c r="M61" s="35">
        <f>(L61/L72)*100</f>
        <v>3.1898548957444213</v>
      </c>
    </row>
    <row r="62" spans="1:13" ht="14.1" customHeight="1">
      <c r="A62" s="357" t="s">
        <v>176</v>
      </c>
      <c r="B62" s="37">
        <v>300</v>
      </c>
      <c r="C62" s="34">
        <f>(B62/B72)*100</f>
        <v>0.625</v>
      </c>
      <c r="D62" s="37">
        <v>345</v>
      </c>
      <c r="E62" s="34">
        <f>(D62/D72)*100</f>
        <v>0.7467370836129088</v>
      </c>
      <c r="F62" s="37">
        <v>345</v>
      </c>
      <c r="G62" s="34">
        <f>(F62/F72)*100</f>
        <v>0.766802987197724</v>
      </c>
      <c r="H62" s="37">
        <v>345</v>
      </c>
      <c r="I62" s="34">
        <f>(H62/H72)*100</f>
        <v>0.78015467414409112</v>
      </c>
      <c r="J62" s="37">
        <v>345</v>
      </c>
      <c r="K62" s="34">
        <f>(J62/J72)*100</f>
        <v>0.80618778333411223</v>
      </c>
      <c r="L62" s="37">
        <v>345</v>
      </c>
      <c r="M62" s="35">
        <f>(L62/L72)*100</f>
        <v>0.84136080965735893</v>
      </c>
    </row>
    <row r="63" spans="1:13" ht="14.1" customHeight="1">
      <c r="A63" s="357" t="s">
        <v>179</v>
      </c>
      <c r="B63" s="46">
        <v>300</v>
      </c>
      <c r="C63" s="34">
        <f>(B63/B72)*100</f>
        <v>0.625</v>
      </c>
      <c r="D63" s="46">
        <v>340</v>
      </c>
      <c r="E63" s="34">
        <f>(D63/D72)*100</f>
        <v>0.73591480703880874</v>
      </c>
      <c r="F63" s="46">
        <v>340</v>
      </c>
      <c r="G63" s="34">
        <f>(F63/F72)*100</f>
        <v>0.75568990042674256</v>
      </c>
      <c r="H63" s="46">
        <v>340</v>
      </c>
      <c r="I63" s="34">
        <f>(H63/H72)*100</f>
        <v>0.76884808466374199</v>
      </c>
      <c r="J63" s="46">
        <v>340</v>
      </c>
      <c r="K63" s="34">
        <f>(J63/J72)*100</f>
        <v>0.79450390241622648</v>
      </c>
      <c r="L63" s="46">
        <v>340</v>
      </c>
      <c r="M63" s="35">
        <f>(L63/L72)*100</f>
        <v>0.8291671747347884</v>
      </c>
    </row>
    <row r="64" spans="1:13" ht="14.1" customHeight="1">
      <c r="A64" s="358" t="s">
        <v>180</v>
      </c>
      <c r="B64" s="46">
        <v>300</v>
      </c>
      <c r="C64" s="34">
        <f>(B64/B72)*100</f>
        <v>0.625</v>
      </c>
      <c r="D64" s="46">
        <v>317</v>
      </c>
      <c r="E64" s="34">
        <f>(D64/D72)*100</f>
        <v>0.68613233479794811</v>
      </c>
      <c r="F64" s="46">
        <v>317</v>
      </c>
      <c r="G64" s="34">
        <f>(F64/F72)*100</f>
        <v>0.70456970128022756</v>
      </c>
      <c r="H64" s="46">
        <v>317</v>
      </c>
      <c r="I64" s="34">
        <f>(H64/H72)*100</f>
        <v>0.71683777305413587</v>
      </c>
      <c r="J64" s="46">
        <v>317</v>
      </c>
      <c r="K64" s="34">
        <f>(J64/J72)*100</f>
        <v>0.74075805019395247</v>
      </c>
      <c r="L64" s="46">
        <v>317</v>
      </c>
      <c r="M64" s="35">
        <f>(L64/L72)*100</f>
        <v>0.77307645409096459</v>
      </c>
    </row>
    <row r="65" spans="1:13" ht="14.1" customHeight="1">
      <c r="A65" s="358" t="s">
        <v>183</v>
      </c>
      <c r="B65" s="46">
        <v>275</v>
      </c>
      <c r="C65" s="34">
        <f>(B65/B72)*100</f>
        <v>0.57291666666666663</v>
      </c>
      <c r="D65" s="46">
        <v>275</v>
      </c>
      <c r="E65" s="34">
        <f>(D65/D72)*100</f>
        <v>0.59522521157550701</v>
      </c>
      <c r="F65" s="46">
        <v>275</v>
      </c>
      <c r="G65" s="34">
        <f>(F65/F72)*100</f>
        <v>0.61121977240398295</v>
      </c>
      <c r="H65" s="46">
        <v>275</v>
      </c>
      <c r="I65" s="34">
        <f>(H65/H72)*100</f>
        <v>0.62186242141920312</v>
      </c>
      <c r="J65" s="46">
        <v>271</v>
      </c>
      <c r="K65" s="34">
        <f>(J65/J72)*100</f>
        <v>0.6332663457494041</v>
      </c>
      <c r="L65" s="46">
        <v>275</v>
      </c>
      <c r="M65" s="35">
        <f>(L65/L72)*100</f>
        <v>0.67064992074137297</v>
      </c>
    </row>
    <row r="66" spans="1:13" ht="14.1" customHeight="1">
      <c r="A66" s="358" t="s">
        <v>182</v>
      </c>
      <c r="B66" s="46">
        <v>200</v>
      </c>
      <c r="C66" s="34">
        <f>(B66/B72)*100</f>
        <v>0.41666666666666669</v>
      </c>
      <c r="D66" s="46">
        <v>251</v>
      </c>
      <c r="E66" s="34">
        <f>(D66/D72)*100</f>
        <v>0.54327828401982636</v>
      </c>
      <c r="F66" s="46">
        <v>251</v>
      </c>
      <c r="G66" s="34">
        <f>(F66/F72)*100</f>
        <v>0.55787695590327169</v>
      </c>
      <c r="H66" s="46">
        <v>251</v>
      </c>
      <c r="I66" s="34">
        <f>(H66/H72)*100</f>
        <v>0.56759079191352724</v>
      </c>
      <c r="J66" s="46">
        <v>270</v>
      </c>
      <c r="K66" s="34">
        <f>(J66/J72)*100</f>
        <v>0.63092956956582702</v>
      </c>
      <c r="L66" s="46">
        <v>282</v>
      </c>
      <c r="M66" s="35">
        <f>(L66/L72)*100</f>
        <v>0.68772100963297156</v>
      </c>
    </row>
    <row r="67" spans="1:13" ht="14.1" customHeight="1">
      <c r="A67" s="358" t="s">
        <v>175</v>
      </c>
      <c r="B67" s="46">
        <v>300</v>
      </c>
      <c r="C67" s="34">
        <f>(B67/B72)*100</f>
        <v>0.625</v>
      </c>
      <c r="D67" s="46">
        <v>250</v>
      </c>
      <c r="E67" s="34">
        <f>(D67/D72)*100</f>
        <v>0.54111382870500635</v>
      </c>
      <c r="F67" s="46">
        <v>250</v>
      </c>
      <c r="G67" s="34">
        <f>(F67/F72)*100</f>
        <v>0.55565433854907531</v>
      </c>
      <c r="H67" s="46">
        <v>250</v>
      </c>
      <c r="I67" s="34">
        <f>(H67/H72)*100</f>
        <v>0.56532947401745737</v>
      </c>
      <c r="J67" s="46">
        <v>250</v>
      </c>
      <c r="K67" s="34">
        <f>(J67/J72)*100</f>
        <v>0.58419404589428425</v>
      </c>
      <c r="L67" s="46">
        <v>250</v>
      </c>
      <c r="M67" s="35">
        <f>(L67/L72)*100</f>
        <v>0.60968174612852089</v>
      </c>
    </row>
    <row r="68" spans="1:13" ht="14.1" customHeight="1">
      <c r="A68" s="357" t="s">
        <v>181</v>
      </c>
      <c r="B68" s="46">
        <v>204</v>
      </c>
      <c r="C68" s="34">
        <f>(B68/B72)*100</f>
        <v>0.42500000000000004</v>
      </c>
      <c r="D68" s="46">
        <v>204</v>
      </c>
      <c r="E68" s="34">
        <f>(D68/D72)*100</f>
        <v>0.44154888422328525</v>
      </c>
      <c r="F68" s="46">
        <v>204</v>
      </c>
      <c r="G68" s="34">
        <f>(F68/F72)*100</f>
        <v>0.45341394025604548</v>
      </c>
      <c r="H68" s="46">
        <v>204</v>
      </c>
      <c r="I68" s="34">
        <f>(H68/H72)*100</f>
        <v>0.46130885079824524</v>
      </c>
      <c r="J68" s="46">
        <v>202</v>
      </c>
      <c r="K68" s="34">
        <f>(J68/J72)*100</f>
        <v>0.47202878908258167</v>
      </c>
      <c r="L68" s="46">
        <v>199</v>
      </c>
      <c r="M68" s="35">
        <f>(L68/L72)*100</f>
        <v>0.48530666991830262</v>
      </c>
    </row>
    <row r="69" spans="1:13" ht="14.1" customHeight="1">
      <c r="A69" s="358" t="s">
        <v>178</v>
      </c>
      <c r="B69" s="46">
        <v>200</v>
      </c>
      <c r="C69" s="34">
        <f>(B69/B72)*100</f>
        <v>0.41666666666666669</v>
      </c>
      <c r="D69" s="46">
        <v>140</v>
      </c>
      <c r="E69" s="34">
        <f>(D69/D72)*100</f>
        <v>0.30302374407480354</v>
      </c>
      <c r="F69" s="46">
        <v>140</v>
      </c>
      <c r="G69" s="34">
        <f>(F69/F72)*100</f>
        <v>0.3111664295874822</v>
      </c>
      <c r="H69" s="46">
        <v>140</v>
      </c>
      <c r="I69" s="34">
        <f>(H69/H72)*100</f>
        <v>0.31658450544977612</v>
      </c>
      <c r="J69" s="46">
        <v>140</v>
      </c>
      <c r="K69" s="34">
        <f>(J69/J72)*100</f>
        <v>0.3271486657007992</v>
      </c>
      <c r="L69" s="46">
        <v>140</v>
      </c>
      <c r="M69" s="35">
        <f>(L69/L72)*100</f>
        <v>0.3414217778319717</v>
      </c>
    </row>
    <row r="70" spans="1:13" ht="15" hidden="1" customHeight="1">
      <c r="A70" s="357"/>
      <c r="B70" s="46">
        <f>SUM(B55:B69)</f>
        <v>39579</v>
      </c>
      <c r="C70" s="34"/>
      <c r="D70" s="46">
        <f>SUM(D55:D69)</f>
        <v>36715</v>
      </c>
      <c r="E70" s="34"/>
      <c r="F70" s="46">
        <f>SUM(F55:F69)</f>
        <v>36467</v>
      </c>
      <c r="G70" s="34"/>
      <c r="H70" s="46">
        <f>SUM(H55:H69)</f>
        <v>36712</v>
      </c>
      <c r="I70" s="34"/>
      <c r="J70" s="46">
        <f>SUM(J55:J69)</f>
        <v>35776</v>
      </c>
      <c r="K70" s="34"/>
      <c r="L70" s="46">
        <f>SUM(L55:L69)</f>
        <v>34439.83</v>
      </c>
      <c r="M70" s="35"/>
    </row>
    <row r="71" spans="1:13" ht="15" customHeight="1">
      <c r="A71" s="365" t="s">
        <v>184</v>
      </c>
      <c r="B71" s="38">
        <f>B72-B70</f>
        <v>8421</v>
      </c>
      <c r="C71" s="39">
        <f>(B71/B72)*100</f>
        <v>17.543749999999999</v>
      </c>
      <c r="D71" s="38">
        <f>D72-D70</f>
        <v>9486</v>
      </c>
      <c r="E71" s="39">
        <f>(D71/D72)*100</f>
        <v>20.53202311638276</v>
      </c>
      <c r="F71" s="38">
        <f>F72-F70</f>
        <v>8525</v>
      </c>
      <c r="G71" s="39">
        <f>(F71/F72)*100</f>
        <v>18.94781294452347</v>
      </c>
      <c r="H71" s="38">
        <f>H72-H70</f>
        <v>7510</v>
      </c>
      <c r="I71" s="39">
        <f>(H71/H72)*100</f>
        <v>16.982497399484419</v>
      </c>
      <c r="J71" s="38">
        <f>J72-J70</f>
        <v>7018</v>
      </c>
      <c r="K71" s="39">
        <f>(J71/J72)*100</f>
        <v>16.399495256344348</v>
      </c>
      <c r="L71" s="38">
        <f>L72-L70</f>
        <v>6565.1699999999983</v>
      </c>
      <c r="M71" s="40">
        <f>(L71/L72)*100</f>
        <v>16.01065723692232</v>
      </c>
    </row>
    <row r="72" spans="1:13" ht="18" customHeight="1">
      <c r="A72" s="359" t="s">
        <v>115</v>
      </c>
      <c r="B72" s="370">
        <v>48000</v>
      </c>
      <c r="C72" s="361">
        <f>SUM(C55:C71)</f>
        <v>100.00000000000003</v>
      </c>
      <c r="D72" s="370">
        <v>46201</v>
      </c>
      <c r="E72" s="361">
        <f>SUM(E55:E71)</f>
        <v>99.999999999999986</v>
      </c>
      <c r="F72" s="370">
        <v>44992</v>
      </c>
      <c r="G72" s="361">
        <f>SUM(G55:G71)</f>
        <v>100</v>
      </c>
      <c r="H72" s="370">
        <v>44222</v>
      </c>
      <c r="I72" s="361">
        <f>SUM(I55:I71)</f>
        <v>100.00000000000001</v>
      </c>
      <c r="J72" s="370">
        <v>42794</v>
      </c>
      <c r="K72" s="361">
        <f>SUM(K55:K71)</f>
        <v>100</v>
      </c>
      <c r="L72" s="370">
        <v>41005</v>
      </c>
      <c r="M72" s="362">
        <f>SUM(M55:M71)</f>
        <v>100</v>
      </c>
    </row>
    <row r="73" spans="1:13" ht="15" customHeight="1">
      <c r="A73" s="367" t="s">
        <v>190</v>
      </c>
      <c r="B73" s="367"/>
      <c r="C73" s="367"/>
      <c r="D73" s="47"/>
      <c r="E73" s="47"/>
      <c r="F73" s="49"/>
      <c r="G73" s="49"/>
      <c r="H73" s="371"/>
      <c r="I73" s="371"/>
      <c r="J73" s="371"/>
      <c r="K73" s="371"/>
      <c r="L73" s="371"/>
      <c r="M73" s="371"/>
    </row>
    <row r="74" spans="1:13" ht="12.75" customHeight="1">
      <c r="A74" s="42" t="s">
        <v>186</v>
      </c>
      <c r="B74" s="42"/>
      <c r="C74" s="42"/>
      <c r="D74"/>
      <c r="E74"/>
      <c r="F74" s="3"/>
      <c r="G74" s="3"/>
      <c r="H74" s="29"/>
      <c r="I74" s="29"/>
      <c r="J74" s="29"/>
      <c r="K74" s="29"/>
      <c r="L74" s="29"/>
      <c r="M74" s="29"/>
    </row>
    <row r="75" spans="1:13">
      <c r="A75"/>
      <c r="B75"/>
      <c r="C75"/>
      <c r="D75"/>
      <c r="E75"/>
      <c r="F75" s="6"/>
      <c r="G75" s="29"/>
      <c r="H75" s="29"/>
      <c r="I75" s="29"/>
      <c r="J75" s="29"/>
      <c r="K75" s="29"/>
      <c r="L75" s="29"/>
      <c r="M75" s="29"/>
    </row>
    <row r="76" spans="1:13">
      <c r="A76"/>
      <c r="B76"/>
      <c r="C76"/>
      <c r="D76"/>
      <c r="E76"/>
      <c r="F76" s="29"/>
    </row>
  </sheetData>
  <mergeCells count="29">
    <mergeCell ref="A1:M1"/>
    <mergeCell ref="A2:M2"/>
    <mergeCell ref="A3:M3"/>
    <mergeCell ref="A4:M4"/>
    <mergeCell ref="A5:M5"/>
    <mergeCell ref="A6:M6"/>
    <mergeCell ref="L7:M7"/>
    <mergeCell ref="A29:M29"/>
    <mergeCell ref="A30:A31"/>
    <mergeCell ref="D30:E30"/>
    <mergeCell ref="F30:G30"/>
    <mergeCell ref="H30:I30"/>
    <mergeCell ref="J30:K30"/>
    <mergeCell ref="L30:M30"/>
    <mergeCell ref="A7:A8"/>
    <mergeCell ref="D7:E7"/>
    <mergeCell ref="F7:G7"/>
    <mergeCell ref="H7:I7"/>
    <mergeCell ref="J7:K7"/>
    <mergeCell ref="B7:C7"/>
    <mergeCell ref="B30:C30"/>
    <mergeCell ref="A52:M52"/>
    <mergeCell ref="A53:A54"/>
    <mergeCell ref="D53:E53"/>
    <mergeCell ref="F53:G53"/>
    <mergeCell ref="H53:I53"/>
    <mergeCell ref="J53:K53"/>
    <mergeCell ref="L53:M53"/>
    <mergeCell ref="B53:C5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N19" sqref="N19"/>
    </sheetView>
  </sheetViews>
  <sheetFormatPr defaultRowHeight="12.75"/>
  <sheetData>
    <row r="1" spans="1:17" ht="18">
      <c r="A1" s="537" t="s">
        <v>360</v>
      </c>
      <c r="B1" s="537"/>
      <c r="C1" s="537"/>
      <c r="D1" s="537"/>
    </row>
    <row r="4" spans="1:17" ht="13.5" thickBot="1">
      <c r="A4" s="476"/>
      <c r="P4" s="476"/>
      <c r="Q4" s="476"/>
    </row>
    <row r="5" spans="1:17" ht="13.5" thickBot="1">
      <c r="A5" s="477" t="s">
        <v>346</v>
      </c>
      <c r="B5" s="478">
        <v>2001</v>
      </c>
      <c r="C5" s="478">
        <v>2002</v>
      </c>
      <c r="D5" s="478">
        <v>2003</v>
      </c>
      <c r="E5" s="478">
        <v>2004</v>
      </c>
      <c r="F5" s="478">
        <v>2005</v>
      </c>
      <c r="G5" s="478">
        <v>2006</v>
      </c>
      <c r="H5" s="478">
        <v>2007</v>
      </c>
      <c r="I5" s="478">
        <v>2008</v>
      </c>
      <c r="J5" s="478">
        <v>2009</v>
      </c>
      <c r="K5" s="478">
        <v>2010</v>
      </c>
      <c r="L5" s="478">
        <v>2011</v>
      </c>
      <c r="M5" s="478">
        <v>2012</v>
      </c>
      <c r="N5" s="479">
        <v>2013</v>
      </c>
      <c r="O5" s="480">
        <v>2014</v>
      </c>
      <c r="P5" s="481">
        <v>2015</v>
      </c>
      <c r="Q5" s="481">
        <v>2016</v>
      </c>
    </row>
    <row r="6" spans="1:17" ht="13.5" thickBot="1">
      <c r="A6" s="482" t="s">
        <v>347</v>
      </c>
      <c r="B6" s="483">
        <v>22.5</v>
      </c>
      <c r="C6" s="483">
        <v>37.9</v>
      </c>
      <c r="D6" s="483">
        <v>20.100000000000001</v>
      </c>
      <c r="E6" s="483">
        <v>31.7</v>
      </c>
      <c r="F6" s="483">
        <v>23.8</v>
      </c>
      <c r="G6" s="484">
        <v>33</v>
      </c>
      <c r="H6" s="485">
        <v>25.1</v>
      </c>
      <c r="I6" s="486">
        <v>35.5</v>
      </c>
      <c r="J6" s="486">
        <v>28.8</v>
      </c>
      <c r="K6" s="486">
        <v>36.799999999999997</v>
      </c>
      <c r="L6" s="486">
        <v>32.200000000000003</v>
      </c>
      <c r="M6" s="486">
        <v>38.299999999999997</v>
      </c>
      <c r="N6" s="487">
        <v>38.299999999999997</v>
      </c>
      <c r="O6" s="487">
        <v>32.6</v>
      </c>
      <c r="P6" s="487">
        <v>32</v>
      </c>
      <c r="Q6" s="487">
        <v>38.799999999999997</v>
      </c>
    </row>
    <row r="7" spans="1:17" ht="13.5" thickBot="1">
      <c r="A7" s="482" t="s">
        <v>348</v>
      </c>
      <c r="B7" s="483">
        <v>8.8000000000000007</v>
      </c>
      <c r="C7" s="483">
        <v>10.5</v>
      </c>
      <c r="D7" s="483">
        <v>8.6999999999999993</v>
      </c>
      <c r="E7" s="483">
        <v>7.5</v>
      </c>
      <c r="F7" s="483">
        <v>9.1</v>
      </c>
      <c r="G7" s="484">
        <v>9.5</v>
      </c>
      <c r="H7" s="485">
        <v>10.9</v>
      </c>
      <c r="I7" s="486">
        <v>10.5</v>
      </c>
      <c r="J7" s="486">
        <v>10.6</v>
      </c>
      <c r="K7" s="486">
        <v>11.2</v>
      </c>
      <c r="L7" s="486">
        <v>11.3</v>
      </c>
      <c r="M7" s="486">
        <v>12.5</v>
      </c>
      <c r="N7" s="487">
        <v>10.9</v>
      </c>
      <c r="O7" s="487">
        <v>13</v>
      </c>
      <c r="P7" s="487">
        <v>11.2</v>
      </c>
      <c r="Q7" s="487">
        <v>11.7</v>
      </c>
    </row>
    <row r="8" spans="1:17" ht="13.5" thickBot="1">
      <c r="A8" s="488" t="s">
        <v>115</v>
      </c>
      <c r="B8" s="489">
        <f t="shared" ref="B8:P8" si="0">SUM(B6:B7)</f>
        <v>31.3</v>
      </c>
      <c r="C8" s="489">
        <f t="shared" si="0"/>
        <v>48.4</v>
      </c>
      <c r="D8" s="489">
        <f t="shared" si="0"/>
        <v>28.8</v>
      </c>
      <c r="E8" s="489">
        <f t="shared" si="0"/>
        <v>39.200000000000003</v>
      </c>
      <c r="F8" s="489">
        <f t="shared" si="0"/>
        <v>32.9</v>
      </c>
      <c r="G8" s="489">
        <f t="shared" si="0"/>
        <v>42.5</v>
      </c>
      <c r="H8" s="489">
        <f t="shared" si="0"/>
        <v>36</v>
      </c>
      <c r="I8" s="490">
        <f t="shared" si="0"/>
        <v>46</v>
      </c>
      <c r="J8" s="490">
        <f t="shared" si="0"/>
        <v>39.4</v>
      </c>
      <c r="K8" s="490">
        <f t="shared" si="0"/>
        <v>48</v>
      </c>
      <c r="L8" s="490">
        <f t="shared" si="0"/>
        <v>43.5</v>
      </c>
      <c r="M8" s="490">
        <f t="shared" si="0"/>
        <v>50.8</v>
      </c>
      <c r="N8" s="490">
        <f t="shared" si="0"/>
        <v>49.199999999999996</v>
      </c>
      <c r="O8" s="490">
        <f t="shared" si="0"/>
        <v>45.6</v>
      </c>
      <c r="P8" s="815">
        <f t="shared" si="0"/>
        <v>43.2</v>
      </c>
      <c r="Q8" s="815">
        <f>SUM(Q6:Q7)</f>
        <v>50.5</v>
      </c>
    </row>
    <row r="9" spans="1:17">
      <c r="B9">
        <v>31300</v>
      </c>
      <c r="C9">
        <v>48480</v>
      </c>
      <c r="D9">
        <v>28820</v>
      </c>
      <c r="E9">
        <v>39272</v>
      </c>
      <c r="F9">
        <v>32944</v>
      </c>
      <c r="G9">
        <v>42512</v>
      </c>
      <c r="H9">
        <v>36069.599999999999</v>
      </c>
      <c r="I9">
        <v>45992.1</v>
      </c>
      <c r="J9">
        <v>39469.9</v>
      </c>
      <c r="K9">
        <v>48094.8</v>
      </c>
      <c r="L9">
        <v>43484.2</v>
      </c>
      <c r="M9">
        <v>50826.400000000001</v>
      </c>
      <c r="N9">
        <v>49151.6</v>
      </c>
      <c r="O9">
        <v>45639</v>
      </c>
      <c r="P9">
        <v>43235</v>
      </c>
      <c r="Q9">
        <v>50353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G26" sqref="G26"/>
    </sheetView>
  </sheetViews>
  <sheetFormatPr defaultRowHeight="12.75"/>
  <cols>
    <col min="1" max="1" width="2.7109375" customWidth="1"/>
    <col min="2" max="2" width="13.85546875" customWidth="1"/>
    <col min="3" max="3" width="101.7109375" customWidth="1"/>
    <col min="4" max="4" width="10.7109375" customWidth="1"/>
    <col min="5" max="5" width="2.7109375" customWidth="1"/>
  </cols>
  <sheetData>
    <row r="1" spans="1:5" ht="15" customHeight="1">
      <c r="A1" s="473"/>
      <c r="B1" s="473"/>
      <c r="C1" s="474"/>
      <c r="D1" s="473"/>
      <c r="E1" s="295"/>
    </row>
    <row r="2" spans="1:5" ht="18" customHeight="1">
      <c r="A2" s="475"/>
      <c r="B2" s="272"/>
      <c r="C2" s="273"/>
      <c r="D2" s="297"/>
      <c r="E2" s="295"/>
    </row>
    <row r="3" spans="1:5" ht="17.100000000000001" customHeight="1">
      <c r="A3" s="475"/>
      <c r="B3" s="464"/>
      <c r="C3" s="470" t="s">
        <v>329</v>
      </c>
      <c r="D3" s="132"/>
      <c r="E3" s="295"/>
    </row>
    <row r="4" spans="1:5" ht="18" customHeight="1">
      <c r="A4" s="475"/>
      <c r="B4" s="465"/>
      <c r="C4" s="127" t="s">
        <v>486</v>
      </c>
      <c r="D4" s="132"/>
      <c r="E4" s="295"/>
    </row>
    <row r="5" spans="1:5" ht="18" customHeight="1">
      <c r="A5" s="475"/>
      <c r="B5" s="174"/>
      <c r="C5" s="840" t="s">
        <v>487</v>
      </c>
      <c r="D5" s="132"/>
      <c r="E5" s="295"/>
    </row>
    <row r="6" spans="1:5" ht="18" customHeight="1">
      <c r="A6" s="475"/>
      <c r="B6" s="140"/>
      <c r="C6" s="471" t="s">
        <v>527</v>
      </c>
      <c r="D6" s="132"/>
      <c r="E6" s="295"/>
    </row>
    <row r="7" spans="1:5" ht="18" customHeight="1">
      <c r="A7" s="475"/>
      <c r="B7" s="466"/>
      <c r="C7" s="471" t="s">
        <v>468</v>
      </c>
      <c r="D7" s="132"/>
      <c r="E7" s="295"/>
    </row>
    <row r="8" spans="1:5" ht="18" customHeight="1">
      <c r="A8" s="475"/>
      <c r="B8" s="466"/>
      <c r="C8" s="471" t="s">
        <v>471</v>
      </c>
      <c r="D8" s="132"/>
      <c r="E8" s="295"/>
    </row>
    <row r="9" spans="1:5" ht="18" customHeight="1">
      <c r="A9" s="475"/>
      <c r="B9" s="466"/>
      <c r="C9" s="471" t="s">
        <v>469</v>
      </c>
      <c r="D9" s="132"/>
      <c r="E9" s="295"/>
    </row>
    <row r="10" spans="1:5" ht="18" customHeight="1">
      <c r="A10" s="475"/>
      <c r="B10" s="466"/>
      <c r="C10" s="471" t="s">
        <v>470</v>
      </c>
      <c r="D10" s="132"/>
      <c r="E10" s="295"/>
    </row>
    <row r="11" spans="1:5" ht="18" customHeight="1">
      <c r="A11" s="475"/>
      <c r="B11" s="466"/>
      <c r="C11" s="841" t="s">
        <v>472</v>
      </c>
      <c r="D11" s="132"/>
      <c r="E11" s="295"/>
    </row>
    <row r="12" spans="1:5" ht="18" customHeight="1">
      <c r="A12" s="475"/>
      <c r="B12" s="467"/>
      <c r="C12" s="841" t="s">
        <v>473</v>
      </c>
      <c r="D12" s="132"/>
      <c r="E12" s="295"/>
    </row>
    <row r="13" spans="1:5" ht="18" customHeight="1">
      <c r="A13" s="475"/>
      <c r="B13" s="467"/>
      <c r="C13" s="841" t="s">
        <v>488</v>
      </c>
      <c r="D13" s="132"/>
      <c r="E13" s="295"/>
    </row>
    <row r="14" spans="1:5" ht="18" customHeight="1">
      <c r="A14" s="475"/>
      <c r="B14" s="466"/>
      <c r="C14" s="841" t="s">
        <v>474</v>
      </c>
      <c r="D14" s="132"/>
      <c r="E14" s="295"/>
    </row>
    <row r="15" spans="1:5" ht="18" customHeight="1">
      <c r="A15" s="475"/>
      <c r="B15" s="466"/>
      <c r="C15" s="471" t="s">
        <v>475</v>
      </c>
      <c r="D15" s="132"/>
      <c r="E15" s="295"/>
    </row>
    <row r="16" spans="1:5" ht="18" customHeight="1">
      <c r="A16" s="475"/>
      <c r="B16" s="466"/>
      <c r="C16" s="471" t="s">
        <v>476</v>
      </c>
      <c r="D16" s="132"/>
      <c r="E16" s="295"/>
    </row>
    <row r="17" spans="1:5" ht="18" customHeight="1">
      <c r="A17" s="475"/>
      <c r="B17" s="466"/>
      <c r="C17" s="471" t="s">
        <v>477</v>
      </c>
      <c r="D17" s="132"/>
      <c r="E17" s="295"/>
    </row>
    <row r="18" spans="1:5" ht="18" customHeight="1">
      <c r="A18" s="475"/>
      <c r="B18" s="466"/>
      <c r="C18" s="471" t="s">
        <v>478</v>
      </c>
      <c r="D18" s="132"/>
      <c r="E18" s="295"/>
    </row>
    <row r="19" spans="1:5" ht="18" customHeight="1">
      <c r="A19" s="475"/>
      <c r="B19" s="466"/>
      <c r="C19" s="471" t="s">
        <v>479</v>
      </c>
      <c r="D19" s="132"/>
      <c r="E19" s="295"/>
    </row>
    <row r="20" spans="1:5" ht="18" customHeight="1">
      <c r="A20" s="475"/>
      <c r="B20" s="466"/>
      <c r="C20" s="471" t="s">
        <v>489</v>
      </c>
      <c r="D20" s="132"/>
      <c r="E20" s="295"/>
    </row>
    <row r="21" spans="1:5" ht="18" customHeight="1">
      <c r="A21" s="475"/>
      <c r="B21" s="466"/>
      <c r="C21" s="471" t="s">
        <v>480</v>
      </c>
      <c r="D21" s="132"/>
      <c r="E21" s="295"/>
    </row>
    <row r="22" spans="1:5" ht="18" customHeight="1">
      <c r="A22" s="475"/>
      <c r="B22" s="466"/>
      <c r="C22" s="471" t="s">
        <v>481</v>
      </c>
      <c r="D22" s="132"/>
      <c r="E22" s="295"/>
    </row>
    <row r="23" spans="1:5" ht="18" customHeight="1">
      <c r="A23" s="475"/>
      <c r="B23" s="466"/>
      <c r="C23" s="471" t="s">
        <v>482</v>
      </c>
      <c r="D23" s="132"/>
      <c r="E23" s="295"/>
    </row>
    <row r="24" spans="1:5" ht="18" customHeight="1">
      <c r="A24" s="475"/>
      <c r="B24" s="468"/>
      <c r="C24" s="471" t="s">
        <v>483</v>
      </c>
      <c r="D24" s="132"/>
      <c r="E24" s="295"/>
    </row>
    <row r="25" spans="1:5" ht="18" customHeight="1">
      <c r="A25" s="475"/>
      <c r="B25" s="469"/>
      <c r="C25" s="471" t="s">
        <v>484</v>
      </c>
      <c r="D25" s="132"/>
      <c r="E25" s="295"/>
    </row>
    <row r="26" spans="1:5" ht="22.5" customHeight="1">
      <c r="A26" s="475"/>
      <c r="B26" s="472"/>
      <c r="C26" s="842" t="s">
        <v>485</v>
      </c>
      <c r="D26" s="133"/>
      <c r="E26" s="295"/>
    </row>
    <row r="27" spans="1:5" ht="18" customHeight="1">
      <c r="A27" s="295"/>
      <c r="B27" s="295"/>
      <c r="C27" s="295"/>
      <c r="D27" s="295"/>
      <c r="E27" s="295"/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7"/>
  <sheetViews>
    <sheetView zoomScaleNormal="100" workbookViewId="0">
      <selection activeCell="W6" sqref="W6"/>
    </sheetView>
  </sheetViews>
  <sheetFormatPr defaultRowHeight="12.75"/>
  <cols>
    <col min="1" max="1" width="2.7109375" customWidth="1"/>
    <col min="2" max="2" width="2.28515625" customWidth="1"/>
    <col min="3" max="3" width="12.5703125" customWidth="1"/>
    <col min="4" max="4" width="8.85546875" bestFit="1" customWidth="1"/>
    <col min="5" max="5" width="6.7109375" customWidth="1"/>
    <col min="6" max="6" width="7.42578125" bestFit="1" customWidth="1"/>
    <col min="7" max="7" width="6.7109375" bestFit="1" customWidth="1"/>
    <col min="8" max="8" width="8.85546875" bestFit="1" customWidth="1"/>
    <col min="9" max="9" width="6.7109375" customWidth="1"/>
    <col min="10" max="10" width="1.7109375" customWidth="1"/>
    <col min="11" max="11" width="12.85546875" customWidth="1"/>
    <col min="12" max="12" width="7.7109375" bestFit="1" customWidth="1"/>
    <col min="13" max="13" width="7.28515625" customWidth="1"/>
    <col min="14" max="14" width="7.5703125" bestFit="1" customWidth="1"/>
    <col min="15" max="15" width="1.7109375" customWidth="1"/>
    <col min="16" max="16" width="12.85546875" customWidth="1"/>
    <col min="17" max="17" width="8.85546875" customWidth="1"/>
    <col min="18" max="18" width="6.7109375" bestFit="1" customWidth="1"/>
    <col min="19" max="19" width="7.7109375" customWidth="1"/>
    <col min="20" max="20" width="2.28515625" customWidth="1"/>
    <col min="21" max="21" width="2.7109375" customWidth="1"/>
    <col min="22" max="22" width="8.85546875" bestFit="1" customWidth="1"/>
  </cols>
  <sheetData>
    <row r="1" spans="1:22" ht="16.5" customHeight="1">
      <c r="A1" s="1226" t="s">
        <v>444</v>
      </c>
      <c r="B1" s="1226"/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1226"/>
      <c r="O1" s="1226"/>
      <c r="P1" s="1226"/>
      <c r="Q1" s="1226"/>
      <c r="R1" s="1226"/>
      <c r="S1" s="1226"/>
      <c r="T1" s="1226"/>
      <c r="U1" s="1226"/>
    </row>
    <row r="2" spans="1:22" ht="13.5" customHeight="1">
      <c r="A2" s="60"/>
      <c r="B2" s="272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4"/>
      <c r="U2" s="59"/>
    </row>
    <row r="3" spans="1:22" ht="17.100000000000001" customHeight="1">
      <c r="A3" s="62"/>
      <c r="B3" s="527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9"/>
      <c r="U3" s="59"/>
    </row>
    <row r="4" spans="1:22" ht="14.25" customHeight="1">
      <c r="A4" s="62"/>
      <c r="B4" s="1227" t="s">
        <v>440</v>
      </c>
      <c r="C4" s="1228"/>
      <c r="D4" s="1228"/>
      <c r="E4" s="1228"/>
      <c r="F4" s="1228"/>
      <c r="G4" s="1228"/>
      <c r="H4" s="1228"/>
      <c r="I4" s="1228"/>
      <c r="J4" s="1228"/>
      <c r="K4" s="1228"/>
      <c r="L4" s="1228"/>
      <c r="M4" s="1228"/>
      <c r="N4" s="1228"/>
      <c r="O4" s="1228"/>
      <c r="P4" s="1228"/>
      <c r="Q4" s="1228"/>
      <c r="R4" s="1228"/>
      <c r="S4" s="1228"/>
      <c r="T4" s="1229"/>
      <c r="U4" s="59"/>
    </row>
    <row r="5" spans="1:22" ht="16.5" customHeight="1">
      <c r="A5" s="62"/>
      <c r="B5" s="128"/>
      <c r="C5" s="1228"/>
      <c r="D5" s="1228"/>
      <c r="E5" s="1228"/>
      <c r="F5" s="1228"/>
      <c r="G5" s="1228"/>
      <c r="H5" s="1228"/>
      <c r="I5" s="1228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1"/>
      <c r="U5" s="60"/>
    </row>
    <row r="6" spans="1:22" ht="17.100000000000001" customHeight="1">
      <c r="A6" s="62"/>
      <c r="B6" s="99"/>
      <c r="C6" s="1231" t="s">
        <v>438</v>
      </c>
      <c r="D6" s="1231"/>
      <c r="E6" s="1231"/>
      <c r="F6" s="1231"/>
      <c r="G6" s="1231"/>
      <c r="H6" s="1231"/>
      <c r="I6" s="1231"/>
      <c r="J6" s="101"/>
      <c r="K6" s="1231" t="s">
        <v>439</v>
      </c>
      <c r="L6" s="1231"/>
      <c r="M6" s="1231"/>
      <c r="N6" s="1231"/>
      <c r="O6" s="1231"/>
      <c r="P6" s="1231"/>
      <c r="Q6" s="1231"/>
      <c r="R6" s="1231"/>
      <c r="S6" s="1231"/>
      <c r="T6" s="102"/>
      <c r="U6" s="60"/>
    </row>
    <row r="7" spans="1:22" ht="29.25" customHeight="1" thickBot="1">
      <c r="A7" s="62"/>
      <c r="B7" s="103"/>
      <c r="C7" s="1230" t="s">
        <v>492</v>
      </c>
      <c r="D7" s="1230"/>
      <c r="E7" s="1230"/>
      <c r="F7" s="1230"/>
      <c r="G7" s="1230"/>
      <c r="H7" s="1230"/>
      <c r="I7" s="1230"/>
      <c r="J7" s="101"/>
      <c r="K7" s="1230" t="s">
        <v>441</v>
      </c>
      <c r="L7" s="1230"/>
      <c r="M7" s="1230"/>
      <c r="N7" s="1230"/>
      <c r="O7" s="291"/>
      <c r="P7" s="1230" t="s">
        <v>548</v>
      </c>
      <c r="Q7" s="1230"/>
      <c r="R7" s="1230"/>
      <c r="S7" s="1230"/>
      <c r="T7" s="104"/>
      <c r="U7" s="60"/>
    </row>
    <row r="8" spans="1:22" ht="27.75" customHeight="1" thickBot="1">
      <c r="A8" s="62"/>
      <c r="B8" s="103"/>
      <c r="C8" s="379" t="s">
        <v>15</v>
      </c>
      <c r="D8" s="378" t="s">
        <v>16</v>
      </c>
      <c r="E8" s="380" t="s">
        <v>12</v>
      </c>
      <c r="F8" s="381" t="s">
        <v>331</v>
      </c>
      <c r="G8" s="379" t="s">
        <v>12</v>
      </c>
      <c r="H8" s="381" t="s">
        <v>17</v>
      </c>
      <c r="I8" s="382" t="s">
        <v>12</v>
      </c>
      <c r="J8" s="383"/>
      <c r="K8" s="379" t="s">
        <v>204</v>
      </c>
      <c r="L8" s="381" t="s">
        <v>333</v>
      </c>
      <c r="M8" s="381" t="s">
        <v>12</v>
      </c>
      <c r="N8" s="384" t="s">
        <v>332</v>
      </c>
      <c r="O8" s="383"/>
      <c r="P8" s="379" t="s">
        <v>204</v>
      </c>
      <c r="Q8" s="381" t="s">
        <v>333</v>
      </c>
      <c r="R8" s="381" t="s">
        <v>12</v>
      </c>
      <c r="S8" s="384" t="s">
        <v>332</v>
      </c>
      <c r="T8" s="532"/>
      <c r="U8" s="60"/>
    </row>
    <row r="9" spans="1:22" ht="18" customHeight="1">
      <c r="A9" s="62"/>
      <c r="B9" s="103"/>
      <c r="C9" s="283" t="s">
        <v>0</v>
      </c>
      <c r="D9" s="284">
        <v>43.234999999999999</v>
      </c>
      <c r="E9" s="225">
        <f>(D9/D25)*100</f>
        <v>30.156028764533971</v>
      </c>
      <c r="F9" s="284">
        <v>37.119</v>
      </c>
      <c r="G9" s="225">
        <f>(F9/F25)*100</f>
        <v>33.512395948068828</v>
      </c>
      <c r="H9" s="284">
        <v>21</v>
      </c>
      <c r="I9" s="230">
        <f>(H9/D9)*100</f>
        <v>48.571758991557765</v>
      </c>
      <c r="J9" s="106"/>
      <c r="K9" s="909" t="s">
        <v>1</v>
      </c>
      <c r="L9" s="910">
        <v>7897.9579999999996</v>
      </c>
      <c r="M9" s="284">
        <f>(L9/$L$25)*100</f>
        <v>21.277322903061258</v>
      </c>
      <c r="N9" s="910">
        <v>1272.104</v>
      </c>
      <c r="O9" s="292"/>
      <c r="P9" s="909" t="s">
        <v>1</v>
      </c>
      <c r="Q9" s="910">
        <v>1630.4159999999999</v>
      </c>
      <c r="R9" s="284">
        <f t="shared" ref="R9:R25" si="0">(Q9/$Q$25)*100</f>
        <v>18.376029795384962</v>
      </c>
      <c r="S9" s="910">
        <v>236.785</v>
      </c>
      <c r="T9" s="107"/>
      <c r="U9" s="60"/>
    </row>
    <row r="10" spans="1:22" ht="18" customHeight="1">
      <c r="A10" s="62"/>
      <c r="B10" s="103"/>
      <c r="C10" s="285" t="s">
        <v>170</v>
      </c>
      <c r="D10" s="284">
        <v>27.5</v>
      </c>
      <c r="E10" s="225">
        <f>(D10/D25)*100</f>
        <v>19.181005921699644</v>
      </c>
      <c r="F10" s="286">
        <v>20.204999999999998</v>
      </c>
      <c r="G10" s="225">
        <f>(F10/F25)*100</f>
        <v>18.241815785197087</v>
      </c>
      <c r="H10" s="286">
        <v>2.2999999999999998</v>
      </c>
      <c r="I10" s="230">
        <f t="shared" ref="I10:I25" si="1">(H10/D10)*100</f>
        <v>8.3636363636363633</v>
      </c>
      <c r="J10" s="106"/>
      <c r="K10" s="911" t="s">
        <v>193</v>
      </c>
      <c r="L10" s="910">
        <v>6551.268</v>
      </c>
      <c r="M10" s="284">
        <f t="shared" ref="M10:M25" si="2">(L10/$L$25)*100</f>
        <v>17.649301839854342</v>
      </c>
      <c r="N10" s="910">
        <v>1074.6969999999999</v>
      </c>
      <c r="O10" s="292"/>
      <c r="P10" s="911" t="s">
        <v>193</v>
      </c>
      <c r="Q10" s="910">
        <v>1578.7149999999999</v>
      </c>
      <c r="R10" s="284">
        <f t="shared" si="0"/>
        <v>17.793320157813202</v>
      </c>
      <c r="S10" s="910">
        <v>218.65199999999999</v>
      </c>
      <c r="T10" s="109"/>
      <c r="U10" s="60"/>
    </row>
    <row r="11" spans="1:22" ht="18" customHeight="1">
      <c r="A11" s="62"/>
      <c r="B11" s="103"/>
      <c r="C11" s="283" t="s">
        <v>171</v>
      </c>
      <c r="D11" s="284">
        <v>13.5</v>
      </c>
      <c r="E11" s="225">
        <f>(D11/D25)*100</f>
        <v>9.4161301797434618</v>
      </c>
      <c r="F11" s="286">
        <v>12.281000000000001</v>
      </c>
      <c r="G11" s="225">
        <f>(F11/F25)*100</f>
        <v>11.087737671764684</v>
      </c>
      <c r="H11" s="286">
        <v>1.6</v>
      </c>
      <c r="I11" s="230">
        <f t="shared" si="1"/>
        <v>11.851851851851853</v>
      </c>
      <c r="J11" s="106"/>
      <c r="K11" s="911" t="s">
        <v>194</v>
      </c>
      <c r="L11" s="910">
        <v>3070.5819999999999</v>
      </c>
      <c r="M11" s="284">
        <f t="shared" si="2"/>
        <v>8.2722350149655952</v>
      </c>
      <c r="N11" s="910">
        <v>565.34400000000005</v>
      </c>
      <c r="O11" s="292"/>
      <c r="P11" s="911" t="s">
        <v>194</v>
      </c>
      <c r="Q11" s="910">
        <v>867.80799999999999</v>
      </c>
      <c r="R11" s="284">
        <f t="shared" si="0"/>
        <v>9.7808569498051021</v>
      </c>
      <c r="S11" s="910">
        <v>139.56700000000001</v>
      </c>
      <c r="T11" s="109"/>
      <c r="U11" s="60"/>
    </row>
    <row r="12" spans="1:22" ht="18" customHeight="1">
      <c r="A12" s="62"/>
      <c r="B12" s="103"/>
      <c r="C12" s="283" t="s">
        <v>172</v>
      </c>
      <c r="D12" s="284">
        <v>11</v>
      </c>
      <c r="E12" s="225">
        <f>(D12/D25)*100</f>
        <v>7.6724023686798581</v>
      </c>
      <c r="F12" s="286">
        <v>6.6459999999999999</v>
      </c>
      <c r="G12" s="225">
        <f>(F12/F25)*100</f>
        <v>6.0002527942796267</v>
      </c>
      <c r="H12" s="286">
        <v>4.17</v>
      </c>
      <c r="I12" s="230">
        <f t="shared" si="1"/>
        <v>37.909090909090907</v>
      </c>
      <c r="J12" s="106"/>
      <c r="K12" s="911" t="s">
        <v>196</v>
      </c>
      <c r="L12" s="910">
        <v>2527.114</v>
      </c>
      <c r="M12" s="284">
        <f t="shared" si="2"/>
        <v>6.8081168057422881</v>
      </c>
      <c r="N12" s="910">
        <v>490.75400000000002</v>
      </c>
      <c r="O12" s="292"/>
      <c r="P12" s="911" t="s">
        <v>196</v>
      </c>
      <c r="Q12" s="910">
        <v>730.17399999999998</v>
      </c>
      <c r="R12" s="284">
        <f t="shared" si="0"/>
        <v>8.2296169688076048</v>
      </c>
      <c r="S12" s="910">
        <v>126.72199999999999</v>
      </c>
      <c r="T12" s="109"/>
      <c r="U12" s="60"/>
    </row>
    <row r="13" spans="1:22" ht="18" customHeight="1">
      <c r="A13" s="62"/>
      <c r="B13" s="103"/>
      <c r="C13" s="283" t="s">
        <v>173</v>
      </c>
      <c r="D13" s="284">
        <v>6.4</v>
      </c>
      <c r="E13" s="225">
        <f>(D13/D25)*100</f>
        <v>4.4639431963228269</v>
      </c>
      <c r="F13" s="286">
        <v>2.8719999999999999</v>
      </c>
      <c r="G13" s="225">
        <f>(F13/F25)*100</f>
        <v>2.5929470395984184</v>
      </c>
      <c r="H13" s="286">
        <v>3.7</v>
      </c>
      <c r="I13" s="230">
        <f t="shared" si="1"/>
        <v>57.8125</v>
      </c>
      <c r="J13" s="106"/>
      <c r="K13" s="911" t="s">
        <v>195</v>
      </c>
      <c r="L13" s="910">
        <v>2291.6469999999999</v>
      </c>
      <c r="M13" s="284">
        <f t="shared" si="2"/>
        <v>6.1737620279611036</v>
      </c>
      <c r="N13" s="910">
        <v>406.476</v>
      </c>
      <c r="O13" s="292"/>
      <c r="P13" s="911" t="s">
        <v>198</v>
      </c>
      <c r="Q13" s="910">
        <v>202.31399999999999</v>
      </c>
      <c r="R13" s="284">
        <f t="shared" si="0"/>
        <v>2.2802328313899722</v>
      </c>
      <c r="S13" s="910">
        <v>30.872</v>
      </c>
      <c r="T13" s="109"/>
      <c r="U13" s="60"/>
    </row>
    <row r="14" spans="1:22" ht="18" customHeight="1">
      <c r="A14" s="62"/>
      <c r="B14" s="103"/>
      <c r="C14" s="283" t="s">
        <v>174</v>
      </c>
      <c r="D14" s="284">
        <v>5.8</v>
      </c>
      <c r="E14" s="225">
        <f>(D14/D25)*100</f>
        <v>4.0454485216675611</v>
      </c>
      <c r="F14" s="284">
        <v>5.1150000000000002</v>
      </c>
      <c r="G14" s="225">
        <f>(F14/F25)*100</f>
        <v>4.618009786749969</v>
      </c>
      <c r="H14" s="286">
        <v>2.25</v>
      </c>
      <c r="I14" s="230">
        <f t="shared" si="1"/>
        <v>38.793103448275865</v>
      </c>
      <c r="J14" s="106"/>
      <c r="K14" s="911" t="s">
        <v>199</v>
      </c>
      <c r="L14" s="910">
        <v>1042.9000000000001</v>
      </c>
      <c r="M14" s="284">
        <f t="shared" si="2"/>
        <v>2.8096021852233943</v>
      </c>
      <c r="N14" s="910">
        <v>174.02</v>
      </c>
      <c r="O14" s="292"/>
      <c r="P14" s="911" t="s">
        <v>197</v>
      </c>
      <c r="Q14" s="910">
        <v>171.84200000000001</v>
      </c>
      <c r="R14" s="284">
        <f t="shared" si="0"/>
        <v>1.9367901885767456</v>
      </c>
      <c r="S14" s="910">
        <v>25.908000000000001</v>
      </c>
      <c r="T14" s="109"/>
      <c r="U14" s="60"/>
    </row>
    <row r="15" spans="1:22" ht="18" customHeight="1">
      <c r="A15" s="62"/>
      <c r="B15" s="103"/>
      <c r="C15" s="283" t="s">
        <v>176</v>
      </c>
      <c r="D15" s="284">
        <v>5.8</v>
      </c>
      <c r="E15" s="225">
        <f>(D15/D25)*100</f>
        <v>4.0454485216675611</v>
      </c>
      <c r="F15" s="286">
        <v>5.0199999999999996</v>
      </c>
      <c r="G15" s="225">
        <f>(F15/F25)*100</f>
        <v>4.5322402990195183</v>
      </c>
      <c r="H15" s="286">
        <v>0.25</v>
      </c>
      <c r="I15" s="230">
        <f t="shared" si="1"/>
        <v>4.3103448275862073</v>
      </c>
      <c r="J15" s="106"/>
      <c r="K15" s="911" t="s">
        <v>201</v>
      </c>
      <c r="L15" s="910">
        <v>815.55399999999997</v>
      </c>
      <c r="M15" s="284">
        <f t="shared" si="2"/>
        <v>2.1971256118205771</v>
      </c>
      <c r="N15" s="910">
        <v>117.19499999999999</v>
      </c>
      <c r="O15" s="292"/>
      <c r="P15" s="911" t="s">
        <v>199</v>
      </c>
      <c r="Q15" s="910">
        <v>133.04400000000001</v>
      </c>
      <c r="R15" s="284">
        <f t="shared" si="0"/>
        <v>1.4995071859557296</v>
      </c>
      <c r="S15" s="910">
        <v>23.47</v>
      </c>
      <c r="T15" s="109"/>
      <c r="U15" s="60"/>
      <c r="V15" s="51"/>
    </row>
    <row r="16" spans="1:22" ht="18" customHeight="1">
      <c r="A16" s="62"/>
      <c r="B16" s="103"/>
      <c r="C16" s="283" t="s">
        <v>178</v>
      </c>
      <c r="D16" s="284">
        <v>4.8</v>
      </c>
      <c r="E16" s="225">
        <f>(D16/D25)*100</f>
        <v>3.3479573972421197</v>
      </c>
      <c r="F16" s="284">
        <v>3.4550000000000001</v>
      </c>
      <c r="G16" s="225">
        <f>(F16/F25)*100</f>
        <v>3.1193008432494898</v>
      </c>
      <c r="H16" s="284">
        <v>0.34499999999999997</v>
      </c>
      <c r="I16" s="230">
        <f t="shared" si="1"/>
        <v>7.1874999999999991</v>
      </c>
      <c r="J16" s="106"/>
      <c r="K16" s="911" t="s">
        <v>197</v>
      </c>
      <c r="L16" s="910">
        <v>760.43700000000001</v>
      </c>
      <c r="M16" s="284">
        <f t="shared" si="2"/>
        <v>2.0486388502490382</v>
      </c>
      <c r="N16" s="910">
        <v>127.767</v>
      </c>
      <c r="O16" s="292"/>
      <c r="P16" s="911" t="s">
        <v>200</v>
      </c>
      <c r="Q16" s="910">
        <v>177.952</v>
      </c>
      <c r="R16" s="284">
        <f t="shared" si="0"/>
        <v>2.005654541017964</v>
      </c>
      <c r="S16" s="910">
        <v>24.065000000000001</v>
      </c>
      <c r="T16" s="109"/>
      <c r="U16" s="60"/>
      <c r="V16" s="51"/>
    </row>
    <row r="17" spans="1:22" ht="18" customHeight="1">
      <c r="A17" s="62"/>
      <c r="B17" s="110"/>
      <c r="C17" s="283" t="s">
        <v>177</v>
      </c>
      <c r="D17" s="284">
        <v>3.9</v>
      </c>
      <c r="E17" s="225">
        <f>(D17/D25)*100</f>
        <v>2.7202153852592224</v>
      </c>
      <c r="F17" s="286">
        <v>2.4670000000000001</v>
      </c>
      <c r="G17" s="225">
        <f>(F17/F25)*100</f>
        <v>2.2272981708528197</v>
      </c>
      <c r="H17" s="286">
        <v>2.3540000000000001</v>
      </c>
      <c r="I17" s="230">
        <f t="shared" si="1"/>
        <v>60.358974358974358</v>
      </c>
      <c r="J17" s="106"/>
      <c r="K17" s="911" t="s">
        <v>198</v>
      </c>
      <c r="L17" s="910">
        <v>754.10400000000004</v>
      </c>
      <c r="M17" s="284">
        <f t="shared" si="2"/>
        <v>2.0315775685930602</v>
      </c>
      <c r="N17" s="910">
        <v>156.465</v>
      </c>
      <c r="O17" s="292"/>
      <c r="P17" s="911" t="s">
        <v>294</v>
      </c>
      <c r="Q17" s="910">
        <v>174.679</v>
      </c>
      <c r="R17" s="284">
        <f t="shared" si="0"/>
        <v>1.9687653388019069</v>
      </c>
      <c r="S17" s="910">
        <v>23.463000000000001</v>
      </c>
      <c r="T17" s="111"/>
      <c r="U17" s="60"/>
      <c r="V17" s="51"/>
    </row>
    <row r="18" spans="1:22" ht="18" customHeight="1">
      <c r="A18" s="62"/>
      <c r="B18" s="110"/>
      <c r="C18" s="283" t="s">
        <v>179</v>
      </c>
      <c r="D18" s="284">
        <v>3.4</v>
      </c>
      <c r="E18" s="225">
        <f>(D18/D25)*100</f>
        <v>2.3714698230465014</v>
      </c>
      <c r="F18" s="286">
        <v>2.9430000000000001</v>
      </c>
      <c r="G18" s="225">
        <f>(F18/F25)*100</f>
        <v>2.6570484462180173</v>
      </c>
      <c r="H18" s="286">
        <v>0.34</v>
      </c>
      <c r="I18" s="230">
        <f t="shared" si="1"/>
        <v>10</v>
      </c>
      <c r="J18" s="106"/>
      <c r="K18" s="911" t="s">
        <v>177</v>
      </c>
      <c r="L18" s="910">
        <v>749.66300000000001</v>
      </c>
      <c r="M18" s="284">
        <f t="shared" si="2"/>
        <v>2.0196133886097662</v>
      </c>
      <c r="N18" s="910">
        <v>92.382999999999996</v>
      </c>
      <c r="O18" s="292"/>
      <c r="P18" s="911" t="s">
        <v>304</v>
      </c>
      <c r="Q18" s="910">
        <v>132.38399999999999</v>
      </c>
      <c r="R18" s="284">
        <f t="shared" si="0"/>
        <v>1.4920684834007043</v>
      </c>
      <c r="S18" s="910">
        <v>23.678999999999998</v>
      </c>
      <c r="T18" s="111"/>
      <c r="U18" s="59"/>
      <c r="V18" s="51"/>
    </row>
    <row r="19" spans="1:22" ht="18" customHeight="1">
      <c r="A19" s="62"/>
      <c r="B19" s="110"/>
      <c r="C19" s="283" t="s">
        <v>175</v>
      </c>
      <c r="D19" s="284">
        <v>3.2</v>
      </c>
      <c r="E19" s="225">
        <f>(D19/D25)*100</f>
        <v>2.2319715981614134</v>
      </c>
      <c r="F19" s="286">
        <v>2.4430000000000001</v>
      </c>
      <c r="G19" s="225">
        <f>(F19/F25)*100</f>
        <v>2.2056300897419692</v>
      </c>
      <c r="H19" s="286">
        <v>0.3</v>
      </c>
      <c r="I19" s="230">
        <f t="shared" si="1"/>
        <v>9.3749999999999982</v>
      </c>
      <c r="J19" s="106"/>
      <c r="K19" s="911" t="s">
        <v>294</v>
      </c>
      <c r="L19" s="910">
        <v>731.85900000000004</v>
      </c>
      <c r="M19" s="284">
        <f t="shared" si="2"/>
        <v>1.9716489075418624</v>
      </c>
      <c r="N19" s="910">
        <v>118.461</v>
      </c>
      <c r="O19" s="292"/>
      <c r="P19" s="911" t="s">
        <v>202</v>
      </c>
      <c r="Q19" s="910">
        <v>119.812</v>
      </c>
      <c r="R19" s="284">
        <f t="shared" si="0"/>
        <v>1.3503724704889202</v>
      </c>
      <c r="S19" s="910">
        <v>18.253</v>
      </c>
      <c r="T19" s="102"/>
      <c r="U19" s="59"/>
      <c r="V19" s="51"/>
    </row>
    <row r="20" spans="1:22" ht="18" customHeight="1">
      <c r="A20" s="62"/>
      <c r="B20" s="110"/>
      <c r="C20" s="283" t="s">
        <v>491</v>
      </c>
      <c r="D20" s="284">
        <v>1.8</v>
      </c>
      <c r="E20" s="225">
        <f>(D20/D25)*100</f>
        <v>1.2554840239657949</v>
      </c>
      <c r="F20" s="286">
        <v>1.4379999999999999</v>
      </c>
      <c r="G20" s="225">
        <f>(F20/F25)*100</f>
        <v>1.2982791932251132</v>
      </c>
      <c r="H20" s="286">
        <v>0.3</v>
      </c>
      <c r="I20" s="230">
        <f t="shared" si="1"/>
        <v>16.666666666666664</v>
      </c>
      <c r="J20" s="106"/>
      <c r="K20" s="911" t="s">
        <v>435</v>
      </c>
      <c r="L20" s="910">
        <v>618.12699999999995</v>
      </c>
      <c r="M20" s="284">
        <f t="shared" si="2"/>
        <v>1.6652516731667282</v>
      </c>
      <c r="N20" s="910">
        <v>80.628</v>
      </c>
      <c r="O20" s="292"/>
      <c r="P20" s="911" t="s">
        <v>177</v>
      </c>
      <c r="Q20" s="910">
        <v>118.363</v>
      </c>
      <c r="R20" s="284">
        <f t="shared" si="0"/>
        <v>1.3340411371522054</v>
      </c>
      <c r="S20" s="910">
        <v>15.263999999999999</v>
      </c>
      <c r="T20" s="102"/>
      <c r="U20" s="59"/>
      <c r="V20" s="51"/>
    </row>
    <row r="21" spans="1:22" ht="18" customHeight="1">
      <c r="A21" s="62"/>
      <c r="B21" s="110"/>
      <c r="C21" s="283" t="s">
        <v>182</v>
      </c>
      <c r="D21" s="284">
        <v>1.4924999999999999</v>
      </c>
      <c r="E21" s="225">
        <f>(D21/D25)*100</f>
        <v>1.0410055032049716</v>
      </c>
      <c r="F21" s="286">
        <v>1.133</v>
      </c>
      <c r="G21" s="225">
        <f>(F21/F25)*100</f>
        <v>1.0229139957747242</v>
      </c>
      <c r="H21" s="286">
        <v>0.2</v>
      </c>
      <c r="I21" s="230">
        <f t="shared" si="1"/>
        <v>13.400335008375212</v>
      </c>
      <c r="J21" s="106"/>
      <c r="K21" s="911" t="s">
        <v>200</v>
      </c>
      <c r="L21" s="910">
        <v>607.80700000000002</v>
      </c>
      <c r="M21" s="284">
        <f t="shared" si="2"/>
        <v>1.6374493004066311</v>
      </c>
      <c r="N21" s="910">
        <v>98.738</v>
      </c>
      <c r="O21" s="292"/>
      <c r="P21" s="911" t="s">
        <v>563</v>
      </c>
      <c r="Q21" s="910">
        <v>57.584000000000003</v>
      </c>
      <c r="R21" s="284">
        <f t="shared" si="0"/>
        <v>0.6490155271645075</v>
      </c>
      <c r="S21" s="910">
        <v>6.7229999999999999</v>
      </c>
      <c r="T21" s="102"/>
      <c r="U21" s="59"/>
      <c r="V21" s="51"/>
    </row>
    <row r="22" spans="1:22" ht="18" customHeight="1">
      <c r="A22" s="62"/>
      <c r="B22" s="110"/>
      <c r="C22" s="283" t="s">
        <v>494</v>
      </c>
      <c r="D22" s="284">
        <v>0.83299999999999996</v>
      </c>
      <c r="E22" s="225">
        <f>(D22/D25)*100</f>
        <v>0.58101010664639285</v>
      </c>
      <c r="F22" s="284">
        <v>0.69699999999999995</v>
      </c>
      <c r="G22" s="225">
        <f>(F22/F25)*100</f>
        <v>0.62927718892761053</v>
      </c>
      <c r="H22" s="286">
        <v>0.05</v>
      </c>
      <c r="I22" s="230">
        <f t="shared" si="1"/>
        <v>6.0024009603841542</v>
      </c>
      <c r="J22" s="106"/>
      <c r="K22" s="911" t="s">
        <v>304</v>
      </c>
      <c r="L22" s="910">
        <v>540.077</v>
      </c>
      <c r="M22" s="284">
        <f t="shared" si="2"/>
        <v>1.4549827590266515</v>
      </c>
      <c r="N22" s="910">
        <v>100.363</v>
      </c>
      <c r="O22" s="292"/>
      <c r="P22" s="911" t="s">
        <v>172</v>
      </c>
      <c r="Q22" s="910">
        <v>39.624000000000002</v>
      </c>
      <c r="R22" s="284">
        <f t="shared" si="0"/>
        <v>0.44659265157624428</v>
      </c>
      <c r="S22" s="910">
        <v>5.1429999999999998</v>
      </c>
      <c r="T22" s="102"/>
      <c r="U22" s="59"/>
      <c r="V22" s="51"/>
    </row>
    <row r="23" spans="1:22" ht="18" customHeight="1">
      <c r="A23" s="62"/>
      <c r="B23" s="110"/>
      <c r="C23" s="283" t="s">
        <v>493</v>
      </c>
      <c r="D23" s="284">
        <v>0.7</v>
      </c>
      <c r="E23" s="225">
        <f>(D23/D25)*100</f>
        <v>0.48824378709780908</v>
      </c>
      <c r="F23" s="286">
        <v>1.089</v>
      </c>
      <c r="G23" s="225">
        <f>(F23/F25)*100</f>
        <v>0.98318918040483194</v>
      </c>
      <c r="H23" s="286">
        <v>0.155</v>
      </c>
      <c r="I23" s="230">
        <f t="shared" si="1"/>
        <v>22.142857142857146</v>
      </c>
      <c r="J23" s="106"/>
      <c r="K23" s="911" t="s">
        <v>436</v>
      </c>
      <c r="L23" s="910">
        <v>438.03699999999998</v>
      </c>
      <c r="M23" s="284">
        <f t="shared" si="2"/>
        <v>1.1800841043328216</v>
      </c>
      <c r="N23" s="910">
        <v>72.903999999999996</v>
      </c>
      <c r="O23" s="292"/>
      <c r="P23" s="911" t="s">
        <v>201</v>
      </c>
      <c r="Q23" s="910">
        <v>6.5140000000000002</v>
      </c>
      <c r="R23" s="284">
        <f t="shared" si="0"/>
        <v>7.3417740065809978E-2</v>
      </c>
      <c r="S23" s="910">
        <v>2.0710000000000002</v>
      </c>
      <c r="T23" s="102"/>
      <c r="U23" s="59"/>
      <c r="V23" s="51"/>
    </row>
    <row r="24" spans="1:22" ht="20.100000000000001" customHeight="1" thickBot="1">
      <c r="A24" s="62"/>
      <c r="B24" s="110"/>
      <c r="C24" s="287" t="s">
        <v>191</v>
      </c>
      <c r="D24" s="288">
        <f>D25-SUM(D9:D23)</f>
        <v>10.010500000000008</v>
      </c>
      <c r="E24" s="226">
        <f>(D24/D25)*100</f>
        <v>6.9822349010608891</v>
      </c>
      <c r="F24" s="288">
        <f>F25-SUM(F9:F23)</f>
        <v>5.8390000000000128</v>
      </c>
      <c r="G24" s="226">
        <f>(F24/F25)*100</f>
        <v>5.2716635669272964</v>
      </c>
      <c r="H24" s="288">
        <f>H25-SUM(H9:H23)</f>
        <v>8.7199999999999989</v>
      </c>
      <c r="I24" s="846">
        <f t="shared" si="1"/>
        <v>87.108536037160903</v>
      </c>
      <c r="J24" s="106"/>
      <c r="K24" s="912" t="s">
        <v>14</v>
      </c>
      <c r="L24" s="913">
        <v>7722</v>
      </c>
      <c r="M24" s="288">
        <f t="shared" si="2"/>
        <v>20.803287059444862</v>
      </c>
      <c r="N24" s="910">
        <v>1210.355</v>
      </c>
      <c r="O24" s="292"/>
      <c r="P24" s="912" t="s">
        <v>14</v>
      </c>
      <c r="Q24" s="913">
        <v>2731.29</v>
      </c>
      <c r="R24" s="288">
        <f t="shared" si="0"/>
        <v>30.783718032598422</v>
      </c>
      <c r="S24" s="910">
        <v>385.28199999999998</v>
      </c>
      <c r="T24" s="102"/>
      <c r="U24" s="59"/>
      <c r="V24" s="51"/>
    </row>
    <row r="25" spans="1:22" ht="18" customHeight="1" thickBot="1">
      <c r="A25" s="62"/>
      <c r="B25" s="110"/>
      <c r="C25" s="351" t="s">
        <v>115</v>
      </c>
      <c r="D25" s="352">
        <v>143.37100000000001</v>
      </c>
      <c r="E25" s="353">
        <f>SUM(E9:E24)</f>
        <v>100.00000000000001</v>
      </c>
      <c r="F25" s="352">
        <v>110.762</v>
      </c>
      <c r="G25" s="353">
        <f>SUM(G9:G24)</f>
        <v>100.00000000000003</v>
      </c>
      <c r="H25" s="354">
        <v>48.033999999999999</v>
      </c>
      <c r="I25" s="847">
        <f t="shared" si="1"/>
        <v>33.503288670651663</v>
      </c>
      <c r="J25" s="112"/>
      <c r="K25" s="348" t="s">
        <v>115</v>
      </c>
      <c r="L25" s="584">
        <f>SUM(L9:L24)</f>
        <v>37119.134000000005</v>
      </c>
      <c r="M25" s="914">
        <f t="shared" si="2"/>
        <v>100</v>
      </c>
      <c r="N25" s="350">
        <f>SUM(N9:N24)</f>
        <v>6158.6540000000005</v>
      </c>
      <c r="O25" s="533"/>
      <c r="P25" s="348" t="s">
        <v>115</v>
      </c>
      <c r="Q25" s="584">
        <f>SUM(Q9:Q24)</f>
        <v>8872.5149999999994</v>
      </c>
      <c r="R25" s="349">
        <f t="shared" si="0"/>
        <v>100</v>
      </c>
      <c r="S25" s="350">
        <f>SUM(S9:S24)</f>
        <v>1305.9190000000001</v>
      </c>
      <c r="T25" s="102"/>
      <c r="U25" s="59"/>
      <c r="V25" s="51"/>
    </row>
    <row r="26" spans="1:22" ht="16.5" customHeight="1">
      <c r="A26" s="59"/>
      <c r="B26" s="113"/>
      <c r="C26" s="534" t="s">
        <v>192</v>
      </c>
      <c r="D26" s="115"/>
      <c r="E26" s="115"/>
      <c r="F26" s="115"/>
      <c r="G26" s="115"/>
      <c r="H26" s="115"/>
      <c r="I26" s="115"/>
      <c r="J26" s="115"/>
      <c r="K26" s="535" t="s">
        <v>222</v>
      </c>
      <c r="L26" s="535"/>
      <c r="M26" s="535"/>
      <c r="N26" s="535"/>
      <c r="O26" s="536"/>
      <c r="P26" s="535" t="s">
        <v>222</v>
      </c>
      <c r="Q26" s="536"/>
      <c r="R26" s="536"/>
      <c r="S26" s="293">
        <f ca="1">NOW()</f>
        <v>42471.706796064813</v>
      </c>
      <c r="T26" s="133"/>
      <c r="U26" s="59"/>
      <c r="V26" s="51"/>
    </row>
    <row r="27" spans="1:22" ht="1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1"/>
    </row>
  </sheetData>
  <mergeCells count="8">
    <mergeCell ref="A1:U1"/>
    <mergeCell ref="B4:T4"/>
    <mergeCell ref="K7:N7"/>
    <mergeCell ref="C6:I6"/>
    <mergeCell ref="C7:I7"/>
    <mergeCell ref="P7:S7"/>
    <mergeCell ref="C5:I5"/>
    <mergeCell ref="K6:S6"/>
  </mergeCells>
  <phoneticPr fontId="1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9"/>
  <sheetViews>
    <sheetView zoomScaleNormal="100" workbookViewId="0">
      <selection activeCell="T23" sqref="T23"/>
    </sheetView>
  </sheetViews>
  <sheetFormatPr defaultRowHeight="12.75"/>
  <cols>
    <col min="1" max="2" width="2.7109375" customWidth="1"/>
    <col min="3" max="3" width="10.5703125" customWidth="1"/>
    <col min="4" max="5" width="11.5703125" bestFit="1" customWidth="1"/>
    <col min="6" max="6" width="7" customWidth="1"/>
    <col min="7" max="8" width="8.7109375" bestFit="1" customWidth="1"/>
    <col min="9" max="9" width="7.5703125" bestFit="1" customWidth="1"/>
    <col min="10" max="10" width="2.7109375" customWidth="1"/>
    <col min="11" max="11" width="11.42578125" bestFit="1" customWidth="1"/>
    <col min="12" max="12" width="10.140625" bestFit="1" customWidth="1"/>
    <col min="13" max="13" width="11.5703125" bestFit="1" customWidth="1"/>
    <col min="14" max="14" width="14.28515625" customWidth="1"/>
    <col min="15" max="15" width="8.140625" customWidth="1"/>
    <col min="16" max="17" width="2.7109375" customWidth="1"/>
  </cols>
  <sheetData>
    <row r="1" spans="1:18" ht="12" customHeight="1">
      <c r="A1" s="1232" t="s">
        <v>445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  <c r="P1" s="1232"/>
      <c r="Q1" s="1232"/>
    </row>
    <row r="2" spans="1:18" ht="15.95" customHeight="1">
      <c r="A2" s="60"/>
      <c r="B2" s="837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9"/>
      <c r="Q2" s="60"/>
    </row>
    <row r="3" spans="1:18" ht="15.95" customHeight="1">
      <c r="A3" s="60"/>
      <c r="B3" s="395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96"/>
      <c r="Q3" s="60"/>
    </row>
    <row r="4" spans="1:18" ht="15.95" customHeight="1">
      <c r="A4" s="60"/>
      <c r="B4" s="1227" t="s">
        <v>434</v>
      </c>
      <c r="C4" s="1228"/>
      <c r="D4" s="1228"/>
      <c r="E4" s="1228"/>
      <c r="F4" s="1228"/>
      <c r="G4" s="1228"/>
      <c r="H4" s="1228"/>
      <c r="I4" s="1228"/>
      <c r="J4" s="1228"/>
      <c r="K4" s="1228"/>
      <c r="L4" s="1228"/>
      <c r="M4" s="1228"/>
      <c r="N4" s="1228"/>
      <c r="O4" s="1228"/>
      <c r="P4" s="1229"/>
      <c r="Q4" s="60"/>
    </row>
    <row r="5" spans="1:18" ht="15.95" customHeight="1">
      <c r="A5" s="60"/>
      <c r="B5" s="374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6"/>
      <c r="Q5" s="60"/>
    </row>
    <row r="6" spans="1:18" ht="15.95" customHeight="1" thickBot="1">
      <c r="A6" s="60"/>
      <c r="B6" s="374"/>
      <c r="C6" s="849" t="s">
        <v>538</v>
      </c>
      <c r="D6" s="845"/>
      <c r="E6" s="845"/>
      <c r="F6" s="845"/>
      <c r="G6" s="845"/>
      <c r="H6" s="845"/>
      <c r="I6" s="845"/>
      <c r="J6" s="375"/>
      <c r="K6" s="139" t="s">
        <v>535</v>
      </c>
      <c r="L6" s="845"/>
      <c r="M6" s="845"/>
      <c r="N6" s="845"/>
      <c r="O6" s="845"/>
      <c r="P6" s="376"/>
      <c r="Q6" s="60"/>
    </row>
    <row r="7" spans="1:18" ht="18" customHeight="1">
      <c r="A7" s="60"/>
      <c r="B7" s="299"/>
      <c r="C7" s="397" t="s">
        <v>211</v>
      </c>
      <c r="D7" s="1235" t="s">
        <v>271</v>
      </c>
      <c r="E7" s="1236"/>
      <c r="F7" s="1237"/>
      <c r="G7" s="1235" t="s">
        <v>272</v>
      </c>
      <c r="H7" s="1236"/>
      <c r="I7" s="1236"/>
      <c r="J7" s="135"/>
      <c r="K7" s="397" t="s">
        <v>273</v>
      </c>
      <c r="L7" s="398" t="s">
        <v>266</v>
      </c>
      <c r="M7" s="398" t="s">
        <v>267</v>
      </c>
      <c r="N7" s="398" t="s">
        <v>268</v>
      </c>
      <c r="O7" s="1238" t="s">
        <v>12</v>
      </c>
      <c r="P7" s="108"/>
      <c r="Q7" s="60"/>
    </row>
    <row r="8" spans="1:18" ht="17.100000000000001" customHeight="1" thickBot="1">
      <c r="A8" s="60"/>
      <c r="B8" s="299"/>
      <c r="C8" s="399" t="s">
        <v>210</v>
      </c>
      <c r="D8" s="400">
        <v>2015</v>
      </c>
      <c r="E8" s="401">
        <v>2016</v>
      </c>
      <c r="F8" s="402" t="s">
        <v>12</v>
      </c>
      <c r="G8" s="403">
        <v>2015</v>
      </c>
      <c r="H8" s="401">
        <v>2016</v>
      </c>
      <c r="I8" s="404" t="s">
        <v>12</v>
      </c>
      <c r="J8" s="135"/>
      <c r="K8" s="399" t="s">
        <v>210</v>
      </c>
      <c r="L8" s="402" t="s">
        <v>269</v>
      </c>
      <c r="M8" s="402" t="s">
        <v>270</v>
      </c>
      <c r="N8" s="402" t="s">
        <v>274</v>
      </c>
      <c r="O8" s="1239"/>
      <c r="P8" s="108"/>
      <c r="Q8" s="60"/>
    </row>
    <row r="9" spans="1:18" ht="17.100000000000001" customHeight="1">
      <c r="A9" s="60"/>
      <c r="B9" s="299"/>
      <c r="C9" s="214" t="s">
        <v>3</v>
      </c>
      <c r="D9" s="215">
        <v>87657</v>
      </c>
      <c r="E9" s="216">
        <v>87657</v>
      </c>
      <c r="F9" s="223">
        <f>(E9/D9-1)*100</f>
        <v>0</v>
      </c>
      <c r="G9" s="341">
        <v>1724</v>
      </c>
      <c r="H9" s="338">
        <v>1678</v>
      </c>
      <c r="I9" s="345">
        <f>(H9/G9-1)*100</f>
        <v>-2.6682134570765625</v>
      </c>
      <c r="J9" s="101"/>
      <c r="K9" s="214" t="s">
        <v>3</v>
      </c>
      <c r="L9" s="215">
        <v>804</v>
      </c>
      <c r="M9" s="215">
        <v>8911.5519999999997</v>
      </c>
      <c r="N9" s="215">
        <v>3713</v>
      </c>
      <c r="O9" s="217">
        <f>(N9/E9)*100</f>
        <v>4.235828285248183</v>
      </c>
      <c r="P9" s="108"/>
      <c r="Q9" s="60"/>
    </row>
    <row r="10" spans="1:18" ht="15.75">
      <c r="A10" s="60"/>
      <c r="B10" s="299"/>
      <c r="C10" s="214" t="s">
        <v>4</v>
      </c>
      <c r="D10" s="215">
        <v>1243</v>
      </c>
      <c r="E10" s="215">
        <v>1243</v>
      </c>
      <c r="F10" s="223">
        <f t="shared" ref="F10:F27" si="0">(E10/D10-1)*100</f>
        <v>0</v>
      </c>
      <c r="G10" s="342">
        <v>16.600000000000001</v>
      </c>
      <c r="H10" s="338">
        <v>16.600000000000001</v>
      </c>
      <c r="I10" s="346">
        <f t="shared" ref="I10:I27" si="1">(H10/G10-1)*100</f>
        <v>0</v>
      </c>
      <c r="J10" s="101"/>
      <c r="K10" s="214" t="s">
        <v>536</v>
      </c>
      <c r="L10" s="215">
        <v>10</v>
      </c>
      <c r="M10" s="215">
        <v>205</v>
      </c>
      <c r="N10" s="215">
        <v>42</v>
      </c>
      <c r="O10" s="217">
        <f t="shared" ref="O10:O11" si="2">(N10/E10)*100</f>
        <v>3.3789219629927594</v>
      </c>
      <c r="P10" s="108"/>
      <c r="Q10" s="60"/>
    </row>
    <row r="11" spans="1:18" ht="21" customHeight="1">
      <c r="A11" s="60"/>
      <c r="B11" s="299"/>
      <c r="C11" s="214" t="s">
        <v>5</v>
      </c>
      <c r="D11" s="215">
        <v>138678</v>
      </c>
      <c r="E11" s="215">
        <v>147760</v>
      </c>
      <c r="F11" s="223">
        <f t="shared" si="0"/>
        <v>6.5489839772710834</v>
      </c>
      <c r="G11" s="342">
        <v>2346</v>
      </c>
      <c r="H11" s="338">
        <v>3137</v>
      </c>
      <c r="I11" s="346">
        <f t="shared" si="1"/>
        <v>33.716965046888326</v>
      </c>
      <c r="J11" s="101"/>
      <c r="K11" s="214" t="s">
        <v>5</v>
      </c>
      <c r="L11" s="215">
        <v>1092</v>
      </c>
      <c r="M11" s="215">
        <v>180046.508</v>
      </c>
      <c r="N11" s="215">
        <v>41958</v>
      </c>
      <c r="O11" s="217">
        <f t="shared" si="2"/>
        <v>28.396047644829451</v>
      </c>
      <c r="P11" s="108"/>
      <c r="Q11" s="60"/>
    </row>
    <row r="12" spans="1:18" ht="17.100000000000001" customHeight="1">
      <c r="A12" s="60"/>
      <c r="B12" s="299"/>
      <c r="C12" s="213" t="s">
        <v>212</v>
      </c>
      <c r="D12" s="231">
        <v>9129</v>
      </c>
      <c r="E12" s="231">
        <v>10787</v>
      </c>
      <c r="F12" s="225">
        <f t="shared" si="0"/>
        <v>18.161901632161246</v>
      </c>
      <c r="G12" s="289">
        <v>338</v>
      </c>
      <c r="H12" s="290">
        <v>400</v>
      </c>
      <c r="I12" s="228">
        <f t="shared" si="1"/>
        <v>18.343195266272193</v>
      </c>
      <c r="J12" s="101"/>
      <c r="K12" s="214" t="s">
        <v>9</v>
      </c>
      <c r="L12" s="215">
        <v>20</v>
      </c>
      <c r="M12" s="215">
        <v>565.178</v>
      </c>
      <c r="N12" s="215">
        <v>199</v>
      </c>
      <c r="O12" s="217">
        <f>(N12/E15)*100</f>
        <v>0.9856852741591956</v>
      </c>
      <c r="P12" s="108"/>
      <c r="Q12" s="60"/>
    </row>
    <row r="13" spans="1:18" ht="17.100000000000001" customHeight="1">
      <c r="A13" s="60"/>
      <c r="B13" s="299"/>
      <c r="C13" s="213" t="s">
        <v>213</v>
      </c>
      <c r="D13" s="231">
        <v>94321</v>
      </c>
      <c r="E13" s="231">
        <v>91081</v>
      </c>
      <c r="F13" s="225">
        <f t="shared" si="0"/>
        <v>-3.4350780844138673</v>
      </c>
      <c r="G13" s="289">
        <v>824</v>
      </c>
      <c r="H13" s="290">
        <v>902</v>
      </c>
      <c r="I13" s="228">
        <f t="shared" si="1"/>
        <v>9.4660194174757351</v>
      </c>
      <c r="J13" s="101"/>
      <c r="K13" s="214" t="s">
        <v>10</v>
      </c>
      <c r="L13" s="215">
        <v>14</v>
      </c>
      <c r="M13" s="215">
        <v>13881.455</v>
      </c>
      <c r="N13" s="215">
        <v>1516</v>
      </c>
      <c r="O13" s="217">
        <f>(N13/E16)*100</f>
        <v>26.219301279833967</v>
      </c>
      <c r="P13" s="108"/>
      <c r="Q13" s="60"/>
    </row>
    <row r="14" spans="1:18" ht="17.100000000000001" customHeight="1">
      <c r="A14" s="60"/>
      <c r="B14" s="299"/>
      <c r="C14" s="213" t="s">
        <v>214</v>
      </c>
      <c r="D14" s="231">
        <v>35228</v>
      </c>
      <c r="E14" s="231">
        <v>45892</v>
      </c>
      <c r="F14" s="225">
        <f t="shared" si="0"/>
        <v>30.271375042579773</v>
      </c>
      <c r="G14" s="289">
        <v>1184</v>
      </c>
      <c r="H14" s="290">
        <v>1836</v>
      </c>
      <c r="I14" s="228">
        <f t="shared" si="1"/>
        <v>55.067567567567565</v>
      </c>
      <c r="J14" s="101"/>
      <c r="K14" s="214" t="s">
        <v>7</v>
      </c>
      <c r="L14" s="215">
        <v>57721</v>
      </c>
      <c r="M14" s="215">
        <v>3495475.13</v>
      </c>
      <c r="N14" s="215">
        <v>542350</v>
      </c>
      <c r="O14" s="217">
        <f>(N14/E17)*100</f>
        <v>52.508824890548119</v>
      </c>
      <c r="P14" s="108"/>
      <c r="Q14" s="60"/>
      <c r="R14" s="3"/>
    </row>
    <row r="15" spans="1:18" ht="21" customHeight="1">
      <c r="A15" s="60"/>
      <c r="B15" s="299"/>
      <c r="C15" s="214" t="s">
        <v>9</v>
      </c>
      <c r="D15" s="215">
        <v>20189</v>
      </c>
      <c r="E15" s="215">
        <v>20189</v>
      </c>
      <c r="F15" s="223">
        <f t="shared" si="0"/>
        <v>0</v>
      </c>
      <c r="G15" s="342">
        <v>128</v>
      </c>
      <c r="H15" s="338">
        <v>128</v>
      </c>
      <c r="I15" s="346">
        <f t="shared" si="1"/>
        <v>0</v>
      </c>
      <c r="J15" s="101"/>
      <c r="K15" s="214" t="s">
        <v>29</v>
      </c>
      <c r="L15" s="215">
        <v>25258</v>
      </c>
      <c r="M15" s="215">
        <v>937915.21</v>
      </c>
      <c r="N15" s="215">
        <v>151687</v>
      </c>
      <c r="O15" s="217">
        <f t="shared" ref="O15:O20" si="3">(N15/E22)*100</f>
        <v>36.991686521629916</v>
      </c>
      <c r="P15" s="108"/>
      <c r="Q15" s="60"/>
    </row>
    <row r="16" spans="1:18" ht="15.75">
      <c r="A16" s="60"/>
      <c r="B16" s="299"/>
      <c r="C16" s="214" t="s">
        <v>10</v>
      </c>
      <c r="D16" s="215">
        <v>6175</v>
      </c>
      <c r="E16" s="215">
        <v>5782</v>
      </c>
      <c r="F16" s="223">
        <f t="shared" si="0"/>
        <v>-6.3643724696356259</v>
      </c>
      <c r="G16" s="342">
        <v>226</v>
      </c>
      <c r="H16" s="338">
        <v>227</v>
      </c>
      <c r="I16" s="346">
        <f t="shared" si="1"/>
        <v>0.44247787610618428</v>
      </c>
      <c r="J16" s="101"/>
      <c r="K16" s="214" t="s">
        <v>30</v>
      </c>
      <c r="L16" s="215">
        <v>341</v>
      </c>
      <c r="M16" s="215">
        <v>8382.59</v>
      </c>
      <c r="N16" s="215">
        <v>1908</v>
      </c>
      <c r="O16" s="217">
        <f t="shared" si="3"/>
        <v>15.217738076248205</v>
      </c>
      <c r="P16" s="108"/>
      <c r="Q16" s="60"/>
    </row>
    <row r="17" spans="1:18" ht="21" customHeight="1">
      <c r="A17" s="60"/>
      <c r="B17" s="299"/>
      <c r="C17" s="214" t="s">
        <v>7</v>
      </c>
      <c r="D17" s="215">
        <v>968872</v>
      </c>
      <c r="E17" s="215">
        <v>1032874</v>
      </c>
      <c r="F17" s="223">
        <f t="shared" si="0"/>
        <v>6.6058261566027232</v>
      </c>
      <c r="G17" s="342">
        <v>22303</v>
      </c>
      <c r="H17" s="338">
        <v>27740</v>
      </c>
      <c r="I17" s="346">
        <f t="shared" si="1"/>
        <v>24.377886382997804</v>
      </c>
      <c r="J17" s="101"/>
      <c r="K17" s="214" t="s">
        <v>8</v>
      </c>
      <c r="L17" s="215">
        <v>5493</v>
      </c>
      <c r="M17" s="215">
        <v>697942.32799999998</v>
      </c>
      <c r="N17" s="215">
        <v>106881</v>
      </c>
      <c r="O17" s="217">
        <f t="shared" si="3"/>
        <v>53.17542052866461</v>
      </c>
      <c r="P17" s="108"/>
      <c r="Q17" s="60"/>
    </row>
    <row r="18" spans="1:18" ht="17.100000000000001" customHeight="1">
      <c r="A18" s="60"/>
      <c r="B18" s="299"/>
      <c r="C18" s="213" t="s">
        <v>262</v>
      </c>
      <c r="D18" s="231">
        <v>478056</v>
      </c>
      <c r="E18" s="231">
        <v>519829</v>
      </c>
      <c r="F18" s="225">
        <f t="shared" si="0"/>
        <v>8.7380976287296797</v>
      </c>
      <c r="G18" s="289">
        <v>10808</v>
      </c>
      <c r="H18" s="290">
        <v>13995</v>
      </c>
      <c r="I18" s="228">
        <f t="shared" si="1"/>
        <v>29.48741672834938</v>
      </c>
      <c r="J18" s="101"/>
      <c r="K18" s="214" t="s">
        <v>6</v>
      </c>
      <c r="L18" s="215">
        <v>1720</v>
      </c>
      <c r="M18" s="215">
        <v>54996.951000000001</v>
      </c>
      <c r="N18" s="215">
        <v>9529</v>
      </c>
      <c r="O18" s="217">
        <f t="shared" si="3"/>
        <v>20.49247311827957</v>
      </c>
      <c r="P18" s="108"/>
      <c r="Q18" s="60"/>
      <c r="R18" s="116"/>
    </row>
    <row r="19" spans="1:18" ht="17.100000000000001" customHeight="1" thickBot="1">
      <c r="A19" s="60"/>
      <c r="B19" s="299"/>
      <c r="C19" s="213" t="s">
        <v>263</v>
      </c>
      <c r="D19" s="231">
        <v>170634</v>
      </c>
      <c r="E19" s="231">
        <v>183273</v>
      </c>
      <c r="F19" s="225">
        <f t="shared" si="0"/>
        <v>7.4070818242554237</v>
      </c>
      <c r="G19" s="289">
        <v>4233</v>
      </c>
      <c r="H19" s="290">
        <v>6502</v>
      </c>
      <c r="I19" s="228">
        <f t="shared" si="1"/>
        <v>53.602645877628149</v>
      </c>
      <c r="J19" s="101"/>
      <c r="K19" s="218" t="s">
        <v>14</v>
      </c>
      <c r="L19" s="219">
        <v>15</v>
      </c>
      <c r="M19" s="219">
        <v>2006</v>
      </c>
      <c r="N19" s="219">
        <v>359</v>
      </c>
      <c r="O19" s="347">
        <f t="shared" si="3"/>
        <v>3.0114923244694234</v>
      </c>
      <c r="P19" s="108"/>
      <c r="Q19" s="60"/>
    </row>
    <row r="20" spans="1:18" ht="17.100000000000001" customHeight="1" thickBot="1">
      <c r="A20" s="60"/>
      <c r="B20" s="299"/>
      <c r="C20" s="213" t="s">
        <v>264</v>
      </c>
      <c r="D20" s="231">
        <v>287340</v>
      </c>
      <c r="E20" s="231">
        <v>292512</v>
      </c>
      <c r="F20" s="225">
        <f t="shared" si="0"/>
        <v>1.7999582376279077</v>
      </c>
      <c r="G20" s="289">
        <v>6609</v>
      </c>
      <c r="H20" s="290">
        <v>6423</v>
      </c>
      <c r="I20" s="228">
        <f t="shared" si="1"/>
        <v>-2.814344076259645</v>
      </c>
      <c r="J20" s="101"/>
      <c r="K20" s="220" t="s">
        <v>115</v>
      </c>
      <c r="L20" s="232">
        <f>L9+L10+L11+L12+L13+L14+L15+L16+L17+L18+L19</f>
        <v>92488</v>
      </c>
      <c r="M20" s="232">
        <f>M9+M10+M11+M12+M13+M14+M15+M16+M17+M18+M19</f>
        <v>5400327.9019999998</v>
      </c>
      <c r="N20" s="232">
        <f>SUM(N9:N19)</f>
        <v>860142</v>
      </c>
      <c r="O20" s="229">
        <f t="shared" si="3"/>
        <v>43.496038974107947</v>
      </c>
      <c r="P20" s="108"/>
      <c r="Q20" s="60"/>
    </row>
    <row r="21" spans="1:18" ht="17.100000000000001" customHeight="1" thickBot="1">
      <c r="A21" s="60"/>
      <c r="B21" s="299"/>
      <c r="C21" s="213" t="s">
        <v>265</v>
      </c>
      <c r="D21" s="231">
        <v>32842</v>
      </c>
      <c r="E21" s="231">
        <v>37260</v>
      </c>
      <c r="F21" s="225">
        <f t="shared" si="0"/>
        <v>13.452286706047145</v>
      </c>
      <c r="G21" s="289">
        <v>652</v>
      </c>
      <c r="H21" s="290">
        <v>820</v>
      </c>
      <c r="I21" s="228">
        <f t="shared" si="1"/>
        <v>25.766871165644179</v>
      </c>
      <c r="J21" s="101"/>
      <c r="K21" s="880"/>
      <c r="L21" s="881"/>
      <c r="M21" s="881"/>
      <c r="N21" s="882"/>
      <c r="O21" s="883"/>
      <c r="P21" s="108"/>
      <c r="Q21" s="60"/>
    </row>
    <row r="22" spans="1:18" ht="21" customHeight="1" thickBot="1">
      <c r="A22" s="60"/>
      <c r="B22" s="299"/>
      <c r="C22" s="214" t="s">
        <v>29</v>
      </c>
      <c r="D22" s="215">
        <v>433242</v>
      </c>
      <c r="E22" s="215">
        <v>410057</v>
      </c>
      <c r="F22" s="223">
        <f t="shared" si="0"/>
        <v>-5.3515125495681382</v>
      </c>
      <c r="G22" s="342">
        <v>10700</v>
      </c>
      <c r="H22" s="338">
        <v>11163</v>
      </c>
      <c r="I22" s="346">
        <f t="shared" si="1"/>
        <v>4.3271028037383141</v>
      </c>
      <c r="J22" s="101"/>
      <c r="K22" s="1233" t="s">
        <v>529</v>
      </c>
      <c r="L22" s="1234"/>
      <c r="M22" s="890" t="s">
        <v>266</v>
      </c>
      <c r="N22" s="898" t="s">
        <v>537</v>
      </c>
      <c r="O22" s="884" t="s">
        <v>12</v>
      </c>
      <c r="P22" s="108"/>
      <c r="Q22" s="60"/>
    </row>
    <row r="23" spans="1:18" ht="17.100000000000001" customHeight="1">
      <c r="A23" s="60"/>
      <c r="B23" s="299"/>
      <c r="C23" s="214" t="s">
        <v>30</v>
      </c>
      <c r="D23" s="215">
        <v>12538</v>
      </c>
      <c r="E23" s="215">
        <v>12538</v>
      </c>
      <c r="F23" s="223">
        <f t="shared" si="0"/>
        <v>0</v>
      </c>
      <c r="G23" s="342">
        <v>310</v>
      </c>
      <c r="H23" s="338">
        <v>309.60000000000002</v>
      </c>
      <c r="I23" s="346">
        <f t="shared" si="1"/>
        <v>-0.1290322580645098</v>
      </c>
      <c r="J23" s="101"/>
      <c r="K23" s="878" t="s">
        <v>530</v>
      </c>
      <c r="L23" s="583"/>
      <c r="M23" s="891">
        <v>10715</v>
      </c>
      <c r="N23" s="894">
        <v>1018023200.2299998</v>
      </c>
      <c r="O23" s="879">
        <f>(N23/N27)*100</f>
        <v>18.851135669274957</v>
      </c>
      <c r="P23" s="108"/>
      <c r="Q23" s="60"/>
    </row>
    <row r="24" spans="1:18" ht="17.100000000000001" customHeight="1">
      <c r="A24" s="60"/>
      <c r="B24" s="299"/>
      <c r="C24" s="214" t="s">
        <v>8</v>
      </c>
      <c r="D24" s="215">
        <v>198971</v>
      </c>
      <c r="E24" s="215">
        <v>200997</v>
      </c>
      <c r="F24" s="223">
        <f t="shared" si="0"/>
        <v>1.018238838825769</v>
      </c>
      <c r="G24" s="342">
        <v>4064</v>
      </c>
      <c r="H24" s="338">
        <v>4938</v>
      </c>
      <c r="I24" s="346">
        <f t="shared" si="1"/>
        <v>21.505905511811019</v>
      </c>
      <c r="J24" s="101"/>
      <c r="K24" s="878" t="s">
        <v>531</v>
      </c>
      <c r="L24" s="583"/>
      <c r="M24" s="892">
        <v>41338</v>
      </c>
      <c r="N24" s="865">
        <v>785097821.05999982</v>
      </c>
      <c r="O24" s="879">
        <f>(N24/N27)*100</f>
        <v>14.53796488637045</v>
      </c>
      <c r="P24" s="108"/>
      <c r="Q24" s="60"/>
    </row>
    <row r="25" spans="1:18" ht="17.100000000000001" customHeight="1">
      <c r="A25" s="60"/>
      <c r="B25" s="299"/>
      <c r="C25" s="214" t="s">
        <v>6</v>
      </c>
      <c r="D25" s="215">
        <v>44500</v>
      </c>
      <c r="E25" s="215">
        <v>46500</v>
      </c>
      <c r="F25" s="223">
        <f t="shared" si="0"/>
        <v>4.4943820224719211</v>
      </c>
      <c r="G25" s="342">
        <v>1290</v>
      </c>
      <c r="H25" s="338">
        <v>1050</v>
      </c>
      <c r="I25" s="346">
        <f t="shared" si="1"/>
        <v>-18.604651162790699</v>
      </c>
      <c r="J25" s="101"/>
      <c r="K25" s="878" t="s">
        <v>532</v>
      </c>
      <c r="L25" s="888"/>
      <c r="M25" s="865">
        <v>11983</v>
      </c>
      <c r="N25" s="865">
        <v>765784766.35000002</v>
      </c>
      <c r="O25" s="879">
        <f>(N25/N27)*100</f>
        <v>14.180337462512052</v>
      </c>
      <c r="P25" s="108"/>
      <c r="Q25" s="60"/>
    </row>
    <row r="26" spans="1:18" s="5" customFormat="1" ht="18" customHeight="1" thickBot="1">
      <c r="A26" s="60"/>
      <c r="B26" s="299"/>
      <c r="C26" s="218" t="s">
        <v>209</v>
      </c>
      <c r="D26" s="219">
        <v>10009</v>
      </c>
      <c r="E26" s="219">
        <v>11921</v>
      </c>
      <c r="F26" s="224">
        <f t="shared" si="0"/>
        <v>19.102807473274062</v>
      </c>
      <c r="G26" s="343">
        <v>128</v>
      </c>
      <c r="H26" s="339">
        <v>148</v>
      </c>
      <c r="I26" s="347">
        <f t="shared" si="1"/>
        <v>15.625</v>
      </c>
      <c r="J26" s="101"/>
      <c r="K26" s="886" t="s">
        <v>533</v>
      </c>
      <c r="L26" s="889"/>
      <c r="M26" s="893">
        <v>28452</v>
      </c>
      <c r="N26" s="893">
        <v>2831422437.0899992</v>
      </c>
      <c r="O26" s="885">
        <f>(N26/N27)*100</f>
        <v>52.430561981842551</v>
      </c>
      <c r="P26" s="108"/>
      <c r="Q26" s="60"/>
    </row>
    <row r="27" spans="1:18" ht="15" customHeight="1" thickBot="1">
      <c r="A27" s="60"/>
      <c r="B27" s="299"/>
      <c r="C27" s="220" t="s">
        <v>115</v>
      </c>
      <c r="D27" s="221">
        <f>D9+D10+D11+D15+D16+D17+D22+D23+D24+D25+D26</f>
        <v>1922074</v>
      </c>
      <c r="E27" s="221">
        <f>E9+E10+E11+E15+E16+E17+E22+E23+E24+E25+E26</f>
        <v>1977518</v>
      </c>
      <c r="F27" s="227">
        <f t="shared" si="0"/>
        <v>2.8845923726141587</v>
      </c>
      <c r="G27" s="344">
        <f>G9+G10+G11+G15+G16+G17+G22+G23+G24+G25+G26</f>
        <v>43235.6</v>
      </c>
      <c r="H27" s="340">
        <f>H9+H10+H11+H15+H16+H17+H22+H23+H24+H25+H26</f>
        <v>50535.199999999997</v>
      </c>
      <c r="I27" s="229">
        <f t="shared" si="1"/>
        <v>16.883309124887823</v>
      </c>
      <c r="J27" s="101"/>
      <c r="K27" s="887" t="s">
        <v>534</v>
      </c>
      <c r="L27" s="895"/>
      <c r="M27" s="355">
        <f>SUM(M23:M26)</f>
        <v>92488</v>
      </c>
      <c r="N27" s="896">
        <f>SUM(N23:N26)</f>
        <v>5400328224.7299986</v>
      </c>
      <c r="O27" s="897">
        <f>(N27/N27)*100</f>
        <v>100</v>
      </c>
      <c r="P27" s="108"/>
      <c r="Q27" s="59"/>
    </row>
    <row r="28" spans="1:18" ht="15.75">
      <c r="A28" s="59"/>
      <c r="B28" s="300"/>
      <c r="C28" s="534" t="s">
        <v>496</v>
      </c>
      <c r="D28" s="298"/>
      <c r="E28" s="298"/>
      <c r="F28" s="298"/>
      <c r="G28" s="298"/>
      <c r="H28" s="298"/>
      <c r="I28" s="298"/>
      <c r="J28" s="298"/>
      <c r="K28" s="534" t="s">
        <v>526</v>
      </c>
      <c r="L28" s="298"/>
      <c r="M28" s="298"/>
      <c r="N28" s="298"/>
      <c r="O28" s="233">
        <f ca="1">NOW()</f>
        <v>42471.706796064813</v>
      </c>
      <c r="P28" s="133"/>
      <c r="Q28" s="59"/>
    </row>
    <row r="29" spans="1:18">
      <c r="A29" s="59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60"/>
      <c r="Q29" s="59"/>
    </row>
  </sheetData>
  <mergeCells count="6">
    <mergeCell ref="A1:Q1"/>
    <mergeCell ref="K22:L22"/>
    <mergeCell ref="B4:P4"/>
    <mergeCell ref="D7:F7"/>
    <mergeCell ref="G7:I7"/>
    <mergeCell ref="O7:O8"/>
  </mergeCells>
  <phoneticPr fontId="1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7"/>
  <sheetViews>
    <sheetView workbookViewId="0">
      <selection activeCell="R23" sqref="R23"/>
    </sheetView>
  </sheetViews>
  <sheetFormatPr defaultRowHeight="12.75"/>
  <cols>
    <col min="1" max="1" width="2.7109375" customWidth="1"/>
    <col min="2" max="2" width="11.7109375" customWidth="1"/>
    <col min="3" max="3" width="12.28515625" customWidth="1"/>
    <col min="4" max="4" width="13.7109375" customWidth="1"/>
    <col min="5" max="13" width="9.28515625" customWidth="1"/>
    <col min="14" max="14" width="9.7109375" customWidth="1"/>
    <col min="15" max="15" width="2.7109375" customWidth="1"/>
    <col min="17" max="17" width="12.5703125" customWidth="1"/>
  </cols>
  <sheetData>
    <row r="1" spans="1:15" ht="15" customHeight="1">
      <c r="A1" s="1232" t="s">
        <v>446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</row>
    <row r="2" spans="1:15" ht="25.5" customHeight="1">
      <c r="A2" s="62"/>
      <c r="B2" s="1242" t="s">
        <v>35</v>
      </c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4"/>
      <c r="O2" s="148"/>
    </row>
    <row r="3" spans="1:15" ht="18" customHeight="1">
      <c r="A3" s="62"/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1"/>
      <c r="O3" s="59"/>
    </row>
    <row r="4" spans="1:15" ht="18" customHeight="1">
      <c r="A4" s="62"/>
      <c r="B4" s="1245" t="s">
        <v>215</v>
      </c>
      <c r="C4" s="1246"/>
      <c r="D4" s="1247"/>
      <c r="E4" s="149">
        <v>2007</v>
      </c>
      <c r="F4" s="149">
        <v>2008</v>
      </c>
      <c r="G4" s="149">
        <v>2009</v>
      </c>
      <c r="H4" s="149">
        <v>2010</v>
      </c>
      <c r="I4" s="149">
        <v>2011</v>
      </c>
      <c r="J4" s="149">
        <v>2012</v>
      </c>
      <c r="K4" s="149">
        <v>2013</v>
      </c>
      <c r="L4" s="149">
        <v>2014</v>
      </c>
      <c r="M4" s="149">
        <v>2015</v>
      </c>
      <c r="N4" s="149">
        <v>2016</v>
      </c>
      <c r="O4" s="60"/>
    </row>
    <row r="5" spans="1:15" ht="18" customHeight="1">
      <c r="A5" s="60"/>
      <c r="B5" s="150" t="s">
        <v>300</v>
      </c>
      <c r="C5" s="151"/>
      <c r="D5" s="173"/>
      <c r="E5" s="152">
        <v>36.07</v>
      </c>
      <c r="F5" s="152">
        <v>45.991999999999997</v>
      </c>
      <c r="G5" s="152">
        <v>39.47</v>
      </c>
      <c r="H5" s="152">
        <v>48.094999999999999</v>
      </c>
      <c r="I5" s="152">
        <v>43.484000000000002</v>
      </c>
      <c r="J5" s="152">
        <v>50.826000000000001</v>
      </c>
      <c r="K5" s="152">
        <v>49.152000000000001</v>
      </c>
      <c r="L5" s="152">
        <v>45.639000000000003</v>
      </c>
      <c r="M5" s="820">
        <v>43.2</v>
      </c>
      <c r="N5" s="820" t="s">
        <v>564</v>
      </c>
      <c r="O5" s="60"/>
    </row>
    <row r="6" spans="1:15" ht="18" customHeight="1">
      <c r="A6" s="60"/>
      <c r="B6" s="153" t="s">
        <v>36</v>
      </c>
      <c r="C6" s="317"/>
      <c r="D6" s="318"/>
      <c r="E6" s="154">
        <v>2.1760000000000002</v>
      </c>
      <c r="F6" s="154">
        <v>2.169</v>
      </c>
      <c r="G6" s="154">
        <v>2.0920000000000001</v>
      </c>
      <c r="H6" s="154">
        <v>2.0760000000000001</v>
      </c>
      <c r="I6" s="154">
        <v>2.056</v>
      </c>
      <c r="J6" s="154">
        <v>2.0489999999999999</v>
      </c>
      <c r="K6" s="154">
        <v>2.016</v>
      </c>
      <c r="L6" s="874">
        <v>1.946</v>
      </c>
      <c r="M6" s="873">
        <v>1.9219999999999999</v>
      </c>
      <c r="N6" s="873">
        <v>1.9770000000000001</v>
      </c>
      <c r="O6" s="60"/>
    </row>
    <row r="7" spans="1:15" ht="18" customHeight="1">
      <c r="A7" s="60"/>
      <c r="B7" s="153" t="s">
        <v>37</v>
      </c>
      <c r="C7" s="317"/>
      <c r="D7" s="318"/>
      <c r="E7" s="154">
        <v>16.57</v>
      </c>
      <c r="F7" s="155">
        <v>21.2</v>
      </c>
      <c r="G7" s="154">
        <v>18.86</v>
      </c>
      <c r="H7" s="154">
        <v>23.16</v>
      </c>
      <c r="I7" s="154">
        <v>21.15</v>
      </c>
      <c r="J7" s="154">
        <v>24.8</v>
      </c>
      <c r="K7" s="154">
        <v>24.31</v>
      </c>
      <c r="L7" s="154">
        <v>23.3</v>
      </c>
      <c r="M7" s="822">
        <v>22.5</v>
      </c>
      <c r="N7" s="822">
        <v>25.5</v>
      </c>
      <c r="O7" s="60"/>
    </row>
    <row r="8" spans="1:15" ht="12" customHeight="1">
      <c r="A8" s="60"/>
      <c r="B8" s="138"/>
      <c r="C8" s="139"/>
      <c r="D8" s="141"/>
      <c r="E8" s="145"/>
      <c r="F8" s="145"/>
      <c r="G8" s="145"/>
      <c r="H8" s="145"/>
      <c r="I8" s="145"/>
      <c r="J8" s="145"/>
      <c r="K8" s="145"/>
      <c r="L8" s="145"/>
      <c r="M8" s="550"/>
      <c r="N8" s="141"/>
      <c r="O8" s="60"/>
    </row>
    <row r="9" spans="1:15" ht="18" customHeight="1">
      <c r="A9" s="60"/>
      <c r="B9" s="158" t="s">
        <v>301</v>
      </c>
      <c r="C9" s="157"/>
      <c r="D9" s="170"/>
      <c r="E9" s="159">
        <v>28.398</v>
      </c>
      <c r="F9" s="159">
        <v>29.727</v>
      </c>
      <c r="G9" s="159">
        <v>30.481000000000002</v>
      </c>
      <c r="H9" s="159">
        <v>33.493000000000002</v>
      </c>
      <c r="I9" s="159">
        <v>33.61</v>
      </c>
      <c r="J9" s="159">
        <v>28.734999999999999</v>
      </c>
      <c r="K9" s="159">
        <v>32.01</v>
      </c>
      <c r="L9" s="159">
        <v>36.734999999999999</v>
      </c>
      <c r="M9" s="831">
        <v>37.1</v>
      </c>
      <c r="N9" s="915" t="s">
        <v>562</v>
      </c>
      <c r="O9" s="60"/>
    </row>
    <row r="10" spans="1:15" ht="18" customHeight="1">
      <c r="A10" s="60"/>
      <c r="B10" s="160" t="s">
        <v>216</v>
      </c>
      <c r="C10" s="317"/>
      <c r="D10" s="318"/>
      <c r="E10" s="161">
        <v>3.891</v>
      </c>
      <c r="F10" s="161">
        <v>4.7619999999999996</v>
      </c>
      <c r="G10" s="161">
        <v>4.2789999999999999</v>
      </c>
      <c r="H10" s="161">
        <v>5.7640000000000002</v>
      </c>
      <c r="I10" s="161">
        <v>8.7330000000000005</v>
      </c>
      <c r="J10" s="161">
        <v>6.4619999999999997</v>
      </c>
      <c r="K10" s="161">
        <v>5.2750000000000004</v>
      </c>
      <c r="L10" s="161">
        <v>6.6609999999999996</v>
      </c>
      <c r="M10" s="821">
        <v>6.2</v>
      </c>
      <c r="N10" s="821">
        <v>1.3</v>
      </c>
      <c r="O10" s="60"/>
    </row>
    <row r="11" spans="1:15" ht="18" customHeight="1">
      <c r="A11" s="60"/>
      <c r="B11" s="162" t="s">
        <v>217</v>
      </c>
      <c r="C11" s="317"/>
      <c r="D11" s="318"/>
      <c r="E11" s="163">
        <v>137.03</v>
      </c>
      <c r="F11" s="163">
        <v>160.19999999999999</v>
      </c>
      <c r="G11" s="163">
        <v>140.38</v>
      </c>
      <c r="H11" s="163">
        <v>172.11</v>
      </c>
      <c r="I11" s="163">
        <v>259.83</v>
      </c>
      <c r="J11" s="163">
        <v>224.9</v>
      </c>
      <c r="K11" s="163">
        <v>164.81</v>
      </c>
      <c r="L11" s="163">
        <v>181.35</v>
      </c>
      <c r="M11" s="822">
        <v>165.92</v>
      </c>
      <c r="N11" s="822">
        <v>147.19</v>
      </c>
      <c r="O11" s="60"/>
    </row>
    <row r="12" spans="1:15" ht="12" customHeight="1">
      <c r="A12" s="60"/>
      <c r="B12" s="138"/>
      <c r="C12" s="139"/>
      <c r="D12" s="141"/>
      <c r="E12" s="145"/>
      <c r="F12" s="145"/>
      <c r="G12" s="145"/>
      <c r="H12" s="145"/>
      <c r="I12" s="145"/>
      <c r="J12" s="145"/>
      <c r="K12" s="145"/>
      <c r="L12" s="145"/>
      <c r="M12" s="551"/>
      <c r="N12" s="916"/>
      <c r="O12" s="60"/>
    </row>
    <row r="13" spans="1:15" ht="18" customHeight="1">
      <c r="A13" s="60"/>
      <c r="B13" s="164" t="s">
        <v>358</v>
      </c>
      <c r="C13" s="157"/>
      <c r="D13" s="170"/>
      <c r="E13" s="156">
        <v>17.12</v>
      </c>
      <c r="F13" s="156">
        <v>17.66</v>
      </c>
      <c r="G13" s="156">
        <v>18.388999999999999</v>
      </c>
      <c r="H13" s="156">
        <v>19.13</v>
      </c>
      <c r="I13" s="156">
        <v>19.72</v>
      </c>
      <c r="J13" s="156">
        <v>20.329999999999998</v>
      </c>
      <c r="K13" s="156">
        <v>20.079999999999998</v>
      </c>
      <c r="L13" s="156">
        <v>20.3</v>
      </c>
      <c r="M13" s="831">
        <v>20.5</v>
      </c>
      <c r="N13" s="831" t="s">
        <v>565</v>
      </c>
      <c r="O13" s="60"/>
    </row>
    <row r="14" spans="1:15" ht="18" customHeight="1">
      <c r="A14" s="60"/>
      <c r="B14" s="153" t="s">
        <v>218</v>
      </c>
      <c r="C14" s="317"/>
      <c r="D14" s="318"/>
      <c r="E14" s="154">
        <v>5.53</v>
      </c>
      <c r="F14" s="154">
        <v>5.64</v>
      </c>
      <c r="G14" s="154">
        <v>5.81</v>
      </c>
      <c r="H14" s="154">
        <v>6.02</v>
      </c>
      <c r="I14" s="154">
        <v>6.1</v>
      </c>
      <c r="J14" s="154">
        <v>6.23</v>
      </c>
      <c r="K14" s="154">
        <v>6.43</v>
      </c>
      <c r="L14" s="154">
        <v>6.43</v>
      </c>
      <c r="M14" s="822">
        <v>6.2</v>
      </c>
      <c r="N14" s="822">
        <v>6.2</v>
      </c>
      <c r="O14" s="60"/>
    </row>
    <row r="15" spans="1:15" ht="12" customHeight="1">
      <c r="A15" s="60"/>
      <c r="B15" s="138"/>
      <c r="C15" s="139"/>
      <c r="D15" s="141"/>
      <c r="E15" s="145"/>
      <c r="F15" s="145"/>
      <c r="G15" s="145"/>
      <c r="H15" s="145"/>
      <c r="I15" s="145"/>
      <c r="J15" s="145"/>
      <c r="K15" s="145"/>
      <c r="L15" s="145"/>
      <c r="M15" s="551"/>
      <c r="N15" s="916"/>
      <c r="O15" s="60"/>
    </row>
    <row r="16" spans="1:15" ht="18" customHeight="1">
      <c r="A16" s="60"/>
      <c r="B16" s="164" t="s">
        <v>219</v>
      </c>
      <c r="C16" s="157"/>
      <c r="D16" s="170"/>
      <c r="E16" s="166">
        <v>18.47</v>
      </c>
      <c r="F16" s="166">
        <v>13.202</v>
      </c>
      <c r="G16" s="166">
        <v>15.766</v>
      </c>
      <c r="H16" s="166">
        <v>11.098000000000001</v>
      </c>
      <c r="I16" s="166">
        <v>11.34</v>
      </c>
      <c r="J16" s="166">
        <v>10.063000000000001</v>
      </c>
      <c r="K16" s="166">
        <v>15.590999999999999</v>
      </c>
      <c r="L16" s="166">
        <v>16.870999999999999</v>
      </c>
      <c r="M16" s="832">
        <v>15.94</v>
      </c>
      <c r="N16" s="832" t="s">
        <v>566</v>
      </c>
      <c r="O16" s="59"/>
    </row>
    <row r="17" spans="1:15" ht="12" customHeight="1">
      <c r="A17" s="60"/>
      <c r="B17" s="138"/>
      <c r="C17" s="139"/>
      <c r="D17" s="141"/>
      <c r="E17" s="145"/>
      <c r="F17" s="145"/>
      <c r="G17" s="145"/>
      <c r="H17" s="145"/>
      <c r="I17" s="145"/>
      <c r="J17" s="145"/>
      <c r="K17" s="145"/>
      <c r="L17" s="145"/>
      <c r="M17" s="551"/>
      <c r="N17" s="916"/>
      <c r="O17" s="59"/>
    </row>
    <row r="18" spans="1:15" ht="18" customHeight="1">
      <c r="A18" s="60"/>
      <c r="B18" s="164" t="s">
        <v>220</v>
      </c>
      <c r="C18" s="157"/>
      <c r="D18" s="170"/>
      <c r="E18" s="167">
        <v>2147</v>
      </c>
      <c r="F18" s="167">
        <v>2561</v>
      </c>
      <c r="G18" s="167">
        <v>2843</v>
      </c>
      <c r="H18" s="167">
        <v>2846</v>
      </c>
      <c r="I18" s="167">
        <v>2714</v>
      </c>
      <c r="J18" s="167">
        <v>2894</v>
      </c>
      <c r="K18" s="167">
        <v>3357</v>
      </c>
      <c r="L18" s="167">
        <v>4008</v>
      </c>
      <c r="M18" s="833">
        <f>M19+M20+M21</f>
        <v>4146.1000000000004</v>
      </c>
      <c r="N18" s="833">
        <f>N19+N20+N21</f>
        <v>4644.2000000000007</v>
      </c>
      <c r="O18" s="59"/>
    </row>
    <row r="19" spans="1:15" ht="18" customHeight="1">
      <c r="A19" s="60"/>
      <c r="B19" s="153" t="s">
        <v>38</v>
      </c>
      <c r="C19" s="317"/>
      <c r="D19" s="318"/>
      <c r="E19" s="165">
        <v>2026</v>
      </c>
      <c r="F19" s="165">
        <v>2441</v>
      </c>
      <c r="G19" s="165">
        <v>2673</v>
      </c>
      <c r="H19" s="165">
        <v>2673</v>
      </c>
      <c r="I19" s="165">
        <v>2539</v>
      </c>
      <c r="J19" s="165">
        <v>2734</v>
      </c>
      <c r="K19" s="165">
        <v>3180</v>
      </c>
      <c r="L19" s="165">
        <v>3825</v>
      </c>
      <c r="M19" s="834">
        <v>4136</v>
      </c>
      <c r="N19" s="834">
        <v>4632</v>
      </c>
      <c r="O19" s="59"/>
    </row>
    <row r="20" spans="1:15" ht="18" customHeight="1">
      <c r="A20" s="60"/>
      <c r="B20" s="153" t="s">
        <v>221</v>
      </c>
      <c r="C20" s="317"/>
      <c r="D20" s="318"/>
      <c r="E20" s="154">
        <v>13</v>
      </c>
      <c r="F20" s="154">
        <v>13</v>
      </c>
      <c r="G20" s="154">
        <v>15</v>
      </c>
      <c r="H20" s="154">
        <v>15</v>
      </c>
      <c r="I20" s="154">
        <v>14</v>
      </c>
      <c r="J20" s="154">
        <v>8</v>
      </c>
      <c r="K20" s="154">
        <v>2.5</v>
      </c>
      <c r="L20" s="154">
        <v>4</v>
      </c>
      <c r="M20" s="822">
        <v>4.5</v>
      </c>
      <c r="N20" s="822">
        <v>1.6</v>
      </c>
      <c r="O20" s="59"/>
    </row>
    <row r="21" spans="1:15" ht="18" customHeight="1">
      <c r="A21" s="60"/>
      <c r="B21" s="153" t="s">
        <v>39</v>
      </c>
      <c r="C21" s="317"/>
      <c r="D21" s="318"/>
      <c r="E21" s="154">
        <v>12</v>
      </c>
      <c r="F21" s="154">
        <v>12</v>
      </c>
      <c r="G21" s="154">
        <v>15.3</v>
      </c>
      <c r="H21" s="154">
        <v>15.3</v>
      </c>
      <c r="I21" s="154">
        <v>15</v>
      </c>
      <c r="J21" s="154">
        <v>12</v>
      </c>
      <c r="K21" s="154">
        <v>0</v>
      </c>
      <c r="L21" s="154">
        <v>6.5</v>
      </c>
      <c r="M21" s="822">
        <v>5.6</v>
      </c>
      <c r="N21" s="822">
        <v>10.6</v>
      </c>
      <c r="O21" s="59"/>
    </row>
    <row r="22" spans="1:15" ht="12" customHeight="1">
      <c r="A22" s="60"/>
      <c r="B22" s="138"/>
      <c r="C22" s="139"/>
      <c r="D22" s="141"/>
      <c r="E22" s="145"/>
      <c r="F22" s="145"/>
      <c r="G22" s="145"/>
      <c r="H22" s="145"/>
      <c r="I22" s="145"/>
      <c r="J22" s="145"/>
      <c r="K22" s="145"/>
      <c r="L22" s="145"/>
      <c r="M22" s="551"/>
      <c r="N22" s="916"/>
      <c r="O22" s="59"/>
    </row>
    <row r="23" spans="1:15" ht="18" customHeight="1">
      <c r="A23" s="60"/>
      <c r="B23" s="164" t="s">
        <v>443</v>
      </c>
      <c r="C23" s="157"/>
      <c r="D23" s="170"/>
      <c r="E23" s="168">
        <v>29.5</v>
      </c>
      <c r="F23" s="168">
        <v>30.46</v>
      </c>
      <c r="G23" s="168">
        <v>31.65</v>
      </c>
      <c r="H23" s="168">
        <v>34.56</v>
      </c>
      <c r="I23" s="168">
        <v>32.14</v>
      </c>
      <c r="J23" s="168">
        <v>25.39</v>
      </c>
      <c r="K23" s="168">
        <v>29.41</v>
      </c>
      <c r="L23" s="168">
        <v>32.22</v>
      </c>
      <c r="M23" s="835">
        <v>30.1</v>
      </c>
      <c r="N23" s="835" t="s">
        <v>567</v>
      </c>
      <c r="O23" s="59"/>
    </row>
    <row r="24" spans="1:15" ht="12" customHeight="1">
      <c r="A24" s="59"/>
      <c r="B24" s="142"/>
      <c r="C24" s="143"/>
      <c r="D24" s="144"/>
      <c r="E24" s="146"/>
      <c r="F24" s="146"/>
      <c r="G24" s="146"/>
      <c r="H24" s="146"/>
      <c r="I24" s="146"/>
      <c r="J24" s="146"/>
      <c r="K24" s="146"/>
      <c r="L24" s="146"/>
      <c r="M24" s="551"/>
      <c r="N24" s="916"/>
      <c r="O24" s="59"/>
    </row>
    <row r="25" spans="1:15" ht="15" customHeight="1">
      <c r="A25" s="59"/>
      <c r="B25" s="164" t="s">
        <v>302</v>
      </c>
      <c r="C25" s="169"/>
      <c r="D25" s="171"/>
      <c r="E25" s="168">
        <v>6.6</v>
      </c>
      <c r="F25" s="168">
        <v>6.59</v>
      </c>
      <c r="G25" s="168">
        <v>6.61</v>
      </c>
      <c r="H25" s="168">
        <v>7.54</v>
      </c>
      <c r="I25" s="168">
        <v>9.23</v>
      </c>
      <c r="J25" s="168">
        <v>6.74</v>
      </c>
      <c r="K25" s="168">
        <v>5.28</v>
      </c>
      <c r="L25" s="168">
        <v>6.89</v>
      </c>
      <c r="M25" s="871">
        <v>7</v>
      </c>
      <c r="N25" s="1207" t="s">
        <v>561</v>
      </c>
      <c r="O25" s="59"/>
    </row>
    <row r="26" spans="1:15" ht="12" customHeight="1">
      <c r="A26" s="59"/>
      <c r="B26" s="142"/>
      <c r="C26" s="143"/>
      <c r="D26" s="144"/>
      <c r="E26" s="146"/>
      <c r="F26" s="146"/>
      <c r="G26" s="146"/>
      <c r="H26" s="146"/>
      <c r="I26" s="146"/>
      <c r="J26" s="146"/>
      <c r="K26" s="146"/>
      <c r="L26" s="146"/>
      <c r="M26" s="552"/>
      <c r="N26" s="917"/>
      <c r="O26" s="59"/>
    </row>
    <row r="27" spans="1:15" ht="12.75" customHeight="1">
      <c r="A27" s="59"/>
      <c r="B27" s="1248" t="s">
        <v>359</v>
      </c>
      <c r="C27" s="1249"/>
      <c r="D27" s="1250"/>
      <c r="E27" s="1254">
        <v>252.43</v>
      </c>
      <c r="F27" s="1240">
        <v>260.37</v>
      </c>
      <c r="G27" s="1240">
        <v>263.2</v>
      </c>
      <c r="H27" s="1240">
        <v>310.91000000000003</v>
      </c>
      <c r="I27" s="1240">
        <v>494.95</v>
      </c>
      <c r="J27" s="1240">
        <v>390.03</v>
      </c>
      <c r="K27" s="1240">
        <v>288.93</v>
      </c>
      <c r="L27" s="1240">
        <v>418.61</v>
      </c>
      <c r="M27" s="1256">
        <v>454.04</v>
      </c>
      <c r="N27" s="1256" t="s">
        <v>568</v>
      </c>
      <c r="O27" s="59"/>
    </row>
    <row r="28" spans="1:15" ht="15" customHeight="1">
      <c r="A28" s="59"/>
      <c r="B28" s="1251"/>
      <c r="C28" s="1252"/>
      <c r="D28" s="1253"/>
      <c r="E28" s="1255"/>
      <c r="F28" s="1241"/>
      <c r="G28" s="1241"/>
      <c r="H28" s="1241"/>
      <c r="I28" s="1241"/>
      <c r="J28" s="1241"/>
      <c r="K28" s="1241"/>
      <c r="L28" s="1241"/>
      <c r="M28" s="1257"/>
      <c r="N28" s="1257"/>
      <c r="O28" s="59"/>
    </row>
    <row r="29" spans="1:15" ht="15" customHeight="1">
      <c r="A29" s="59"/>
      <c r="B29" s="172" t="s">
        <v>40</v>
      </c>
      <c r="C29" s="147"/>
      <c r="D29" s="147"/>
      <c r="E29" s="147"/>
      <c r="F29" s="147"/>
      <c r="G29" s="147"/>
      <c r="H29" s="872" t="s">
        <v>569</v>
      </c>
      <c r="I29" s="147"/>
      <c r="J29" s="147"/>
      <c r="K29" s="872" t="s">
        <v>522</v>
      </c>
      <c r="L29" s="147"/>
      <c r="M29" s="147"/>
      <c r="N29" s="147"/>
      <c r="O29" s="59"/>
    </row>
    <row r="30" spans="1:15" ht="12.75" customHeight="1">
      <c r="A30" s="59"/>
      <c r="B30" s="813" t="s">
        <v>520</v>
      </c>
      <c r="C30" s="59"/>
      <c r="D30" s="59"/>
      <c r="E30" s="59"/>
      <c r="F30" s="59"/>
      <c r="G30" s="295"/>
      <c r="H30" s="875" t="s">
        <v>521</v>
      </c>
      <c r="I30" s="295"/>
      <c r="J30" s="295"/>
      <c r="K30" s="563" t="s">
        <v>437</v>
      </c>
      <c r="L30" s="295"/>
      <c r="M30" s="59"/>
      <c r="N30" s="59"/>
      <c r="O30" s="59"/>
    </row>
    <row r="31" spans="1:15" ht="13.5" customHeight="1"/>
    <row r="33" ht="12.75" customHeight="1"/>
    <row r="34" ht="12.75" customHeight="1"/>
    <row r="36" ht="12.75" customHeight="1"/>
    <row r="37" ht="13.5" customHeight="1"/>
  </sheetData>
  <mergeCells count="14">
    <mergeCell ref="A1:O1"/>
    <mergeCell ref="K27:K28"/>
    <mergeCell ref="L27:L28"/>
    <mergeCell ref="B2:N2"/>
    <mergeCell ref="B4:D4"/>
    <mergeCell ref="B27:D28"/>
    <mergeCell ref="E27:E28"/>
    <mergeCell ref="F27:F28"/>
    <mergeCell ref="G27:G28"/>
    <mergeCell ref="H27:H28"/>
    <mergeCell ref="M27:M28"/>
    <mergeCell ref="I27:I28"/>
    <mergeCell ref="J27:J28"/>
    <mergeCell ref="N27:N2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K20" sqref="K20"/>
    </sheetView>
  </sheetViews>
  <sheetFormatPr defaultColWidth="9.140625" defaultRowHeight="12.75"/>
  <cols>
    <col min="1" max="1" width="2.7109375" customWidth="1"/>
    <col min="2" max="2" width="7.7109375" customWidth="1"/>
    <col min="3" max="3" width="12.7109375" customWidth="1"/>
    <col min="4" max="10" width="14.7109375" customWidth="1"/>
    <col min="11" max="11" width="7.7109375" customWidth="1"/>
    <col min="12" max="12" width="2.7109375" customWidth="1"/>
  </cols>
  <sheetData>
    <row r="1" spans="1:12" ht="18" customHeight="1">
      <c r="A1" s="1232" t="s">
        <v>447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</row>
    <row r="2" spans="1:12" ht="27" customHeight="1">
      <c r="A2" s="62"/>
      <c r="B2" s="1242"/>
      <c r="C2" s="1243"/>
      <c r="D2" s="1243"/>
      <c r="E2" s="1243"/>
      <c r="F2" s="1243"/>
      <c r="G2" s="1243"/>
      <c r="H2" s="1243"/>
      <c r="I2" s="1243"/>
      <c r="J2" s="1243"/>
      <c r="K2" s="1244"/>
      <c r="L2" s="59"/>
    </row>
    <row r="3" spans="1:12" ht="20.100000000000001" customHeight="1">
      <c r="A3" s="62"/>
      <c r="B3" s="100"/>
      <c r="C3" s="1265" t="s">
        <v>41</v>
      </c>
      <c r="D3" s="1265"/>
      <c r="E3" s="1265"/>
      <c r="F3" s="1265"/>
      <c r="G3" s="1265"/>
      <c r="H3" s="1265"/>
      <c r="I3" s="1265"/>
      <c r="J3" s="1265"/>
      <c r="K3" s="108"/>
      <c r="L3" s="60"/>
    </row>
    <row r="4" spans="1:12" ht="20.100000000000001" customHeight="1">
      <c r="A4" s="62"/>
      <c r="B4" s="100"/>
      <c r="C4" s="377"/>
      <c r="D4" s="377"/>
      <c r="E4" s="377"/>
      <c r="F4" s="377"/>
      <c r="G4" s="377"/>
      <c r="H4" s="377"/>
      <c r="I4" s="377"/>
      <c r="J4" s="377"/>
      <c r="K4" s="108"/>
      <c r="L4" s="60"/>
    </row>
    <row r="5" spans="1:12" ht="20.100000000000001" customHeight="1">
      <c r="A5" s="62"/>
      <c r="B5" s="100"/>
      <c r="C5" s="1266" t="s">
        <v>42</v>
      </c>
      <c r="D5" s="1266"/>
      <c r="E5" s="1266"/>
      <c r="F5" s="1266"/>
      <c r="G5" s="1266"/>
      <c r="H5" s="1266"/>
      <c r="I5" s="1266"/>
      <c r="J5" s="1266"/>
      <c r="K5" s="108"/>
      <c r="L5" s="60"/>
    </row>
    <row r="6" spans="1:12" ht="21" customHeight="1">
      <c r="A6" s="62"/>
      <c r="B6" s="101"/>
      <c r="C6" s="1258" t="s">
        <v>43</v>
      </c>
      <c r="D6" s="1260" t="s">
        <v>44</v>
      </c>
      <c r="E6" s="1261"/>
      <c r="F6" s="1262"/>
      <c r="G6" s="1260" t="s">
        <v>45</v>
      </c>
      <c r="H6" s="1261"/>
      <c r="I6" s="1262"/>
      <c r="J6" s="1263" t="s">
        <v>46</v>
      </c>
      <c r="K6" s="105"/>
      <c r="L6" s="60"/>
    </row>
    <row r="7" spans="1:12" ht="21" customHeight="1">
      <c r="A7" s="62"/>
      <c r="B7" s="101"/>
      <c r="C7" s="1259"/>
      <c r="D7" s="308" t="s">
        <v>47</v>
      </c>
      <c r="E7" s="308" t="s">
        <v>48</v>
      </c>
      <c r="F7" s="308" t="s">
        <v>2</v>
      </c>
      <c r="G7" s="308" t="s">
        <v>49</v>
      </c>
      <c r="H7" s="308" t="s">
        <v>50</v>
      </c>
      <c r="I7" s="308" t="s">
        <v>2</v>
      </c>
      <c r="J7" s="1264"/>
      <c r="K7" s="105"/>
      <c r="L7" s="60"/>
    </row>
    <row r="8" spans="1:12" ht="20.100000000000001" customHeight="1">
      <c r="A8" s="62"/>
      <c r="B8" s="101"/>
      <c r="C8" s="307">
        <v>2004</v>
      </c>
      <c r="D8" s="7">
        <v>7723</v>
      </c>
      <c r="E8" s="7">
        <v>783</v>
      </c>
      <c r="F8" s="7">
        <f t="shared" ref="F8:F17" si="0">SUM(D8:E8)</f>
        <v>8506</v>
      </c>
      <c r="G8" s="7">
        <v>4290</v>
      </c>
      <c r="H8" s="7">
        <v>454</v>
      </c>
      <c r="I8" s="7">
        <f t="shared" ref="I8:I17" si="1">SUM(G8:H8)</f>
        <v>4744</v>
      </c>
      <c r="J8" s="8">
        <f t="shared" ref="J8:J17" si="2">F8+I8</f>
        <v>13250</v>
      </c>
      <c r="K8" s="105"/>
      <c r="L8" s="60"/>
    </row>
    <row r="9" spans="1:12" ht="20.100000000000001" customHeight="1">
      <c r="A9" s="62"/>
      <c r="B9" s="101"/>
      <c r="C9" s="309">
        <v>2005</v>
      </c>
      <c r="D9" s="7">
        <v>10872</v>
      </c>
      <c r="E9" s="7">
        <v>1172</v>
      </c>
      <c r="F9" s="7">
        <f t="shared" si="0"/>
        <v>12044</v>
      </c>
      <c r="G9" s="7">
        <v>3191</v>
      </c>
      <c r="H9" s="7">
        <v>182</v>
      </c>
      <c r="I9" s="7">
        <f t="shared" si="1"/>
        <v>3373</v>
      </c>
      <c r="J9" s="8">
        <f t="shared" si="2"/>
        <v>15417</v>
      </c>
      <c r="K9" s="105"/>
      <c r="L9" s="60"/>
    </row>
    <row r="10" spans="1:12" ht="20.100000000000001" customHeight="1">
      <c r="A10" s="62"/>
      <c r="B10" s="101"/>
      <c r="C10" s="309">
        <v>2006</v>
      </c>
      <c r="D10" s="7">
        <f>9278</f>
        <v>9278</v>
      </c>
      <c r="E10" s="7">
        <v>446</v>
      </c>
      <c r="F10" s="7">
        <f t="shared" si="0"/>
        <v>9724</v>
      </c>
      <c r="G10" s="7">
        <v>1949</v>
      </c>
      <c r="H10" s="7">
        <v>182</v>
      </c>
      <c r="I10" s="7">
        <f t="shared" si="1"/>
        <v>2131</v>
      </c>
      <c r="J10" s="8">
        <f t="shared" si="2"/>
        <v>11855</v>
      </c>
      <c r="K10" s="105"/>
      <c r="L10" s="60"/>
    </row>
    <row r="11" spans="1:12" ht="20.100000000000001" customHeight="1">
      <c r="A11" s="62"/>
      <c r="B11" s="101"/>
      <c r="C11" s="309">
        <v>2007</v>
      </c>
      <c r="D11" s="7">
        <f>16781</f>
        <v>16781</v>
      </c>
      <c r="E11" s="7">
        <v>803</v>
      </c>
      <c r="F11" s="7">
        <f t="shared" si="0"/>
        <v>17584</v>
      </c>
      <c r="G11" s="7">
        <v>704</v>
      </c>
      <c r="H11" s="7">
        <v>182</v>
      </c>
      <c r="I11" s="7">
        <f t="shared" si="1"/>
        <v>886</v>
      </c>
      <c r="J11" s="8">
        <f t="shared" si="2"/>
        <v>18470</v>
      </c>
      <c r="K11" s="105"/>
      <c r="L11" s="60"/>
    </row>
    <row r="12" spans="1:12" ht="20.100000000000001" customHeight="1">
      <c r="A12" s="62"/>
      <c r="B12" s="101"/>
      <c r="C12" s="309">
        <v>2008</v>
      </c>
      <c r="D12" s="7">
        <v>11490</v>
      </c>
      <c r="E12" s="7">
        <v>1013</v>
      </c>
      <c r="F12" s="7">
        <f t="shared" si="0"/>
        <v>12503</v>
      </c>
      <c r="G12" s="7">
        <v>521</v>
      </c>
      <c r="H12" s="7">
        <v>178</v>
      </c>
      <c r="I12" s="7">
        <f t="shared" si="1"/>
        <v>699</v>
      </c>
      <c r="J12" s="8">
        <f t="shared" si="2"/>
        <v>13202</v>
      </c>
      <c r="K12" s="105"/>
      <c r="L12" s="60"/>
    </row>
    <row r="13" spans="1:12" ht="20.100000000000001" customHeight="1">
      <c r="A13" s="62"/>
      <c r="B13" s="101"/>
      <c r="C13" s="309">
        <v>2009</v>
      </c>
      <c r="D13" s="7">
        <v>14005</v>
      </c>
      <c r="E13" s="7">
        <v>651</v>
      </c>
      <c r="F13" s="7">
        <f t="shared" si="0"/>
        <v>14656</v>
      </c>
      <c r="G13" s="7">
        <v>494</v>
      </c>
      <c r="H13" s="7">
        <v>616</v>
      </c>
      <c r="I13" s="7">
        <f t="shared" si="1"/>
        <v>1110</v>
      </c>
      <c r="J13" s="8">
        <f t="shared" si="2"/>
        <v>15766</v>
      </c>
      <c r="K13" s="105"/>
      <c r="L13" s="60"/>
    </row>
    <row r="14" spans="1:12" ht="20.100000000000001" customHeight="1">
      <c r="A14" s="62"/>
      <c r="B14" s="101"/>
      <c r="C14" s="309">
        <v>2010</v>
      </c>
      <c r="D14" s="7">
        <v>8245</v>
      </c>
      <c r="E14" s="7">
        <v>699</v>
      </c>
      <c r="F14" s="7">
        <f t="shared" si="0"/>
        <v>8944</v>
      </c>
      <c r="G14" s="7">
        <v>506</v>
      </c>
      <c r="H14" s="7">
        <v>1648</v>
      </c>
      <c r="I14" s="7">
        <f t="shared" si="1"/>
        <v>2154</v>
      </c>
      <c r="J14" s="8">
        <f t="shared" si="2"/>
        <v>11098</v>
      </c>
      <c r="K14" s="105"/>
      <c r="L14" s="60"/>
    </row>
    <row r="15" spans="1:12" ht="20.100000000000001" customHeight="1">
      <c r="A15" s="62"/>
      <c r="B15" s="101"/>
      <c r="C15" s="309">
        <v>2011</v>
      </c>
      <c r="D15" s="7">
        <v>8233</v>
      </c>
      <c r="E15" s="7">
        <v>1005</v>
      </c>
      <c r="F15" s="7">
        <f t="shared" si="0"/>
        <v>9238</v>
      </c>
      <c r="G15" s="7">
        <v>487</v>
      </c>
      <c r="H15" s="7">
        <v>1615</v>
      </c>
      <c r="I15" s="7">
        <f t="shared" si="1"/>
        <v>2102</v>
      </c>
      <c r="J15" s="8">
        <f t="shared" si="2"/>
        <v>11340</v>
      </c>
      <c r="K15" s="105"/>
      <c r="L15" s="60"/>
    </row>
    <row r="16" spans="1:12" ht="20.100000000000001" customHeight="1">
      <c r="A16" s="62"/>
      <c r="B16" s="101"/>
      <c r="C16" s="309">
        <v>2012</v>
      </c>
      <c r="D16" s="7">
        <v>7722</v>
      </c>
      <c r="E16" s="7">
        <v>693</v>
      </c>
      <c r="F16" s="7">
        <f t="shared" si="0"/>
        <v>8415</v>
      </c>
      <c r="G16" s="7">
        <v>33.418999999999997</v>
      </c>
      <c r="H16" s="7">
        <v>1614.56</v>
      </c>
      <c r="I16" s="7">
        <f t="shared" si="1"/>
        <v>1647.979</v>
      </c>
      <c r="J16" s="8">
        <f t="shared" si="2"/>
        <v>10062.978999999999</v>
      </c>
      <c r="K16" s="105"/>
      <c r="L16" s="59"/>
    </row>
    <row r="17" spans="1:12" ht="20.100000000000001" customHeight="1">
      <c r="A17" s="62"/>
      <c r="B17" s="101"/>
      <c r="C17" s="309">
        <v>2013</v>
      </c>
      <c r="D17" s="7">
        <v>12366</v>
      </c>
      <c r="E17" s="7">
        <v>1572</v>
      </c>
      <c r="F17" s="7">
        <f t="shared" si="0"/>
        <v>13938</v>
      </c>
      <c r="G17" s="7">
        <v>33.418999999999997</v>
      </c>
      <c r="H17" s="9">
        <v>1619.6645166666665</v>
      </c>
      <c r="I17" s="7">
        <f t="shared" si="1"/>
        <v>1653.0835166666666</v>
      </c>
      <c r="J17" s="8">
        <f t="shared" si="2"/>
        <v>15591.083516666666</v>
      </c>
      <c r="K17" s="105"/>
      <c r="L17" s="59"/>
    </row>
    <row r="18" spans="1:12" ht="20.100000000000001" customHeight="1">
      <c r="A18" s="62"/>
      <c r="B18" s="101"/>
      <c r="C18" s="309">
        <v>2014</v>
      </c>
      <c r="D18" s="9">
        <v>14163</v>
      </c>
      <c r="E18" s="9">
        <v>1055</v>
      </c>
      <c r="F18" s="7">
        <f>SUM(D18:E18)</f>
        <v>15218</v>
      </c>
      <c r="G18" s="7">
        <v>33.418999999999997</v>
      </c>
      <c r="H18" s="9">
        <v>1619.6645166666665</v>
      </c>
      <c r="I18" s="7">
        <f>SUM(G18:H18)</f>
        <v>1653.0835166666666</v>
      </c>
      <c r="J18" s="8">
        <f>F18+I18</f>
        <v>16871.083516666666</v>
      </c>
      <c r="K18" s="105"/>
      <c r="L18" s="59"/>
    </row>
    <row r="19" spans="1:12" ht="20.100000000000001" customHeight="1">
      <c r="A19" s="62"/>
      <c r="B19" s="101"/>
      <c r="C19" s="309">
        <v>2015</v>
      </c>
      <c r="D19" s="9">
        <v>12983</v>
      </c>
      <c r="E19" s="9">
        <v>1386.03</v>
      </c>
      <c r="F19" s="7">
        <f>SUM(D19:E19)</f>
        <v>14369.03</v>
      </c>
      <c r="G19" s="7">
        <v>0</v>
      </c>
      <c r="H19" s="9">
        <v>1546.817</v>
      </c>
      <c r="I19" s="7">
        <f>SUM(G19:H19)</f>
        <v>1546.817</v>
      </c>
      <c r="J19" s="8">
        <f>F19+I19</f>
        <v>15915.847000000002</v>
      </c>
      <c r="K19" s="105"/>
      <c r="L19" s="59"/>
    </row>
    <row r="20" spans="1:12" ht="20.100000000000001" customHeight="1">
      <c r="A20" s="62"/>
      <c r="B20" s="101"/>
      <c r="C20" s="309">
        <v>2016</v>
      </c>
      <c r="D20" s="9">
        <v>12983</v>
      </c>
      <c r="E20" s="9">
        <v>1386.03</v>
      </c>
      <c r="F20" s="7">
        <f>SUM(D20:E20)</f>
        <v>14369.03</v>
      </c>
      <c r="G20" s="7">
        <v>0</v>
      </c>
      <c r="H20" s="9">
        <v>1427.817</v>
      </c>
      <c r="I20" s="7">
        <f>SUM(G20:H20)</f>
        <v>1427.817</v>
      </c>
      <c r="J20" s="8">
        <f>F20+I20</f>
        <v>15796.847000000002</v>
      </c>
      <c r="K20" s="105"/>
      <c r="L20" s="59"/>
    </row>
    <row r="21" spans="1:12" ht="20.100000000000001" customHeight="1">
      <c r="A21" s="62"/>
      <c r="B21" s="101"/>
      <c r="C21" s="129" t="s">
        <v>51</v>
      </c>
      <c r="D21" s="130"/>
      <c r="E21" s="130"/>
      <c r="F21" s="130"/>
      <c r="G21" s="130"/>
      <c r="H21" s="130"/>
      <c r="I21" s="130"/>
      <c r="J21" s="130"/>
      <c r="K21" s="105"/>
      <c r="L21" s="59"/>
    </row>
    <row r="22" spans="1:12" ht="20.100000000000001" customHeight="1">
      <c r="A22" s="62"/>
      <c r="B22" s="119"/>
      <c r="C22" s="449" t="s">
        <v>528</v>
      </c>
      <c r="D22" s="112"/>
      <c r="E22" s="120"/>
      <c r="F22" s="112"/>
      <c r="G22" s="120"/>
      <c r="H22" s="112"/>
      <c r="I22" s="112"/>
      <c r="J22" s="112"/>
      <c r="K22" s="131"/>
      <c r="L22" s="59"/>
    </row>
    <row r="23" spans="1:12" ht="17.25" customHeight="1">
      <c r="A23" s="62"/>
      <c r="B23" s="114"/>
      <c r="C23" s="186"/>
      <c r="D23" s="115"/>
      <c r="E23" s="115"/>
      <c r="F23" s="115"/>
      <c r="G23" s="115"/>
      <c r="H23" s="115"/>
      <c r="I23" s="115"/>
      <c r="J23" s="115"/>
      <c r="K23" s="133"/>
      <c r="L23" s="59"/>
    </row>
    <row r="24" spans="1:12" ht="18" customHeight="1">
      <c r="A24" s="59"/>
      <c r="B24" s="59"/>
      <c r="C24" s="187"/>
      <c r="D24" s="59"/>
      <c r="E24" s="59"/>
      <c r="F24" s="59"/>
      <c r="G24" s="59"/>
      <c r="H24" s="59"/>
      <c r="I24" s="59"/>
      <c r="J24" s="59"/>
      <c r="K24" s="59"/>
      <c r="L24" s="59"/>
    </row>
    <row r="25" spans="1:12">
      <c r="C25" s="4"/>
    </row>
  </sheetData>
  <mergeCells count="8">
    <mergeCell ref="A1:L1"/>
    <mergeCell ref="B2:K2"/>
    <mergeCell ref="C6:C7"/>
    <mergeCell ref="D6:F6"/>
    <mergeCell ref="G6:I6"/>
    <mergeCell ref="J6:J7"/>
    <mergeCell ref="C3:J3"/>
    <mergeCell ref="C5:J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Q22" sqref="Q22"/>
    </sheetView>
  </sheetViews>
  <sheetFormatPr defaultRowHeight="12.75"/>
  <cols>
    <col min="1" max="1" width="2.7109375" customWidth="1"/>
    <col min="2" max="2" width="13.28515625" customWidth="1"/>
    <col min="3" max="3" width="8.28515625" customWidth="1"/>
    <col min="4" max="4" width="8.140625" customWidth="1"/>
    <col min="5" max="5" width="8.28515625" customWidth="1"/>
    <col min="6" max="6" width="8.140625" customWidth="1"/>
    <col min="7" max="7" width="8.28515625" customWidth="1"/>
    <col min="8" max="8" width="12.7109375" customWidth="1"/>
    <col min="9" max="9" width="10.28515625" customWidth="1"/>
    <col min="10" max="10" width="8.42578125" customWidth="1"/>
    <col min="11" max="11" width="11.42578125" bestFit="1" customWidth="1"/>
    <col min="12" max="12" width="14" customWidth="1"/>
    <col min="13" max="13" width="9.28515625" customWidth="1"/>
    <col min="14" max="14" width="10.140625" bestFit="1" customWidth="1"/>
    <col min="15" max="15" width="2.7109375" customWidth="1"/>
    <col min="251" max="251" width="3.28515625" customWidth="1"/>
    <col min="252" max="252" width="13.28515625" customWidth="1"/>
    <col min="253" max="253" width="8.28515625" customWidth="1"/>
    <col min="254" max="254" width="8.140625" customWidth="1"/>
    <col min="255" max="255" width="8.28515625" customWidth="1"/>
    <col min="256" max="256" width="8.140625" customWidth="1"/>
    <col min="257" max="258" width="8.28515625" customWidth="1"/>
    <col min="259" max="259" width="12.7109375" customWidth="1"/>
    <col min="260" max="260" width="10.28515625" customWidth="1"/>
    <col min="261" max="261" width="8.42578125" customWidth="1"/>
    <col min="262" max="262" width="11.42578125" bestFit="1" customWidth="1"/>
    <col min="263" max="263" width="14" customWidth="1"/>
    <col min="264" max="264" width="11" bestFit="1" customWidth="1"/>
    <col min="265" max="265" width="10.140625" bestFit="1" customWidth="1"/>
    <col min="266" max="266" width="3.28515625" customWidth="1"/>
    <col min="267" max="267" width="8.85546875" bestFit="1" customWidth="1"/>
    <col min="507" max="507" width="3.28515625" customWidth="1"/>
    <col min="508" max="508" width="13.28515625" customWidth="1"/>
    <col min="509" max="509" width="8.28515625" customWidth="1"/>
    <col min="510" max="510" width="8.140625" customWidth="1"/>
    <col min="511" max="511" width="8.28515625" customWidth="1"/>
    <col min="512" max="512" width="8.140625" customWidth="1"/>
    <col min="513" max="514" width="8.28515625" customWidth="1"/>
    <col min="515" max="515" width="12.7109375" customWidth="1"/>
    <col min="516" max="516" width="10.28515625" customWidth="1"/>
    <col min="517" max="517" width="8.42578125" customWidth="1"/>
    <col min="518" max="518" width="11.42578125" bestFit="1" customWidth="1"/>
    <col min="519" max="519" width="14" customWidth="1"/>
    <col min="520" max="520" width="11" bestFit="1" customWidth="1"/>
    <col min="521" max="521" width="10.140625" bestFit="1" customWidth="1"/>
    <col min="522" max="522" width="3.28515625" customWidth="1"/>
    <col min="523" max="523" width="8.85546875" bestFit="1" customWidth="1"/>
    <col min="763" max="763" width="3.28515625" customWidth="1"/>
    <col min="764" max="764" width="13.28515625" customWidth="1"/>
    <col min="765" max="765" width="8.28515625" customWidth="1"/>
    <col min="766" max="766" width="8.140625" customWidth="1"/>
    <col min="767" max="767" width="8.28515625" customWidth="1"/>
    <col min="768" max="768" width="8.140625" customWidth="1"/>
    <col min="769" max="770" width="8.28515625" customWidth="1"/>
    <col min="771" max="771" width="12.7109375" customWidth="1"/>
    <col min="772" max="772" width="10.28515625" customWidth="1"/>
    <col min="773" max="773" width="8.42578125" customWidth="1"/>
    <col min="774" max="774" width="11.42578125" bestFit="1" customWidth="1"/>
    <col min="775" max="775" width="14" customWidth="1"/>
    <col min="776" max="776" width="11" bestFit="1" customWidth="1"/>
    <col min="777" max="777" width="10.140625" bestFit="1" customWidth="1"/>
    <col min="778" max="778" width="3.28515625" customWidth="1"/>
    <col min="779" max="779" width="8.85546875" bestFit="1" customWidth="1"/>
    <col min="1019" max="1019" width="3.28515625" customWidth="1"/>
    <col min="1020" max="1020" width="13.28515625" customWidth="1"/>
    <col min="1021" max="1021" width="8.28515625" customWidth="1"/>
    <col min="1022" max="1022" width="8.140625" customWidth="1"/>
    <col min="1023" max="1023" width="8.28515625" customWidth="1"/>
    <col min="1024" max="1024" width="8.140625" customWidth="1"/>
    <col min="1025" max="1026" width="8.28515625" customWidth="1"/>
    <col min="1027" max="1027" width="12.7109375" customWidth="1"/>
    <col min="1028" max="1028" width="10.28515625" customWidth="1"/>
    <col min="1029" max="1029" width="8.42578125" customWidth="1"/>
    <col min="1030" max="1030" width="11.42578125" bestFit="1" customWidth="1"/>
    <col min="1031" max="1031" width="14" customWidth="1"/>
    <col min="1032" max="1032" width="11" bestFit="1" customWidth="1"/>
    <col min="1033" max="1033" width="10.140625" bestFit="1" customWidth="1"/>
    <col min="1034" max="1034" width="3.28515625" customWidth="1"/>
    <col min="1035" max="1035" width="8.85546875" bestFit="1" customWidth="1"/>
    <col min="1275" max="1275" width="3.28515625" customWidth="1"/>
    <col min="1276" max="1276" width="13.28515625" customWidth="1"/>
    <col min="1277" max="1277" width="8.28515625" customWidth="1"/>
    <col min="1278" max="1278" width="8.140625" customWidth="1"/>
    <col min="1279" max="1279" width="8.28515625" customWidth="1"/>
    <col min="1280" max="1280" width="8.140625" customWidth="1"/>
    <col min="1281" max="1282" width="8.28515625" customWidth="1"/>
    <col min="1283" max="1283" width="12.7109375" customWidth="1"/>
    <col min="1284" max="1284" width="10.28515625" customWidth="1"/>
    <col min="1285" max="1285" width="8.42578125" customWidth="1"/>
    <col min="1286" max="1286" width="11.42578125" bestFit="1" customWidth="1"/>
    <col min="1287" max="1287" width="14" customWidth="1"/>
    <col min="1288" max="1288" width="11" bestFit="1" customWidth="1"/>
    <col min="1289" max="1289" width="10.140625" bestFit="1" customWidth="1"/>
    <col min="1290" max="1290" width="3.28515625" customWidth="1"/>
    <col min="1291" max="1291" width="8.85546875" bestFit="1" customWidth="1"/>
    <col min="1531" max="1531" width="3.28515625" customWidth="1"/>
    <col min="1532" max="1532" width="13.28515625" customWidth="1"/>
    <col min="1533" max="1533" width="8.28515625" customWidth="1"/>
    <col min="1534" max="1534" width="8.140625" customWidth="1"/>
    <col min="1535" max="1535" width="8.28515625" customWidth="1"/>
    <col min="1536" max="1536" width="8.140625" customWidth="1"/>
    <col min="1537" max="1538" width="8.28515625" customWidth="1"/>
    <col min="1539" max="1539" width="12.7109375" customWidth="1"/>
    <col min="1540" max="1540" width="10.28515625" customWidth="1"/>
    <col min="1541" max="1541" width="8.42578125" customWidth="1"/>
    <col min="1542" max="1542" width="11.42578125" bestFit="1" customWidth="1"/>
    <col min="1543" max="1543" width="14" customWidth="1"/>
    <col min="1544" max="1544" width="11" bestFit="1" customWidth="1"/>
    <col min="1545" max="1545" width="10.140625" bestFit="1" customWidth="1"/>
    <col min="1546" max="1546" width="3.28515625" customWidth="1"/>
    <col min="1547" max="1547" width="8.85546875" bestFit="1" customWidth="1"/>
    <col min="1787" max="1787" width="3.28515625" customWidth="1"/>
    <col min="1788" max="1788" width="13.28515625" customWidth="1"/>
    <col min="1789" max="1789" width="8.28515625" customWidth="1"/>
    <col min="1790" max="1790" width="8.140625" customWidth="1"/>
    <col min="1791" max="1791" width="8.28515625" customWidth="1"/>
    <col min="1792" max="1792" width="8.140625" customWidth="1"/>
    <col min="1793" max="1794" width="8.28515625" customWidth="1"/>
    <col min="1795" max="1795" width="12.7109375" customWidth="1"/>
    <col min="1796" max="1796" width="10.28515625" customWidth="1"/>
    <col min="1797" max="1797" width="8.42578125" customWidth="1"/>
    <col min="1798" max="1798" width="11.42578125" bestFit="1" customWidth="1"/>
    <col min="1799" max="1799" width="14" customWidth="1"/>
    <col min="1800" max="1800" width="11" bestFit="1" customWidth="1"/>
    <col min="1801" max="1801" width="10.140625" bestFit="1" customWidth="1"/>
    <col min="1802" max="1802" width="3.28515625" customWidth="1"/>
    <col min="1803" max="1803" width="8.85546875" bestFit="1" customWidth="1"/>
    <col min="2043" max="2043" width="3.28515625" customWidth="1"/>
    <col min="2044" max="2044" width="13.28515625" customWidth="1"/>
    <col min="2045" max="2045" width="8.28515625" customWidth="1"/>
    <col min="2046" max="2046" width="8.140625" customWidth="1"/>
    <col min="2047" max="2047" width="8.28515625" customWidth="1"/>
    <col min="2048" max="2048" width="8.140625" customWidth="1"/>
    <col min="2049" max="2050" width="8.28515625" customWidth="1"/>
    <col min="2051" max="2051" width="12.7109375" customWidth="1"/>
    <col min="2052" max="2052" width="10.28515625" customWidth="1"/>
    <col min="2053" max="2053" width="8.42578125" customWidth="1"/>
    <col min="2054" max="2054" width="11.42578125" bestFit="1" customWidth="1"/>
    <col min="2055" max="2055" width="14" customWidth="1"/>
    <col min="2056" max="2056" width="11" bestFit="1" customWidth="1"/>
    <col min="2057" max="2057" width="10.140625" bestFit="1" customWidth="1"/>
    <col min="2058" max="2058" width="3.28515625" customWidth="1"/>
    <col min="2059" max="2059" width="8.85546875" bestFit="1" customWidth="1"/>
    <col min="2299" max="2299" width="3.28515625" customWidth="1"/>
    <col min="2300" max="2300" width="13.28515625" customWidth="1"/>
    <col min="2301" max="2301" width="8.28515625" customWidth="1"/>
    <col min="2302" max="2302" width="8.140625" customWidth="1"/>
    <col min="2303" max="2303" width="8.28515625" customWidth="1"/>
    <col min="2304" max="2304" width="8.140625" customWidth="1"/>
    <col min="2305" max="2306" width="8.28515625" customWidth="1"/>
    <col min="2307" max="2307" width="12.7109375" customWidth="1"/>
    <col min="2308" max="2308" width="10.28515625" customWidth="1"/>
    <col min="2309" max="2309" width="8.42578125" customWidth="1"/>
    <col min="2310" max="2310" width="11.42578125" bestFit="1" customWidth="1"/>
    <col min="2311" max="2311" width="14" customWidth="1"/>
    <col min="2312" max="2312" width="11" bestFit="1" customWidth="1"/>
    <col min="2313" max="2313" width="10.140625" bestFit="1" customWidth="1"/>
    <col min="2314" max="2314" width="3.28515625" customWidth="1"/>
    <col min="2315" max="2315" width="8.85546875" bestFit="1" customWidth="1"/>
    <col min="2555" max="2555" width="3.28515625" customWidth="1"/>
    <col min="2556" max="2556" width="13.28515625" customWidth="1"/>
    <col min="2557" max="2557" width="8.28515625" customWidth="1"/>
    <col min="2558" max="2558" width="8.140625" customWidth="1"/>
    <col min="2559" max="2559" width="8.28515625" customWidth="1"/>
    <col min="2560" max="2560" width="8.140625" customWidth="1"/>
    <col min="2561" max="2562" width="8.28515625" customWidth="1"/>
    <col min="2563" max="2563" width="12.7109375" customWidth="1"/>
    <col min="2564" max="2564" width="10.28515625" customWidth="1"/>
    <col min="2565" max="2565" width="8.42578125" customWidth="1"/>
    <col min="2566" max="2566" width="11.42578125" bestFit="1" customWidth="1"/>
    <col min="2567" max="2567" width="14" customWidth="1"/>
    <col min="2568" max="2568" width="11" bestFit="1" customWidth="1"/>
    <col min="2569" max="2569" width="10.140625" bestFit="1" customWidth="1"/>
    <col min="2570" max="2570" width="3.28515625" customWidth="1"/>
    <col min="2571" max="2571" width="8.85546875" bestFit="1" customWidth="1"/>
    <col min="2811" max="2811" width="3.28515625" customWidth="1"/>
    <col min="2812" max="2812" width="13.28515625" customWidth="1"/>
    <col min="2813" max="2813" width="8.28515625" customWidth="1"/>
    <col min="2814" max="2814" width="8.140625" customWidth="1"/>
    <col min="2815" max="2815" width="8.28515625" customWidth="1"/>
    <col min="2816" max="2816" width="8.140625" customWidth="1"/>
    <col min="2817" max="2818" width="8.28515625" customWidth="1"/>
    <col min="2819" max="2819" width="12.7109375" customWidth="1"/>
    <col min="2820" max="2820" width="10.28515625" customWidth="1"/>
    <col min="2821" max="2821" width="8.42578125" customWidth="1"/>
    <col min="2822" max="2822" width="11.42578125" bestFit="1" customWidth="1"/>
    <col min="2823" max="2823" width="14" customWidth="1"/>
    <col min="2824" max="2824" width="11" bestFit="1" customWidth="1"/>
    <col min="2825" max="2825" width="10.140625" bestFit="1" customWidth="1"/>
    <col min="2826" max="2826" width="3.28515625" customWidth="1"/>
    <col min="2827" max="2827" width="8.85546875" bestFit="1" customWidth="1"/>
    <col min="3067" max="3067" width="3.28515625" customWidth="1"/>
    <col min="3068" max="3068" width="13.28515625" customWidth="1"/>
    <col min="3069" max="3069" width="8.28515625" customWidth="1"/>
    <col min="3070" max="3070" width="8.140625" customWidth="1"/>
    <col min="3071" max="3071" width="8.28515625" customWidth="1"/>
    <col min="3072" max="3072" width="8.140625" customWidth="1"/>
    <col min="3073" max="3074" width="8.28515625" customWidth="1"/>
    <col min="3075" max="3075" width="12.7109375" customWidth="1"/>
    <col min="3076" max="3076" width="10.28515625" customWidth="1"/>
    <col min="3077" max="3077" width="8.42578125" customWidth="1"/>
    <col min="3078" max="3078" width="11.42578125" bestFit="1" customWidth="1"/>
    <col min="3079" max="3079" width="14" customWidth="1"/>
    <col min="3080" max="3080" width="11" bestFit="1" customWidth="1"/>
    <col min="3081" max="3081" width="10.140625" bestFit="1" customWidth="1"/>
    <col min="3082" max="3082" width="3.28515625" customWidth="1"/>
    <col min="3083" max="3083" width="8.85546875" bestFit="1" customWidth="1"/>
    <col min="3323" max="3323" width="3.28515625" customWidth="1"/>
    <col min="3324" max="3324" width="13.28515625" customWidth="1"/>
    <col min="3325" max="3325" width="8.28515625" customWidth="1"/>
    <col min="3326" max="3326" width="8.140625" customWidth="1"/>
    <col min="3327" max="3327" width="8.28515625" customWidth="1"/>
    <col min="3328" max="3328" width="8.140625" customWidth="1"/>
    <col min="3329" max="3330" width="8.28515625" customWidth="1"/>
    <col min="3331" max="3331" width="12.7109375" customWidth="1"/>
    <col min="3332" max="3332" width="10.28515625" customWidth="1"/>
    <col min="3333" max="3333" width="8.42578125" customWidth="1"/>
    <col min="3334" max="3334" width="11.42578125" bestFit="1" customWidth="1"/>
    <col min="3335" max="3335" width="14" customWidth="1"/>
    <col min="3336" max="3336" width="11" bestFit="1" customWidth="1"/>
    <col min="3337" max="3337" width="10.140625" bestFit="1" customWidth="1"/>
    <col min="3338" max="3338" width="3.28515625" customWidth="1"/>
    <col min="3339" max="3339" width="8.85546875" bestFit="1" customWidth="1"/>
    <col min="3579" max="3579" width="3.28515625" customWidth="1"/>
    <col min="3580" max="3580" width="13.28515625" customWidth="1"/>
    <col min="3581" max="3581" width="8.28515625" customWidth="1"/>
    <col min="3582" max="3582" width="8.140625" customWidth="1"/>
    <col min="3583" max="3583" width="8.28515625" customWidth="1"/>
    <col min="3584" max="3584" width="8.140625" customWidth="1"/>
    <col min="3585" max="3586" width="8.28515625" customWidth="1"/>
    <col min="3587" max="3587" width="12.7109375" customWidth="1"/>
    <col min="3588" max="3588" width="10.28515625" customWidth="1"/>
    <col min="3589" max="3589" width="8.42578125" customWidth="1"/>
    <col min="3590" max="3590" width="11.42578125" bestFit="1" customWidth="1"/>
    <col min="3591" max="3591" width="14" customWidth="1"/>
    <col min="3592" max="3592" width="11" bestFit="1" customWidth="1"/>
    <col min="3593" max="3593" width="10.140625" bestFit="1" customWidth="1"/>
    <col min="3594" max="3594" width="3.28515625" customWidth="1"/>
    <col min="3595" max="3595" width="8.85546875" bestFit="1" customWidth="1"/>
    <col min="3835" max="3835" width="3.28515625" customWidth="1"/>
    <col min="3836" max="3836" width="13.28515625" customWidth="1"/>
    <col min="3837" max="3837" width="8.28515625" customWidth="1"/>
    <col min="3838" max="3838" width="8.140625" customWidth="1"/>
    <col min="3839" max="3839" width="8.28515625" customWidth="1"/>
    <col min="3840" max="3840" width="8.140625" customWidth="1"/>
    <col min="3841" max="3842" width="8.28515625" customWidth="1"/>
    <col min="3843" max="3843" width="12.7109375" customWidth="1"/>
    <col min="3844" max="3844" width="10.28515625" customWidth="1"/>
    <col min="3845" max="3845" width="8.42578125" customWidth="1"/>
    <col min="3846" max="3846" width="11.42578125" bestFit="1" customWidth="1"/>
    <col min="3847" max="3847" width="14" customWidth="1"/>
    <col min="3848" max="3848" width="11" bestFit="1" customWidth="1"/>
    <col min="3849" max="3849" width="10.140625" bestFit="1" customWidth="1"/>
    <col min="3850" max="3850" width="3.28515625" customWidth="1"/>
    <col min="3851" max="3851" width="8.85546875" bestFit="1" customWidth="1"/>
    <col min="4091" max="4091" width="3.28515625" customWidth="1"/>
    <col min="4092" max="4092" width="13.28515625" customWidth="1"/>
    <col min="4093" max="4093" width="8.28515625" customWidth="1"/>
    <col min="4094" max="4094" width="8.140625" customWidth="1"/>
    <col min="4095" max="4095" width="8.28515625" customWidth="1"/>
    <col min="4096" max="4096" width="8.140625" customWidth="1"/>
    <col min="4097" max="4098" width="8.28515625" customWidth="1"/>
    <col min="4099" max="4099" width="12.7109375" customWidth="1"/>
    <col min="4100" max="4100" width="10.28515625" customWidth="1"/>
    <col min="4101" max="4101" width="8.42578125" customWidth="1"/>
    <col min="4102" max="4102" width="11.42578125" bestFit="1" customWidth="1"/>
    <col min="4103" max="4103" width="14" customWidth="1"/>
    <col min="4104" max="4104" width="11" bestFit="1" customWidth="1"/>
    <col min="4105" max="4105" width="10.140625" bestFit="1" customWidth="1"/>
    <col min="4106" max="4106" width="3.28515625" customWidth="1"/>
    <col min="4107" max="4107" width="8.85546875" bestFit="1" customWidth="1"/>
    <col min="4347" max="4347" width="3.28515625" customWidth="1"/>
    <col min="4348" max="4348" width="13.28515625" customWidth="1"/>
    <col min="4349" max="4349" width="8.28515625" customWidth="1"/>
    <col min="4350" max="4350" width="8.140625" customWidth="1"/>
    <col min="4351" max="4351" width="8.28515625" customWidth="1"/>
    <col min="4352" max="4352" width="8.140625" customWidth="1"/>
    <col min="4353" max="4354" width="8.28515625" customWidth="1"/>
    <col min="4355" max="4355" width="12.7109375" customWidth="1"/>
    <col min="4356" max="4356" width="10.28515625" customWidth="1"/>
    <col min="4357" max="4357" width="8.42578125" customWidth="1"/>
    <col min="4358" max="4358" width="11.42578125" bestFit="1" customWidth="1"/>
    <col min="4359" max="4359" width="14" customWidth="1"/>
    <col min="4360" max="4360" width="11" bestFit="1" customWidth="1"/>
    <col min="4361" max="4361" width="10.140625" bestFit="1" customWidth="1"/>
    <col min="4362" max="4362" width="3.28515625" customWidth="1"/>
    <col min="4363" max="4363" width="8.85546875" bestFit="1" customWidth="1"/>
    <col min="4603" max="4603" width="3.28515625" customWidth="1"/>
    <col min="4604" max="4604" width="13.28515625" customWidth="1"/>
    <col min="4605" max="4605" width="8.28515625" customWidth="1"/>
    <col min="4606" max="4606" width="8.140625" customWidth="1"/>
    <col min="4607" max="4607" width="8.28515625" customWidth="1"/>
    <col min="4608" max="4608" width="8.140625" customWidth="1"/>
    <col min="4609" max="4610" width="8.28515625" customWidth="1"/>
    <col min="4611" max="4611" width="12.7109375" customWidth="1"/>
    <col min="4612" max="4612" width="10.28515625" customWidth="1"/>
    <col min="4613" max="4613" width="8.42578125" customWidth="1"/>
    <col min="4614" max="4614" width="11.42578125" bestFit="1" customWidth="1"/>
    <col min="4615" max="4615" width="14" customWidth="1"/>
    <col min="4616" max="4616" width="11" bestFit="1" customWidth="1"/>
    <col min="4617" max="4617" width="10.140625" bestFit="1" customWidth="1"/>
    <col min="4618" max="4618" width="3.28515625" customWidth="1"/>
    <col min="4619" max="4619" width="8.85546875" bestFit="1" customWidth="1"/>
    <col min="4859" max="4859" width="3.28515625" customWidth="1"/>
    <col min="4860" max="4860" width="13.28515625" customWidth="1"/>
    <col min="4861" max="4861" width="8.28515625" customWidth="1"/>
    <col min="4862" max="4862" width="8.140625" customWidth="1"/>
    <col min="4863" max="4863" width="8.28515625" customWidth="1"/>
    <col min="4864" max="4864" width="8.140625" customWidth="1"/>
    <col min="4865" max="4866" width="8.28515625" customWidth="1"/>
    <col min="4867" max="4867" width="12.7109375" customWidth="1"/>
    <col min="4868" max="4868" width="10.28515625" customWidth="1"/>
    <col min="4869" max="4869" width="8.42578125" customWidth="1"/>
    <col min="4870" max="4870" width="11.42578125" bestFit="1" customWidth="1"/>
    <col min="4871" max="4871" width="14" customWidth="1"/>
    <col min="4872" max="4872" width="11" bestFit="1" customWidth="1"/>
    <col min="4873" max="4873" width="10.140625" bestFit="1" customWidth="1"/>
    <col min="4874" max="4874" width="3.28515625" customWidth="1"/>
    <col min="4875" max="4875" width="8.85546875" bestFit="1" customWidth="1"/>
    <col min="5115" max="5115" width="3.28515625" customWidth="1"/>
    <col min="5116" max="5116" width="13.28515625" customWidth="1"/>
    <col min="5117" max="5117" width="8.28515625" customWidth="1"/>
    <col min="5118" max="5118" width="8.140625" customWidth="1"/>
    <col min="5119" max="5119" width="8.28515625" customWidth="1"/>
    <col min="5120" max="5120" width="8.140625" customWidth="1"/>
    <col min="5121" max="5122" width="8.28515625" customWidth="1"/>
    <col min="5123" max="5123" width="12.7109375" customWidth="1"/>
    <col min="5124" max="5124" width="10.28515625" customWidth="1"/>
    <col min="5125" max="5125" width="8.42578125" customWidth="1"/>
    <col min="5126" max="5126" width="11.42578125" bestFit="1" customWidth="1"/>
    <col min="5127" max="5127" width="14" customWidth="1"/>
    <col min="5128" max="5128" width="11" bestFit="1" customWidth="1"/>
    <col min="5129" max="5129" width="10.140625" bestFit="1" customWidth="1"/>
    <col min="5130" max="5130" width="3.28515625" customWidth="1"/>
    <col min="5131" max="5131" width="8.85546875" bestFit="1" customWidth="1"/>
    <col min="5371" max="5371" width="3.28515625" customWidth="1"/>
    <col min="5372" max="5372" width="13.28515625" customWidth="1"/>
    <col min="5373" max="5373" width="8.28515625" customWidth="1"/>
    <col min="5374" max="5374" width="8.140625" customWidth="1"/>
    <col min="5375" max="5375" width="8.28515625" customWidth="1"/>
    <col min="5376" max="5376" width="8.140625" customWidth="1"/>
    <col min="5377" max="5378" width="8.28515625" customWidth="1"/>
    <col min="5379" max="5379" width="12.7109375" customWidth="1"/>
    <col min="5380" max="5380" width="10.28515625" customWidth="1"/>
    <col min="5381" max="5381" width="8.42578125" customWidth="1"/>
    <col min="5382" max="5382" width="11.42578125" bestFit="1" customWidth="1"/>
    <col min="5383" max="5383" width="14" customWidth="1"/>
    <col min="5384" max="5384" width="11" bestFit="1" customWidth="1"/>
    <col min="5385" max="5385" width="10.140625" bestFit="1" customWidth="1"/>
    <col min="5386" max="5386" width="3.28515625" customWidth="1"/>
    <col min="5387" max="5387" width="8.85546875" bestFit="1" customWidth="1"/>
    <col min="5627" max="5627" width="3.28515625" customWidth="1"/>
    <col min="5628" max="5628" width="13.28515625" customWidth="1"/>
    <col min="5629" max="5629" width="8.28515625" customWidth="1"/>
    <col min="5630" max="5630" width="8.140625" customWidth="1"/>
    <col min="5631" max="5631" width="8.28515625" customWidth="1"/>
    <col min="5632" max="5632" width="8.140625" customWidth="1"/>
    <col min="5633" max="5634" width="8.28515625" customWidth="1"/>
    <col min="5635" max="5635" width="12.7109375" customWidth="1"/>
    <col min="5636" max="5636" width="10.28515625" customWidth="1"/>
    <col min="5637" max="5637" width="8.42578125" customWidth="1"/>
    <col min="5638" max="5638" width="11.42578125" bestFit="1" customWidth="1"/>
    <col min="5639" max="5639" width="14" customWidth="1"/>
    <col min="5640" max="5640" width="11" bestFit="1" customWidth="1"/>
    <col min="5641" max="5641" width="10.140625" bestFit="1" customWidth="1"/>
    <col min="5642" max="5642" width="3.28515625" customWidth="1"/>
    <col min="5643" max="5643" width="8.85546875" bestFit="1" customWidth="1"/>
    <col min="5883" max="5883" width="3.28515625" customWidth="1"/>
    <col min="5884" max="5884" width="13.28515625" customWidth="1"/>
    <col min="5885" max="5885" width="8.28515625" customWidth="1"/>
    <col min="5886" max="5886" width="8.140625" customWidth="1"/>
    <col min="5887" max="5887" width="8.28515625" customWidth="1"/>
    <col min="5888" max="5888" width="8.140625" customWidth="1"/>
    <col min="5889" max="5890" width="8.28515625" customWidth="1"/>
    <col min="5891" max="5891" width="12.7109375" customWidth="1"/>
    <col min="5892" max="5892" width="10.28515625" customWidth="1"/>
    <col min="5893" max="5893" width="8.42578125" customWidth="1"/>
    <col min="5894" max="5894" width="11.42578125" bestFit="1" customWidth="1"/>
    <col min="5895" max="5895" width="14" customWidth="1"/>
    <col min="5896" max="5896" width="11" bestFit="1" customWidth="1"/>
    <col min="5897" max="5897" width="10.140625" bestFit="1" customWidth="1"/>
    <col min="5898" max="5898" width="3.28515625" customWidth="1"/>
    <col min="5899" max="5899" width="8.85546875" bestFit="1" customWidth="1"/>
    <col min="6139" max="6139" width="3.28515625" customWidth="1"/>
    <col min="6140" max="6140" width="13.28515625" customWidth="1"/>
    <col min="6141" max="6141" width="8.28515625" customWidth="1"/>
    <col min="6142" max="6142" width="8.140625" customWidth="1"/>
    <col min="6143" max="6143" width="8.28515625" customWidth="1"/>
    <col min="6144" max="6144" width="8.140625" customWidth="1"/>
    <col min="6145" max="6146" width="8.28515625" customWidth="1"/>
    <col min="6147" max="6147" width="12.7109375" customWidth="1"/>
    <col min="6148" max="6148" width="10.28515625" customWidth="1"/>
    <col min="6149" max="6149" width="8.42578125" customWidth="1"/>
    <col min="6150" max="6150" width="11.42578125" bestFit="1" customWidth="1"/>
    <col min="6151" max="6151" width="14" customWidth="1"/>
    <col min="6152" max="6152" width="11" bestFit="1" customWidth="1"/>
    <col min="6153" max="6153" width="10.140625" bestFit="1" customWidth="1"/>
    <col min="6154" max="6154" width="3.28515625" customWidth="1"/>
    <col min="6155" max="6155" width="8.85546875" bestFit="1" customWidth="1"/>
    <col min="6395" max="6395" width="3.28515625" customWidth="1"/>
    <col min="6396" max="6396" width="13.28515625" customWidth="1"/>
    <col min="6397" max="6397" width="8.28515625" customWidth="1"/>
    <col min="6398" max="6398" width="8.140625" customWidth="1"/>
    <col min="6399" max="6399" width="8.28515625" customWidth="1"/>
    <col min="6400" max="6400" width="8.140625" customWidth="1"/>
    <col min="6401" max="6402" width="8.28515625" customWidth="1"/>
    <col min="6403" max="6403" width="12.7109375" customWidth="1"/>
    <col min="6404" max="6404" width="10.28515625" customWidth="1"/>
    <col min="6405" max="6405" width="8.42578125" customWidth="1"/>
    <col min="6406" max="6406" width="11.42578125" bestFit="1" customWidth="1"/>
    <col min="6407" max="6407" width="14" customWidth="1"/>
    <col min="6408" max="6408" width="11" bestFit="1" customWidth="1"/>
    <col min="6409" max="6409" width="10.140625" bestFit="1" customWidth="1"/>
    <col min="6410" max="6410" width="3.28515625" customWidth="1"/>
    <col min="6411" max="6411" width="8.85546875" bestFit="1" customWidth="1"/>
    <col min="6651" max="6651" width="3.28515625" customWidth="1"/>
    <col min="6652" max="6652" width="13.28515625" customWidth="1"/>
    <col min="6653" max="6653" width="8.28515625" customWidth="1"/>
    <col min="6654" max="6654" width="8.140625" customWidth="1"/>
    <col min="6655" max="6655" width="8.28515625" customWidth="1"/>
    <col min="6656" max="6656" width="8.140625" customWidth="1"/>
    <col min="6657" max="6658" width="8.28515625" customWidth="1"/>
    <col min="6659" max="6659" width="12.7109375" customWidth="1"/>
    <col min="6660" max="6660" width="10.28515625" customWidth="1"/>
    <col min="6661" max="6661" width="8.42578125" customWidth="1"/>
    <col min="6662" max="6662" width="11.42578125" bestFit="1" customWidth="1"/>
    <col min="6663" max="6663" width="14" customWidth="1"/>
    <col min="6664" max="6664" width="11" bestFit="1" customWidth="1"/>
    <col min="6665" max="6665" width="10.140625" bestFit="1" customWidth="1"/>
    <col min="6666" max="6666" width="3.28515625" customWidth="1"/>
    <col min="6667" max="6667" width="8.85546875" bestFit="1" customWidth="1"/>
    <col min="6907" max="6907" width="3.28515625" customWidth="1"/>
    <col min="6908" max="6908" width="13.28515625" customWidth="1"/>
    <col min="6909" max="6909" width="8.28515625" customWidth="1"/>
    <col min="6910" max="6910" width="8.140625" customWidth="1"/>
    <col min="6911" max="6911" width="8.28515625" customWidth="1"/>
    <col min="6912" max="6912" width="8.140625" customWidth="1"/>
    <col min="6913" max="6914" width="8.28515625" customWidth="1"/>
    <col min="6915" max="6915" width="12.7109375" customWidth="1"/>
    <col min="6916" max="6916" width="10.28515625" customWidth="1"/>
    <col min="6917" max="6917" width="8.42578125" customWidth="1"/>
    <col min="6918" max="6918" width="11.42578125" bestFit="1" customWidth="1"/>
    <col min="6919" max="6919" width="14" customWidth="1"/>
    <col min="6920" max="6920" width="11" bestFit="1" customWidth="1"/>
    <col min="6921" max="6921" width="10.140625" bestFit="1" customWidth="1"/>
    <col min="6922" max="6922" width="3.28515625" customWidth="1"/>
    <col min="6923" max="6923" width="8.85546875" bestFit="1" customWidth="1"/>
    <col min="7163" max="7163" width="3.28515625" customWidth="1"/>
    <col min="7164" max="7164" width="13.28515625" customWidth="1"/>
    <col min="7165" max="7165" width="8.28515625" customWidth="1"/>
    <col min="7166" max="7166" width="8.140625" customWidth="1"/>
    <col min="7167" max="7167" width="8.28515625" customWidth="1"/>
    <col min="7168" max="7168" width="8.140625" customWidth="1"/>
    <col min="7169" max="7170" width="8.28515625" customWidth="1"/>
    <col min="7171" max="7171" width="12.7109375" customWidth="1"/>
    <col min="7172" max="7172" width="10.28515625" customWidth="1"/>
    <col min="7173" max="7173" width="8.42578125" customWidth="1"/>
    <col min="7174" max="7174" width="11.42578125" bestFit="1" customWidth="1"/>
    <col min="7175" max="7175" width="14" customWidth="1"/>
    <col min="7176" max="7176" width="11" bestFit="1" customWidth="1"/>
    <col min="7177" max="7177" width="10.140625" bestFit="1" customWidth="1"/>
    <col min="7178" max="7178" width="3.28515625" customWidth="1"/>
    <col min="7179" max="7179" width="8.85546875" bestFit="1" customWidth="1"/>
    <col min="7419" max="7419" width="3.28515625" customWidth="1"/>
    <col min="7420" max="7420" width="13.28515625" customWidth="1"/>
    <col min="7421" max="7421" width="8.28515625" customWidth="1"/>
    <col min="7422" max="7422" width="8.140625" customWidth="1"/>
    <col min="7423" max="7423" width="8.28515625" customWidth="1"/>
    <col min="7424" max="7424" width="8.140625" customWidth="1"/>
    <col min="7425" max="7426" width="8.28515625" customWidth="1"/>
    <col min="7427" max="7427" width="12.7109375" customWidth="1"/>
    <col min="7428" max="7428" width="10.28515625" customWidth="1"/>
    <col min="7429" max="7429" width="8.42578125" customWidth="1"/>
    <col min="7430" max="7430" width="11.42578125" bestFit="1" customWidth="1"/>
    <col min="7431" max="7431" width="14" customWidth="1"/>
    <col min="7432" max="7432" width="11" bestFit="1" customWidth="1"/>
    <col min="7433" max="7433" width="10.140625" bestFit="1" customWidth="1"/>
    <col min="7434" max="7434" width="3.28515625" customWidth="1"/>
    <col min="7435" max="7435" width="8.85546875" bestFit="1" customWidth="1"/>
    <col min="7675" max="7675" width="3.28515625" customWidth="1"/>
    <col min="7676" max="7676" width="13.28515625" customWidth="1"/>
    <col min="7677" max="7677" width="8.28515625" customWidth="1"/>
    <col min="7678" max="7678" width="8.140625" customWidth="1"/>
    <col min="7679" max="7679" width="8.28515625" customWidth="1"/>
    <col min="7680" max="7680" width="8.140625" customWidth="1"/>
    <col min="7681" max="7682" width="8.28515625" customWidth="1"/>
    <col min="7683" max="7683" width="12.7109375" customWidth="1"/>
    <col min="7684" max="7684" width="10.28515625" customWidth="1"/>
    <col min="7685" max="7685" width="8.42578125" customWidth="1"/>
    <col min="7686" max="7686" width="11.42578125" bestFit="1" customWidth="1"/>
    <col min="7687" max="7687" width="14" customWidth="1"/>
    <col min="7688" max="7688" width="11" bestFit="1" customWidth="1"/>
    <col min="7689" max="7689" width="10.140625" bestFit="1" customWidth="1"/>
    <col min="7690" max="7690" width="3.28515625" customWidth="1"/>
    <col min="7691" max="7691" width="8.85546875" bestFit="1" customWidth="1"/>
    <col min="7931" max="7931" width="3.28515625" customWidth="1"/>
    <col min="7932" max="7932" width="13.28515625" customWidth="1"/>
    <col min="7933" max="7933" width="8.28515625" customWidth="1"/>
    <col min="7934" max="7934" width="8.140625" customWidth="1"/>
    <col min="7935" max="7935" width="8.28515625" customWidth="1"/>
    <col min="7936" max="7936" width="8.140625" customWidth="1"/>
    <col min="7937" max="7938" width="8.28515625" customWidth="1"/>
    <col min="7939" max="7939" width="12.7109375" customWidth="1"/>
    <col min="7940" max="7940" width="10.28515625" customWidth="1"/>
    <col min="7941" max="7941" width="8.42578125" customWidth="1"/>
    <col min="7942" max="7942" width="11.42578125" bestFit="1" customWidth="1"/>
    <col min="7943" max="7943" width="14" customWidth="1"/>
    <col min="7944" max="7944" width="11" bestFit="1" customWidth="1"/>
    <col min="7945" max="7945" width="10.140625" bestFit="1" customWidth="1"/>
    <col min="7946" max="7946" width="3.28515625" customWidth="1"/>
    <col min="7947" max="7947" width="8.85546875" bestFit="1" customWidth="1"/>
    <col min="8187" max="8187" width="3.28515625" customWidth="1"/>
    <col min="8188" max="8188" width="13.28515625" customWidth="1"/>
    <col min="8189" max="8189" width="8.28515625" customWidth="1"/>
    <col min="8190" max="8190" width="8.140625" customWidth="1"/>
    <col min="8191" max="8191" width="8.28515625" customWidth="1"/>
    <col min="8192" max="8192" width="8.140625" customWidth="1"/>
    <col min="8193" max="8194" width="8.28515625" customWidth="1"/>
    <col min="8195" max="8195" width="12.7109375" customWidth="1"/>
    <col min="8196" max="8196" width="10.28515625" customWidth="1"/>
    <col min="8197" max="8197" width="8.42578125" customWidth="1"/>
    <col min="8198" max="8198" width="11.42578125" bestFit="1" customWidth="1"/>
    <col min="8199" max="8199" width="14" customWidth="1"/>
    <col min="8200" max="8200" width="11" bestFit="1" customWidth="1"/>
    <col min="8201" max="8201" width="10.140625" bestFit="1" customWidth="1"/>
    <col min="8202" max="8202" width="3.28515625" customWidth="1"/>
    <col min="8203" max="8203" width="8.85546875" bestFit="1" customWidth="1"/>
    <col min="8443" max="8443" width="3.28515625" customWidth="1"/>
    <col min="8444" max="8444" width="13.28515625" customWidth="1"/>
    <col min="8445" max="8445" width="8.28515625" customWidth="1"/>
    <col min="8446" max="8446" width="8.140625" customWidth="1"/>
    <col min="8447" max="8447" width="8.28515625" customWidth="1"/>
    <col min="8448" max="8448" width="8.140625" customWidth="1"/>
    <col min="8449" max="8450" width="8.28515625" customWidth="1"/>
    <col min="8451" max="8451" width="12.7109375" customWidth="1"/>
    <col min="8452" max="8452" width="10.28515625" customWidth="1"/>
    <col min="8453" max="8453" width="8.42578125" customWidth="1"/>
    <col min="8454" max="8454" width="11.42578125" bestFit="1" customWidth="1"/>
    <col min="8455" max="8455" width="14" customWidth="1"/>
    <col min="8456" max="8456" width="11" bestFit="1" customWidth="1"/>
    <col min="8457" max="8457" width="10.140625" bestFit="1" customWidth="1"/>
    <col min="8458" max="8458" width="3.28515625" customWidth="1"/>
    <col min="8459" max="8459" width="8.85546875" bestFit="1" customWidth="1"/>
    <col min="8699" max="8699" width="3.28515625" customWidth="1"/>
    <col min="8700" max="8700" width="13.28515625" customWidth="1"/>
    <col min="8701" max="8701" width="8.28515625" customWidth="1"/>
    <col min="8702" max="8702" width="8.140625" customWidth="1"/>
    <col min="8703" max="8703" width="8.28515625" customWidth="1"/>
    <col min="8704" max="8704" width="8.140625" customWidth="1"/>
    <col min="8705" max="8706" width="8.28515625" customWidth="1"/>
    <col min="8707" max="8707" width="12.7109375" customWidth="1"/>
    <col min="8708" max="8708" width="10.28515625" customWidth="1"/>
    <col min="8709" max="8709" width="8.42578125" customWidth="1"/>
    <col min="8710" max="8710" width="11.42578125" bestFit="1" customWidth="1"/>
    <col min="8711" max="8711" width="14" customWidth="1"/>
    <col min="8712" max="8712" width="11" bestFit="1" customWidth="1"/>
    <col min="8713" max="8713" width="10.140625" bestFit="1" customWidth="1"/>
    <col min="8714" max="8714" width="3.28515625" customWidth="1"/>
    <col min="8715" max="8715" width="8.85546875" bestFit="1" customWidth="1"/>
    <col min="8955" max="8955" width="3.28515625" customWidth="1"/>
    <col min="8956" max="8956" width="13.28515625" customWidth="1"/>
    <col min="8957" max="8957" width="8.28515625" customWidth="1"/>
    <col min="8958" max="8958" width="8.140625" customWidth="1"/>
    <col min="8959" max="8959" width="8.28515625" customWidth="1"/>
    <col min="8960" max="8960" width="8.140625" customWidth="1"/>
    <col min="8961" max="8962" width="8.28515625" customWidth="1"/>
    <col min="8963" max="8963" width="12.7109375" customWidth="1"/>
    <col min="8964" max="8964" width="10.28515625" customWidth="1"/>
    <col min="8965" max="8965" width="8.42578125" customWidth="1"/>
    <col min="8966" max="8966" width="11.42578125" bestFit="1" customWidth="1"/>
    <col min="8967" max="8967" width="14" customWidth="1"/>
    <col min="8968" max="8968" width="11" bestFit="1" customWidth="1"/>
    <col min="8969" max="8969" width="10.140625" bestFit="1" customWidth="1"/>
    <col min="8970" max="8970" width="3.28515625" customWidth="1"/>
    <col min="8971" max="8971" width="8.85546875" bestFit="1" customWidth="1"/>
    <col min="9211" max="9211" width="3.28515625" customWidth="1"/>
    <col min="9212" max="9212" width="13.28515625" customWidth="1"/>
    <col min="9213" max="9213" width="8.28515625" customWidth="1"/>
    <col min="9214" max="9214" width="8.140625" customWidth="1"/>
    <col min="9215" max="9215" width="8.28515625" customWidth="1"/>
    <col min="9216" max="9216" width="8.140625" customWidth="1"/>
    <col min="9217" max="9218" width="8.28515625" customWidth="1"/>
    <col min="9219" max="9219" width="12.7109375" customWidth="1"/>
    <col min="9220" max="9220" width="10.28515625" customWidth="1"/>
    <col min="9221" max="9221" width="8.42578125" customWidth="1"/>
    <col min="9222" max="9222" width="11.42578125" bestFit="1" customWidth="1"/>
    <col min="9223" max="9223" width="14" customWidth="1"/>
    <col min="9224" max="9224" width="11" bestFit="1" customWidth="1"/>
    <col min="9225" max="9225" width="10.140625" bestFit="1" customWidth="1"/>
    <col min="9226" max="9226" width="3.28515625" customWidth="1"/>
    <col min="9227" max="9227" width="8.85546875" bestFit="1" customWidth="1"/>
    <col min="9467" max="9467" width="3.28515625" customWidth="1"/>
    <col min="9468" max="9468" width="13.28515625" customWidth="1"/>
    <col min="9469" max="9469" width="8.28515625" customWidth="1"/>
    <col min="9470" max="9470" width="8.140625" customWidth="1"/>
    <col min="9471" max="9471" width="8.28515625" customWidth="1"/>
    <col min="9472" max="9472" width="8.140625" customWidth="1"/>
    <col min="9473" max="9474" width="8.28515625" customWidth="1"/>
    <col min="9475" max="9475" width="12.7109375" customWidth="1"/>
    <col min="9476" max="9476" width="10.28515625" customWidth="1"/>
    <col min="9477" max="9477" width="8.42578125" customWidth="1"/>
    <col min="9478" max="9478" width="11.42578125" bestFit="1" customWidth="1"/>
    <col min="9479" max="9479" width="14" customWidth="1"/>
    <col min="9480" max="9480" width="11" bestFit="1" customWidth="1"/>
    <col min="9481" max="9481" width="10.140625" bestFit="1" customWidth="1"/>
    <col min="9482" max="9482" width="3.28515625" customWidth="1"/>
    <col min="9483" max="9483" width="8.85546875" bestFit="1" customWidth="1"/>
    <col min="9723" max="9723" width="3.28515625" customWidth="1"/>
    <col min="9724" max="9724" width="13.28515625" customWidth="1"/>
    <col min="9725" max="9725" width="8.28515625" customWidth="1"/>
    <col min="9726" max="9726" width="8.140625" customWidth="1"/>
    <col min="9727" max="9727" width="8.28515625" customWidth="1"/>
    <col min="9728" max="9728" width="8.140625" customWidth="1"/>
    <col min="9729" max="9730" width="8.28515625" customWidth="1"/>
    <col min="9731" max="9731" width="12.7109375" customWidth="1"/>
    <col min="9732" max="9732" width="10.28515625" customWidth="1"/>
    <col min="9733" max="9733" width="8.42578125" customWidth="1"/>
    <col min="9734" max="9734" width="11.42578125" bestFit="1" customWidth="1"/>
    <col min="9735" max="9735" width="14" customWidth="1"/>
    <col min="9736" max="9736" width="11" bestFit="1" customWidth="1"/>
    <col min="9737" max="9737" width="10.140625" bestFit="1" customWidth="1"/>
    <col min="9738" max="9738" width="3.28515625" customWidth="1"/>
    <col min="9739" max="9739" width="8.85546875" bestFit="1" customWidth="1"/>
    <col min="9979" max="9979" width="3.28515625" customWidth="1"/>
    <col min="9980" max="9980" width="13.28515625" customWidth="1"/>
    <col min="9981" max="9981" width="8.28515625" customWidth="1"/>
    <col min="9982" max="9982" width="8.140625" customWidth="1"/>
    <col min="9983" max="9983" width="8.28515625" customWidth="1"/>
    <col min="9984" max="9984" width="8.140625" customWidth="1"/>
    <col min="9985" max="9986" width="8.28515625" customWidth="1"/>
    <col min="9987" max="9987" width="12.7109375" customWidth="1"/>
    <col min="9988" max="9988" width="10.28515625" customWidth="1"/>
    <col min="9989" max="9989" width="8.42578125" customWidth="1"/>
    <col min="9990" max="9990" width="11.42578125" bestFit="1" customWidth="1"/>
    <col min="9991" max="9991" width="14" customWidth="1"/>
    <col min="9992" max="9992" width="11" bestFit="1" customWidth="1"/>
    <col min="9993" max="9993" width="10.140625" bestFit="1" customWidth="1"/>
    <col min="9994" max="9994" width="3.28515625" customWidth="1"/>
    <col min="9995" max="9995" width="8.85546875" bestFit="1" customWidth="1"/>
    <col min="10235" max="10235" width="3.28515625" customWidth="1"/>
    <col min="10236" max="10236" width="13.28515625" customWidth="1"/>
    <col min="10237" max="10237" width="8.28515625" customWidth="1"/>
    <col min="10238" max="10238" width="8.140625" customWidth="1"/>
    <col min="10239" max="10239" width="8.28515625" customWidth="1"/>
    <col min="10240" max="10240" width="8.140625" customWidth="1"/>
    <col min="10241" max="10242" width="8.28515625" customWidth="1"/>
    <col min="10243" max="10243" width="12.7109375" customWidth="1"/>
    <col min="10244" max="10244" width="10.28515625" customWidth="1"/>
    <col min="10245" max="10245" width="8.42578125" customWidth="1"/>
    <col min="10246" max="10246" width="11.42578125" bestFit="1" customWidth="1"/>
    <col min="10247" max="10247" width="14" customWidth="1"/>
    <col min="10248" max="10248" width="11" bestFit="1" customWidth="1"/>
    <col min="10249" max="10249" width="10.140625" bestFit="1" customWidth="1"/>
    <col min="10250" max="10250" width="3.28515625" customWidth="1"/>
    <col min="10251" max="10251" width="8.85546875" bestFit="1" customWidth="1"/>
    <col min="10491" max="10491" width="3.28515625" customWidth="1"/>
    <col min="10492" max="10492" width="13.28515625" customWidth="1"/>
    <col min="10493" max="10493" width="8.28515625" customWidth="1"/>
    <col min="10494" max="10494" width="8.140625" customWidth="1"/>
    <col min="10495" max="10495" width="8.28515625" customWidth="1"/>
    <col min="10496" max="10496" width="8.140625" customWidth="1"/>
    <col min="10497" max="10498" width="8.28515625" customWidth="1"/>
    <col min="10499" max="10499" width="12.7109375" customWidth="1"/>
    <col min="10500" max="10500" width="10.28515625" customWidth="1"/>
    <col min="10501" max="10501" width="8.42578125" customWidth="1"/>
    <col min="10502" max="10502" width="11.42578125" bestFit="1" customWidth="1"/>
    <col min="10503" max="10503" width="14" customWidth="1"/>
    <col min="10504" max="10504" width="11" bestFit="1" customWidth="1"/>
    <col min="10505" max="10505" width="10.140625" bestFit="1" customWidth="1"/>
    <col min="10506" max="10506" width="3.28515625" customWidth="1"/>
    <col min="10507" max="10507" width="8.85546875" bestFit="1" customWidth="1"/>
    <col min="10747" max="10747" width="3.28515625" customWidth="1"/>
    <col min="10748" max="10748" width="13.28515625" customWidth="1"/>
    <col min="10749" max="10749" width="8.28515625" customWidth="1"/>
    <col min="10750" max="10750" width="8.140625" customWidth="1"/>
    <col min="10751" max="10751" width="8.28515625" customWidth="1"/>
    <col min="10752" max="10752" width="8.140625" customWidth="1"/>
    <col min="10753" max="10754" width="8.28515625" customWidth="1"/>
    <col min="10755" max="10755" width="12.7109375" customWidth="1"/>
    <col min="10756" max="10756" width="10.28515625" customWidth="1"/>
    <col min="10757" max="10757" width="8.42578125" customWidth="1"/>
    <col min="10758" max="10758" width="11.42578125" bestFit="1" customWidth="1"/>
    <col min="10759" max="10759" width="14" customWidth="1"/>
    <col min="10760" max="10760" width="11" bestFit="1" customWidth="1"/>
    <col min="10761" max="10761" width="10.140625" bestFit="1" customWidth="1"/>
    <col min="10762" max="10762" width="3.28515625" customWidth="1"/>
    <col min="10763" max="10763" width="8.85546875" bestFit="1" customWidth="1"/>
    <col min="11003" max="11003" width="3.28515625" customWidth="1"/>
    <col min="11004" max="11004" width="13.28515625" customWidth="1"/>
    <col min="11005" max="11005" width="8.28515625" customWidth="1"/>
    <col min="11006" max="11006" width="8.140625" customWidth="1"/>
    <col min="11007" max="11007" width="8.28515625" customWidth="1"/>
    <col min="11008" max="11008" width="8.140625" customWidth="1"/>
    <col min="11009" max="11010" width="8.28515625" customWidth="1"/>
    <col min="11011" max="11011" width="12.7109375" customWidth="1"/>
    <col min="11012" max="11012" width="10.28515625" customWidth="1"/>
    <col min="11013" max="11013" width="8.42578125" customWidth="1"/>
    <col min="11014" max="11014" width="11.42578125" bestFit="1" customWidth="1"/>
    <col min="11015" max="11015" width="14" customWidth="1"/>
    <col min="11016" max="11016" width="11" bestFit="1" customWidth="1"/>
    <col min="11017" max="11017" width="10.140625" bestFit="1" customWidth="1"/>
    <col min="11018" max="11018" width="3.28515625" customWidth="1"/>
    <col min="11019" max="11019" width="8.85546875" bestFit="1" customWidth="1"/>
    <col min="11259" max="11259" width="3.28515625" customWidth="1"/>
    <col min="11260" max="11260" width="13.28515625" customWidth="1"/>
    <col min="11261" max="11261" width="8.28515625" customWidth="1"/>
    <col min="11262" max="11262" width="8.140625" customWidth="1"/>
    <col min="11263" max="11263" width="8.28515625" customWidth="1"/>
    <col min="11264" max="11264" width="8.140625" customWidth="1"/>
    <col min="11265" max="11266" width="8.28515625" customWidth="1"/>
    <col min="11267" max="11267" width="12.7109375" customWidth="1"/>
    <col min="11268" max="11268" width="10.28515625" customWidth="1"/>
    <col min="11269" max="11269" width="8.42578125" customWidth="1"/>
    <col min="11270" max="11270" width="11.42578125" bestFit="1" customWidth="1"/>
    <col min="11271" max="11271" width="14" customWidth="1"/>
    <col min="11272" max="11272" width="11" bestFit="1" customWidth="1"/>
    <col min="11273" max="11273" width="10.140625" bestFit="1" customWidth="1"/>
    <col min="11274" max="11274" width="3.28515625" customWidth="1"/>
    <col min="11275" max="11275" width="8.85546875" bestFit="1" customWidth="1"/>
    <col min="11515" max="11515" width="3.28515625" customWidth="1"/>
    <col min="11516" max="11516" width="13.28515625" customWidth="1"/>
    <col min="11517" max="11517" width="8.28515625" customWidth="1"/>
    <col min="11518" max="11518" width="8.140625" customWidth="1"/>
    <col min="11519" max="11519" width="8.28515625" customWidth="1"/>
    <col min="11520" max="11520" width="8.140625" customWidth="1"/>
    <col min="11521" max="11522" width="8.28515625" customWidth="1"/>
    <col min="11523" max="11523" width="12.7109375" customWidth="1"/>
    <col min="11524" max="11524" width="10.28515625" customWidth="1"/>
    <col min="11525" max="11525" width="8.42578125" customWidth="1"/>
    <col min="11526" max="11526" width="11.42578125" bestFit="1" customWidth="1"/>
    <col min="11527" max="11527" width="14" customWidth="1"/>
    <col min="11528" max="11528" width="11" bestFit="1" customWidth="1"/>
    <col min="11529" max="11529" width="10.140625" bestFit="1" customWidth="1"/>
    <col min="11530" max="11530" width="3.28515625" customWidth="1"/>
    <col min="11531" max="11531" width="8.85546875" bestFit="1" customWidth="1"/>
    <col min="11771" max="11771" width="3.28515625" customWidth="1"/>
    <col min="11772" max="11772" width="13.28515625" customWidth="1"/>
    <col min="11773" max="11773" width="8.28515625" customWidth="1"/>
    <col min="11774" max="11774" width="8.140625" customWidth="1"/>
    <col min="11775" max="11775" width="8.28515625" customWidth="1"/>
    <col min="11776" max="11776" width="8.140625" customWidth="1"/>
    <col min="11777" max="11778" width="8.28515625" customWidth="1"/>
    <col min="11779" max="11779" width="12.7109375" customWidth="1"/>
    <col min="11780" max="11780" width="10.28515625" customWidth="1"/>
    <col min="11781" max="11781" width="8.42578125" customWidth="1"/>
    <col min="11782" max="11782" width="11.42578125" bestFit="1" customWidth="1"/>
    <col min="11783" max="11783" width="14" customWidth="1"/>
    <col min="11784" max="11784" width="11" bestFit="1" customWidth="1"/>
    <col min="11785" max="11785" width="10.140625" bestFit="1" customWidth="1"/>
    <col min="11786" max="11786" width="3.28515625" customWidth="1"/>
    <col min="11787" max="11787" width="8.85546875" bestFit="1" customWidth="1"/>
    <col min="12027" max="12027" width="3.28515625" customWidth="1"/>
    <col min="12028" max="12028" width="13.28515625" customWidth="1"/>
    <col min="12029" max="12029" width="8.28515625" customWidth="1"/>
    <col min="12030" max="12030" width="8.140625" customWidth="1"/>
    <col min="12031" max="12031" width="8.28515625" customWidth="1"/>
    <col min="12032" max="12032" width="8.140625" customWidth="1"/>
    <col min="12033" max="12034" width="8.28515625" customWidth="1"/>
    <col min="12035" max="12035" width="12.7109375" customWidth="1"/>
    <col min="12036" max="12036" width="10.28515625" customWidth="1"/>
    <col min="12037" max="12037" width="8.42578125" customWidth="1"/>
    <col min="12038" max="12038" width="11.42578125" bestFit="1" customWidth="1"/>
    <col min="12039" max="12039" width="14" customWidth="1"/>
    <col min="12040" max="12040" width="11" bestFit="1" customWidth="1"/>
    <col min="12041" max="12041" width="10.140625" bestFit="1" customWidth="1"/>
    <col min="12042" max="12042" width="3.28515625" customWidth="1"/>
    <col min="12043" max="12043" width="8.85546875" bestFit="1" customWidth="1"/>
    <col min="12283" max="12283" width="3.28515625" customWidth="1"/>
    <col min="12284" max="12284" width="13.28515625" customWidth="1"/>
    <col min="12285" max="12285" width="8.28515625" customWidth="1"/>
    <col min="12286" max="12286" width="8.140625" customWidth="1"/>
    <col min="12287" max="12287" width="8.28515625" customWidth="1"/>
    <col min="12288" max="12288" width="8.140625" customWidth="1"/>
    <col min="12289" max="12290" width="8.28515625" customWidth="1"/>
    <col min="12291" max="12291" width="12.7109375" customWidth="1"/>
    <col min="12292" max="12292" width="10.28515625" customWidth="1"/>
    <col min="12293" max="12293" width="8.42578125" customWidth="1"/>
    <col min="12294" max="12294" width="11.42578125" bestFit="1" customWidth="1"/>
    <col min="12295" max="12295" width="14" customWidth="1"/>
    <col min="12296" max="12296" width="11" bestFit="1" customWidth="1"/>
    <col min="12297" max="12297" width="10.140625" bestFit="1" customWidth="1"/>
    <col min="12298" max="12298" width="3.28515625" customWidth="1"/>
    <col min="12299" max="12299" width="8.85546875" bestFit="1" customWidth="1"/>
    <col min="12539" max="12539" width="3.28515625" customWidth="1"/>
    <col min="12540" max="12540" width="13.28515625" customWidth="1"/>
    <col min="12541" max="12541" width="8.28515625" customWidth="1"/>
    <col min="12542" max="12542" width="8.140625" customWidth="1"/>
    <col min="12543" max="12543" width="8.28515625" customWidth="1"/>
    <col min="12544" max="12544" width="8.140625" customWidth="1"/>
    <col min="12545" max="12546" width="8.28515625" customWidth="1"/>
    <col min="12547" max="12547" width="12.7109375" customWidth="1"/>
    <col min="12548" max="12548" width="10.28515625" customWidth="1"/>
    <col min="12549" max="12549" width="8.42578125" customWidth="1"/>
    <col min="12550" max="12550" width="11.42578125" bestFit="1" customWidth="1"/>
    <col min="12551" max="12551" width="14" customWidth="1"/>
    <col min="12552" max="12552" width="11" bestFit="1" customWidth="1"/>
    <col min="12553" max="12553" width="10.140625" bestFit="1" customWidth="1"/>
    <col min="12554" max="12554" width="3.28515625" customWidth="1"/>
    <col min="12555" max="12555" width="8.85546875" bestFit="1" customWidth="1"/>
    <col min="12795" max="12795" width="3.28515625" customWidth="1"/>
    <col min="12796" max="12796" width="13.28515625" customWidth="1"/>
    <col min="12797" max="12797" width="8.28515625" customWidth="1"/>
    <col min="12798" max="12798" width="8.140625" customWidth="1"/>
    <col min="12799" max="12799" width="8.28515625" customWidth="1"/>
    <col min="12800" max="12800" width="8.140625" customWidth="1"/>
    <col min="12801" max="12802" width="8.28515625" customWidth="1"/>
    <col min="12803" max="12803" width="12.7109375" customWidth="1"/>
    <col min="12804" max="12804" width="10.28515625" customWidth="1"/>
    <col min="12805" max="12805" width="8.42578125" customWidth="1"/>
    <col min="12806" max="12806" width="11.42578125" bestFit="1" customWidth="1"/>
    <col min="12807" max="12807" width="14" customWidth="1"/>
    <col min="12808" max="12808" width="11" bestFit="1" customWidth="1"/>
    <col min="12809" max="12809" width="10.140625" bestFit="1" customWidth="1"/>
    <col min="12810" max="12810" width="3.28515625" customWidth="1"/>
    <col min="12811" max="12811" width="8.85546875" bestFit="1" customWidth="1"/>
    <col min="13051" max="13051" width="3.28515625" customWidth="1"/>
    <col min="13052" max="13052" width="13.28515625" customWidth="1"/>
    <col min="13053" max="13053" width="8.28515625" customWidth="1"/>
    <col min="13054" max="13054" width="8.140625" customWidth="1"/>
    <col min="13055" max="13055" width="8.28515625" customWidth="1"/>
    <col min="13056" max="13056" width="8.140625" customWidth="1"/>
    <col min="13057" max="13058" width="8.28515625" customWidth="1"/>
    <col min="13059" max="13059" width="12.7109375" customWidth="1"/>
    <col min="13060" max="13060" width="10.28515625" customWidth="1"/>
    <col min="13061" max="13061" width="8.42578125" customWidth="1"/>
    <col min="13062" max="13062" width="11.42578125" bestFit="1" customWidth="1"/>
    <col min="13063" max="13063" width="14" customWidth="1"/>
    <col min="13064" max="13064" width="11" bestFit="1" customWidth="1"/>
    <col min="13065" max="13065" width="10.140625" bestFit="1" customWidth="1"/>
    <col min="13066" max="13066" width="3.28515625" customWidth="1"/>
    <col min="13067" max="13067" width="8.85546875" bestFit="1" customWidth="1"/>
    <col min="13307" max="13307" width="3.28515625" customWidth="1"/>
    <col min="13308" max="13308" width="13.28515625" customWidth="1"/>
    <col min="13309" max="13309" width="8.28515625" customWidth="1"/>
    <col min="13310" max="13310" width="8.140625" customWidth="1"/>
    <col min="13311" max="13311" width="8.28515625" customWidth="1"/>
    <col min="13312" max="13312" width="8.140625" customWidth="1"/>
    <col min="13313" max="13314" width="8.28515625" customWidth="1"/>
    <col min="13315" max="13315" width="12.7109375" customWidth="1"/>
    <col min="13316" max="13316" width="10.28515625" customWidth="1"/>
    <col min="13317" max="13317" width="8.42578125" customWidth="1"/>
    <col min="13318" max="13318" width="11.42578125" bestFit="1" customWidth="1"/>
    <col min="13319" max="13319" width="14" customWidth="1"/>
    <col min="13320" max="13320" width="11" bestFit="1" customWidth="1"/>
    <col min="13321" max="13321" width="10.140625" bestFit="1" customWidth="1"/>
    <col min="13322" max="13322" width="3.28515625" customWidth="1"/>
    <col min="13323" max="13323" width="8.85546875" bestFit="1" customWidth="1"/>
    <col min="13563" max="13563" width="3.28515625" customWidth="1"/>
    <col min="13564" max="13564" width="13.28515625" customWidth="1"/>
    <col min="13565" max="13565" width="8.28515625" customWidth="1"/>
    <col min="13566" max="13566" width="8.140625" customWidth="1"/>
    <col min="13567" max="13567" width="8.28515625" customWidth="1"/>
    <col min="13568" max="13568" width="8.140625" customWidth="1"/>
    <col min="13569" max="13570" width="8.28515625" customWidth="1"/>
    <col min="13571" max="13571" width="12.7109375" customWidth="1"/>
    <col min="13572" max="13572" width="10.28515625" customWidth="1"/>
    <col min="13573" max="13573" width="8.42578125" customWidth="1"/>
    <col min="13574" max="13574" width="11.42578125" bestFit="1" customWidth="1"/>
    <col min="13575" max="13575" width="14" customWidth="1"/>
    <col min="13576" max="13576" width="11" bestFit="1" customWidth="1"/>
    <col min="13577" max="13577" width="10.140625" bestFit="1" customWidth="1"/>
    <col min="13578" max="13578" width="3.28515625" customWidth="1"/>
    <col min="13579" max="13579" width="8.85546875" bestFit="1" customWidth="1"/>
    <col min="13819" max="13819" width="3.28515625" customWidth="1"/>
    <col min="13820" max="13820" width="13.28515625" customWidth="1"/>
    <col min="13821" max="13821" width="8.28515625" customWidth="1"/>
    <col min="13822" max="13822" width="8.140625" customWidth="1"/>
    <col min="13823" max="13823" width="8.28515625" customWidth="1"/>
    <col min="13824" max="13824" width="8.140625" customWidth="1"/>
    <col min="13825" max="13826" width="8.28515625" customWidth="1"/>
    <col min="13827" max="13827" width="12.7109375" customWidth="1"/>
    <col min="13828" max="13828" width="10.28515625" customWidth="1"/>
    <col min="13829" max="13829" width="8.42578125" customWidth="1"/>
    <col min="13830" max="13830" width="11.42578125" bestFit="1" customWidth="1"/>
    <col min="13831" max="13831" width="14" customWidth="1"/>
    <col min="13832" max="13832" width="11" bestFit="1" customWidth="1"/>
    <col min="13833" max="13833" width="10.140625" bestFit="1" customWidth="1"/>
    <col min="13834" max="13834" width="3.28515625" customWidth="1"/>
    <col min="13835" max="13835" width="8.85546875" bestFit="1" customWidth="1"/>
    <col min="14075" max="14075" width="3.28515625" customWidth="1"/>
    <col min="14076" max="14076" width="13.28515625" customWidth="1"/>
    <col min="14077" max="14077" width="8.28515625" customWidth="1"/>
    <col min="14078" max="14078" width="8.140625" customWidth="1"/>
    <col min="14079" max="14079" width="8.28515625" customWidth="1"/>
    <col min="14080" max="14080" width="8.140625" customWidth="1"/>
    <col min="14081" max="14082" width="8.28515625" customWidth="1"/>
    <col min="14083" max="14083" width="12.7109375" customWidth="1"/>
    <col min="14084" max="14084" width="10.28515625" customWidth="1"/>
    <col min="14085" max="14085" width="8.42578125" customWidth="1"/>
    <col min="14086" max="14086" width="11.42578125" bestFit="1" customWidth="1"/>
    <col min="14087" max="14087" width="14" customWidth="1"/>
    <col min="14088" max="14088" width="11" bestFit="1" customWidth="1"/>
    <col min="14089" max="14089" width="10.140625" bestFit="1" customWidth="1"/>
    <col min="14090" max="14090" width="3.28515625" customWidth="1"/>
    <col min="14091" max="14091" width="8.85546875" bestFit="1" customWidth="1"/>
    <col min="14331" max="14331" width="3.28515625" customWidth="1"/>
    <col min="14332" max="14332" width="13.28515625" customWidth="1"/>
    <col min="14333" max="14333" width="8.28515625" customWidth="1"/>
    <col min="14334" max="14334" width="8.140625" customWidth="1"/>
    <col min="14335" max="14335" width="8.28515625" customWidth="1"/>
    <col min="14336" max="14336" width="8.140625" customWidth="1"/>
    <col min="14337" max="14338" width="8.28515625" customWidth="1"/>
    <col min="14339" max="14339" width="12.7109375" customWidth="1"/>
    <col min="14340" max="14340" width="10.28515625" customWidth="1"/>
    <col min="14341" max="14341" width="8.42578125" customWidth="1"/>
    <col min="14342" max="14342" width="11.42578125" bestFit="1" customWidth="1"/>
    <col min="14343" max="14343" width="14" customWidth="1"/>
    <col min="14344" max="14344" width="11" bestFit="1" customWidth="1"/>
    <col min="14345" max="14345" width="10.140625" bestFit="1" customWidth="1"/>
    <col min="14346" max="14346" width="3.28515625" customWidth="1"/>
    <col min="14347" max="14347" width="8.85546875" bestFit="1" customWidth="1"/>
    <col min="14587" max="14587" width="3.28515625" customWidth="1"/>
    <col min="14588" max="14588" width="13.28515625" customWidth="1"/>
    <col min="14589" max="14589" width="8.28515625" customWidth="1"/>
    <col min="14590" max="14590" width="8.140625" customWidth="1"/>
    <col min="14591" max="14591" width="8.28515625" customWidth="1"/>
    <col min="14592" max="14592" width="8.140625" customWidth="1"/>
    <col min="14593" max="14594" width="8.28515625" customWidth="1"/>
    <col min="14595" max="14595" width="12.7109375" customWidth="1"/>
    <col min="14596" max="14596" width="10.28515625" customWidth="1"/>
    <col min="14597" max="14597" width="8.42578125" customWidth="1"/>
    <col min="14598" max="14598" width="11.42578125" bestFit="1" customWidth="1"/>
    <col min="14599" max="14599" width="14" customWidth="1"/>
    <col min="14600" max="14600" width="11" bestFit="1" customWidth="1"/>
    <col min="14601" max="14601" width="10.140625" bestFit="1" customWidth="1"/>
    <col min="14602" max="14602" width="3.28515625" customWidth="1"/>
    <col min="14603" max="14603" width="8.85546875" bestFit="1" customWidth="1"/>
    <col min="14843" max="14843" width="3.28515625" customWidth="1"/>
    <col min="14844" max="14844" width="13.28515625" customWidth="1"/>
    <col min="14845" max="14845" width="8.28515625" customWidth="1"/>
    <col min="14846" max="14846" width="8.140625" customWidth="1"/>
    <col min="14847" max="14847" width="8.28515625" customWidth="1"/>
    <col min="14848" max="14848" width="8.140625" customWidth="1"/>
    <col min="14849" max="14850" width="8.28515625" customWidth="1"/>
    <col min="14851" max="14851" width="12.7109375" customWidth="1"/>
    <col min="14852" max="14852" width="10.28515625" customWidth="1"/>
    <col min="14853" max="14853" width="8.42578125" customWidth="1"/>
    <col min="14854" max="14854" width="11.42578125" bestFit="1" customWidth="1"/>
    <col min="14855" max="14855" width="14" customWidth="1"/>
    <col min="14856" max="14856" width="11" bestFit="1" customWidth="1"/>
    <col min="14857" max="14857" width="10.140625" bestFit="1" customWidth="1"/>
    <col min="14858" max="14858" width="3.28515625" customWidth="1"/>
    <col min="14859" max="14859" width="8.85546875" bestFit="1" customWidth="1"/>
    <col min="15099" max="15099" width="3.28515625" customWidth="1"/>
    <col min="15100" max="15100" width="13.28515625" customWidth="1"/>
    <col min="15101" max="15101" width="8.28515625" customWidth="1"/>
    <col min="15102" max="15102" width="8.140625" customWidth="1"/>
    <col min="15103" max="15103" width="8.28515625" customWidth="1"/>
    <col min="15104" max="15104" width="8.140625" customWidth="1"/>
    <col min="15105" max="15106" width="8.28515625" customWidth="1"/>
    <col min="15107" max="15107" width="12.7109375" customWidth="1"/>
    <col min="15108" max="15108" width="10.28515625" customWidth="1"/>
    <col min="15109" max="15109" width="8.42578125" customWidth="1"/>
    <col min="15110" max="15110" width="11.42578125" bestFit="1" customWidth="1"/>
    <col min="15111" max="15111" width="14" customWidth="1"/>
    <col min="15112" max="15112" width="11" bestFit="1" customWidth="1"/>
    <col min="15113" max="15113" width="10.140625" bestFit="1" customWidth="1"/>
    <col min="15114" max="15114" width="3.28515625" customWidth="1"/>
    <col min="15115" max="15115" width="8.85546875" bestFit="1" customWidth="1"/>
    <col min="15355" max="15355" width="3.28515625" customWidth="1"/>
    <col min="15356" max="15356" width="13.28515625" customWidth="1"/>
    <col min="15357" max="15357" width="8.28515625" customWidth="1"/>
    <col min="15358" max="15358" width="8.140625" customWidth="1"/>
    <col min="15359" max="15359" width="8.28515625" customWidth="1"/>
    <col min="15360" max="15360" width="8.140625" customWidth="1"/>
    <col min="15361" max="15362" width="8.28515625" customWidth="1"/>
    <col min="15363" max="15363" width="12.7109375" customWidth="1"/>
    <col min="15364" max="15364" width="10.28515625" customWidth="1"/>
    <col min="15365" max="15365" width="8.42578125" customWidth="1"/>
    <col min="15366" max="15366" width="11.42578125" bestFit="1" customWidth="1"/>
    <col min="15367" max="15367" width="14" customWidth="1"/>
    <col min="15368" max="15368" width="11" bestFit="1" customWidth="1"/>
    <col min="15369" max="15369" width="10.140625" bestFit="1" customWidth="1"/>
    <col min="15370" max="15370" width="3.28515625" customWidth="1"/>
    <col min="15371" max="15371" width="8.85546875" bestFit="1" customWidth="1"/>
    <col min="15611" max="15611" width="3.28515625" customWidth="1"/>
    <col min="15612" max="15612" width="13.28515625" customWidth="1"/>
    <col min="15613" max="15613" width="8.28515625" customWidth="1"/>
    <col min="15614" max="15614" width="8.140625" customWidth="1"/>
    <col min="15615" max="15615" width="8.28515625" customWidth="1"/>
    <col min="15616" max="15616" width="8.140625" customWidth="1"/>
    <col min="15617" max="15618" width="8.28515625" customWidth="1"/>
    <col min="15619" max="15619" width="12.7109375" customWidth="1"/>
    <col min="15620" max="15620" width="10.28515625" customWidth="1"/>
    <col min="15621" max="15621" width="8.42578125" customWidth="1"/>
    <col min="15622" max="15622" width="11.42578125" bestFit="1" customWidth="1"/>
    <col min="15623" max="15623" width="14" customWidth="1"/>
    <col min="15624" max="15624" width="11" bestFit="1" customWidth="1"/>
    <col min="15625" max="15625" width="10.140625" bestFit="1" customWidth="1"/>
    <col min="15626" max="15626" width="3.28515625" customWidth="1"/>
    <col min="15627" max="15627" width="8.85546875" bestFit="1" customWidth="1"/>
    <col min="15867" max="15867" width="3.28515625" customWidth="1"/>
    <col min="15868" max="15868" width="13.28515625" customWidth="1"/>
    <col min="15869" max="15869" width="8.28515625" customWidth="1"/>
    <col min="15870" max="15870" width="8.140625" customWidth="1"/>
    <col min="15871" max="15871" width="8.28515625" customWidth="1"/>
    <col min="15872" max="15872" width="8.140625" customWidth="1"/>
    <col min="15873" max="15874" width="8.28515625" customWidth="1"/>
    <col min="15875" max="15875" width="12.7109375" customWidth="1"/>
    <col min="15876" max="15876" width="10.28515625" customWidth="1"/>
    <col min="15877" max="15877" width="8.42578125" customWidth="1"/>
    <col min="15878" max="15878" width="11.42578125" bestFit="1" customWidth="1"/>
    <col min="15879" max="15879" width="14" customWidth="1"/>
    <col min="15880" max="15880" width="11" bestFit="1" customWidth="1"/>
    <col min="15881" max="15881" width="10.140625" bestFit="1" customWidth="1"/>
    <col min="15882" max="15882" width="3.28515625" customWidth="1"/>
    <col min="15883" max="15883" width="8.85546875" bestFit="1" customWidth="1"/>
    <col min="16123" max="16123" width="3.28515625" customWidth="1"/>
    <col min="16124" max="16124" width="13.28515625" customWidth="1"/>
    <col min="16125" max="16125" width="8.28515625" customWidth="1"/>
    <col min="16126" max="16126" width="8.140625" customWidth="1"/>
    <col min="16127" max="16127" width="8.28515625" customWidth="1"/>
    <col min="16128" max="16128" width="8.140625" customWidth="1"/>
    <col min="16129" max="16130" width="8.28515625" customWidth="1"/>
    <col min="16131" max="16131" width="12.7109375" customWidth="1"/>
    <col min="16132" max="16132" width="10.28515625" customWidth="1"/>
    <col min="16133" max="16133" width="8.42578125" customWidth="1"/>
    <col min="16134" max="16134" width="11.42578125" bestFit="1" customWidth="1"/>
    <col min="16135" max="16135" width="14" customWidth="1"/>
    <col min="16136" max="16136" width="11" bestFit="1" customWidth="1"/>
    <col min="16137" max="16137" width="10.140625" bestFit="1" customWidth="1"/>
    <col min="16138" max="16138" width="3.28515625" customWidth="1"/>
    <col min="16139" max="16139" width="8.85546875" bestFit="1" customWidth="1"/>
  </cols>
  <sheetData>
    <row r="1" spans="1:15" ht="18" customHeight="1">
      <c r="A1" s="1232" t="s">
        <v>448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</row>
    <row r="2" spans="1:15" ht="21" customHeight="1">
      <c r="A2" s="62"/>
      <c r="B2" s="1242"/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4"/>
      <c r="O2" s="59"/>
    </row>
    <row r="3" spans="1:15" ht="18.75" customHeight="1">
      <c r="A3" s="62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  <c r="O3" s="59"/>
    </row>
    <row r="4" spans="1:15" ht="20.100000000000001" customHeight="1">
      <c r="A4" s="62"/>
      <c r="B4" s="100"/>
      <c r="C4" s="101"/>
      <c r="D4" s="101"/>
      <c r="E4" s="101"/>
      <c r="F4" s="101"/>
      <c r="G4" s="101"/>
      <c r="H4" s="491"/>
      <c r="I4" s="491"/>
      <c r="J4" s="491"/>
      <c r="K4" s="491"/>
      <c r="L4" s="491"/>
      <c r="M4" s="491"/>
      <c r="N4" s="102"/>
      <c r="O4" s="60"/>
    </row>
    <row r="5" spans="1:15" ht="20.100000000000001" customHeight="1">
      <c r="A5" s="62"/>
      <c r="B5" s="101"/>
      <c r="C5" s="101"/>
      <c r="D5" s="101"/>
      <c r="E5" s="101"/>
      <c r="F5" s="101"/>
      <c r="G5" s="101"/>
      <c r="H5" s="1267"/>
      <c r="I5" s="1267"/>
      <c r="J5" s="1267"/>
      <c r="K5" s="491"/>
      <c r="L5" s="491"/>
      <c r="M5" s="491"/>
      <c r="N5" s="104"/>
      <c r="O5" s="60"/>
    </row>
    <row r="6" spans="1:15" ht="20.100000000000001" customHeight="1">
      <c r="A6" s="62"/>
      <c r="B6" s="492"/>
      <c r="C6" s="1268"/>
      <c r="D6" s="1268"/>
      <c r="E6" s="1267"/>
      <c r="F6" s="1267"/>
      <c r="G6" s="507"/>
      <c r="H6" s="492"/>
      <c r="I6" s="492"/>
      <c r="J6" s="492"/>
      <c r="K6" s="1269"/>
      <c r="L6" s="1269"/>
      <c r="M6" s="1269"/>
      <c r="N6" s="1270"/>
      <c r="O6" s="60"/>
    </row>
    <row r="7" spans="1:15" ht="20.100000000000001" customHeight="1">
      <c r="A7" s="62"/>
      <c r="B7" s="101"/>
      <c r="C7" s="106"/>
      <c r="D7" s="106"/>
      <c r="E7" s="106"/>
      <c r="F7" s="106"/>
      <c r="G7" s="106"/>
      <c r="H7" s="493"/>
      <c r="I7" s="493"/>
      <c r="J7" s="493"/>
      <c r="K7" s="494"/>
      <c r="L7" s="494"/>
      <c r="M7" s="494"/>
      <c r="N7" s="107"/>
      <c r="O7" s="60"/>
    </row>
    <row r="8" spans="1:15" ht="20.100000000000001" customHeight="1">
      <c r="A8" s="62"/>
      <c r="B8" s="101"/>
      <c r="C8" s="106"/>
      <c r="D8" s="106"/>
      <c r="E8" s="495"/>
      <c r="F8" s="106"/>
      <c r="G8" s="495"/>
      <c r="H8" s="493"/>
      <c r="I8" s="493"/>
      <c r="J8" s="493"/>
      <c r="K8" s="496"/>
      <c r="L8" s="496"/>
      <c r="M8" s="496"/>
      <c r="N8" s="109"/>
      <c r="O8" s="60"/>
    </row>
    <row r="9" spans="1:15" ht="20.100000000000001" customHeight="1">
      <c r="A9" s="62"/>
      <c r="B9" s="101"/>
      <c r="C9" s="106"/>
      <c r="D9" s="106"/>
      <c r="E9" s="495"/>
      <c r="F9" s="106"/>
      <c r="G9" s="495"/>
      <c r="H9" s="493"/>
      <c r="I9" s="493"/>
      <c r="J9" s="493"/>
      <c r="K9" s="496"/>
      <c r="L9" s="496"/>
      <c r="M9" s="496"/>
      <c r="N9" s="109"/>
      <c r="O9" s="60"/>
    </row>
    <row r="10" spans="1:15" ht="20.100000000000001" customHeight="1">
      <c r="A10" s="62"/>
      <c r="B10" s="101"/>
      <c r="C10" s="106"/>
      <c r="D10" s="106"/>
      <c r="E10" s="495"/>
      <c r="F10" s="106"/>
      <c r="G10" s="495"/>
      <c r="H10" s="493"/>
      <c r="I10" s="493"/>
      <c r="J10" s="493"/>
      <c r="K10" s="496"/>
      <c r="L10" s="496"/>
      <c r="M10" s="496"/>
      <c r="N10" s="109"/>
      <c r="O10" s="60"/>
    </row>
    <row r="11" spans="1:15" ht="20.100000000000001" customHeight="1">
      <c r="A11" s="62"/>
      <c r="B11" s="101"/>
      <c r="C11" s="106"/>
      <c r="D11" s="106"/>
      <c r="E11" s="495"/>
      <c r="F11" s="106"/>
      <c r="G11" s="495"/>
      <c r="H11" s="493"/>
      <c r="I11" s="493"/>
      <c r="J11" s="493"/>
      <c r="K11" s="496"/>
      <c r="L11" s="496"/>
      <c r="M11" s="496"/>
      <c r="N11" s="109"/>
      <c r="O11" s="60"/>
    </row>
    <row r="12" spans="1:15" ht="20.100000000000001" customHeight="1">
      <c r="A12" s="62"/>
      <c r="B12" s="101"/>
      <c r="C12" s="106"/>
      <c r="D12" s="106"/>
      <c r="E12" s="106"/>
      <c r="F12" s="106"/>
      <c r="G12" s="495"/>
      <c r="H12" s="493"/>
      <c r="I12" s="493"/>
      <c r="J12" s="493"/>
      <c r="K12" s="496"/>
      <c r="L12" s="496"/>
      <c r="M12" s="496"/>
      <c r="N12" s="109"/>
      <c r="O12" s="60"/>
    </row>
    <row r="13" spans="1:15" ht="20.100000000000001" customHeight="1">
      <c r="A13" s="62"/>
      <c r="B13" s="101"/>
      <c r="C13" s="106"/>
      <c r="D13" s="106"/>
      <c r="E13" s="495"/>
      <c r="F13" s="106"/>
      <c r="G13" s="495"/>
      <c r="H13" s="493"/>
      <c r="I13" s="493"/>
      <c r="J13" s="493"/>
      <c r="K13" s="496"/>
      <c r="L13" s="496"/>
      <c r="M13" s="496"/>
      <c r="N13" s="109"/>
      <c r="O13" s="60"/>
    </row>
    <row r="14" spans="1:15" ht="20.100000000000001" customHeight="1">
      <c r="A14" s="62"/>
      <c r="B14" s="101"/>
      <c r="C14" s="106"/>
      <c r="D14" s="106"/>
      <c r="E14" s="106"/>
      <c r="F14" s="106"/>
      <c r="G14" s="106"/>
      <c r="H14" s="493"/>
      <c r="I14" s="493"/>
      <c r="J14" s="493"/>
      <c r="K14" s="497"/>
      <c r="L14" s="496"/>
      <c r="M14" s="496"/>
      <c r="N14" s="109"/>
      <c r="O14" s="60"/>
    </row>
    <row r="15" spans="1:15" ht="20.100000000000001" customHeight="1">
      <c r="A15" s="62"/>
      <c r="B15" s="101"/>
      <c r="C15" s="106"/>
      <c r="D15" s="106"/>
      <c r="E15" s="495"/>
      <c r="F15" s="106"/>
      <c r="G15" s="495"/>
      <c r="H15" s="493"/>
      <c r="I15" s="493"/>
      <c r="J15" s="493"/>
      <c r="K15" s="497"/>
      <c r="L15" s="497"/>
      <c r="M15" s="498"/>
      <c r="N15" s="111"/>
      <c r="O15" s="60"/>
    </row>
    <row r="16" spans="1:15" ht="20.100000000000001" customHeight="1">
      <c r="A16" s="62"/>
      <c r="B16" s="101"/>
      <c r="C16" s="106"/>
      <c r="D16" s="106"/>
      <c r="E16" s="495"/>
      <c r="F16" s="106"/>
      <c r="G16" s="495"/>
      <c r="H16" s="493"/>
      <c r="I16" s="493"/>
      <c r="J16" s="493"/>
      <c r="K16" s="499"/>
      <c r="L16" s="499"/>
      <c r="M16" s="499"/>
      <c r="N16" s="111"/>
      <c r="O16" s="60"/>
    </row>
    <row r="17" spans="1:15" ht="20.100000000000001" customHeight="1">
      <c r="A17" s="62"/>
      <c r="B17" s="101"/>
      <c r="C17" s="106"/>
      <c r="D17" s="106"/>
      <c r="E17" s="495"/>
      <c r="F17" s="106"/>
      <c r="G17" s="495"/>
      <c r="H17" s="493"/>
      <c r="I17" s="493"/>
      <c r="J17" s="493"/>
      <c r="K17" s="491"/>
      <c r="L17" s="500"/>
      <c r="M17" s="500"/>
      <c r="N17" s="102"/>
      <c r="O17" s="59"/>
    </row>
    <row r="18" spans="1:15" ht="20.100000000000001" customHeight="1">
      <c r="A18" s="62"/>
      <c r="B18" s="101"/>
      <c r="C18" s="106"/>
      <c r="D18" s="106"/>
      <c r="E18" s="495"/>
      <c r="F18" s="106"/>
      <c r="G18" s="495"/>
      <c r="H18" s="493"/>
      <c r="I18" s="493"/>
      <c r="J18" s="493"/>
      <c r="K18" s="491"/>
      <c r="L18" s="491"/>
      <c r="M18" s="491"/>
      <c r="N18" s="102"/>
      <c r="O18" s="59"/>
    </row>
    <row r="19" spans="1:15" ht="20.100000000000001" customHeight="1">
      <c r="A19" s="62"/>
      <c r="B19" s="101"/>
      <c r="C19" s="106"/>
      <c r="D19" s="106"/>
      <c r="E19" s="495"/>
      <c r="F19" s="106"/>
      <c r="G19" s="495"/>
      <c r="H19" s="493"/>
      <c r="I19" s="493"/>
      <c r="J19" s="493"/>
      <c r="K19" s="491"/>
      <c r="L19" s="491"/>
      <c r="M19" s="491"/>
      <c r="N19" s="102"/>
      <c r="O19" s="59"/>
    </row>
    <row r="20" spans="1:15" ht="20.100000000000001" customHeight="1">
      <c r="A20" s="62"/>
      <c r="B20" s="101"/>
      <c r="C20" s="106"/>
      <c r="D20" s="106"/>
      <c r="E20" s="495"/>
      <c r="F20" s="106"/>
      <c r="G20" s="495"/>
      <c r="H20" s="493"/>
      <c r="I20" s="493"/>
      <c r="J20" s="493"/>
      <c r="K20" s="491"/>
      <c r="L20" s="491"/>
      <c r="M20" s="491"/>
      <c r="N20" s="102"/>
      <c r="O20" s="59"/>
    </row>
    <row r="21" spans="1:15" ht="20.100000000000001" customHeight="1">
      <c r="A21" s="62"/>
      <c r="B21" s="101"/>
      <c r="C21" s="106"/>
      <c r="D21" s="106"/>
      <c r="E21" s="106"/>
      <c r="F21" s="106"/>
      <c r="G21" s="106"/>
      <c r="H21" s="493"/>
      <c r="I21" s="493"/>
      <c r="J21" s="493"/>
      <c r="K21" s="491"/>
      <c r="L21" s="491"/>
      <c r="M21" s="491"/>
      <c r="N21" s="102"/>
      <c r="O21" s="59"/>
    </row>
    <row r="22" spans="1:15" ht="20.100000000000001" customHeight="1">
      <c r="A22" s="62"/>
      <c r="B22" s="119"/>
      <c r="C22" s="120"/>
      <c r="D22" s="112"/>
      <c r="E22" s="120"/>
      <c r="F22" s="112"/>
      <c r="G22" s="120"/>
      <c r="H22" s="493"/>
      <c r="I22" s="493"/>
      <c r="J22" s="493"/>
      <c r="K22" s="491"/>
      <c r="L22" s="491"/>
      <c r="M22" s="491"/>
      <c r="N22" s="102"/>
      <c r="O22" s="59"/>
    </row>
    <row r="23" spans="1:15" ht="27.75" customHeight="1">
      <c r="A23" s="62"/>
      <c r="B23" s="534" t="s">
        <v>549</v>
      </c>
      <c r="C23" s="115"/>
      <c r="D23" s="115"/>
      <c r="E23" s="115"/>
      <c r="F23" s="115"/>
      <c r="G23" s="115"/>
      <c r="H23" s="306"/>
      <c r="I23" s="306"/>
      <c r="J23" s="306"/>
      <c r="K23" s="115"/>
      <c r="L23" s="115"/>
      <c r="M23" s="115"/>
      <c r="N23" s="501">
        <f ca="1">NOW()</f>
        <v>42471.706796064813</v>
      </c>
      <c r="O23" s="59"/>
    </row>
    <row r="24" spans="1:15" ht="18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</sheetData>
  <mergeCells count="7">
    <mergeCell ref="A1:O1"/>
    <mergeCell ref="B2:N2"/>
    <mergeCell ref="H5:J5"/>
    <mergeCell ref="C6:D6"/>
    <mergeCell ref="E6:F6"/>
    <mergeCell ref="K6:L6"/>
    <mergeCell ref="M6:N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4"/>
  <sheetViews>
    <sheetView showGridLines="0" zoomScaleNormal="100" workbookViewId="0">
      <selection activeCell="B31" sqref="B31"/>
    </sheetView>
  </sheetViews>
  <sheetFormatPr defaultRowHeight="12.75"/>
  <cols>
    <col min="1" max="1" width="2.7109375" customWidth="1"/>
    <col min="2" max="2" width="12.5703125" customWidth="1"/>
    <col min="3" max="3" width="11.7109375" customWidth="1"/>
    <col min="4" max="4" width="11.28515625" bestFit="1" customWidth="1"/>
    <col min="5" max="5" width="9.7109375" customWidth="1"/>
    <col min="6" max="6" width="8.5703125" bestFit="1" customWidth="1"/>
    <col min="7" max="7" width="9.42578125" bestFit="1" customWidth="1"/>
    <col min="8" max="8" width="13.42578125" customWidth="1"/>
    <col min="9" max="9" width="14.7109375" customWidth="1"/>
    <col min="10" max="10" width="21.7109375" customWidth="1"/>
    <col min="11" max="11" width="24.7109375" customWidth="1"/>
    <col min="13" max="13" width="10.140625" bestFit="1" customWidth="1"/>
  </cols>
  <sheetData>
    <row r="1" spans="1:11" ht="17.100000000000001" customHeight="1">
      <c r="A1" s="1232" t="s">
        <v>449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</row>
    <row r="2" spans="1:11" ht="20.100000000000001" customHeight="1">
      <c r="A2" s="59"/>
      <c r="B2" s="65"/>
      <c r="C2" s="234"/>
      <c r="D2" s="234"/>
      <c r="E2" s="234"/>
      <c r="F2" s="234"/>
      <c r="G2" s="234"/>
      <c r="H2" s="66"/>
      <c r="I2" s="61"/>
      <c r="J2" s="61"/>
      <c r="K2" s="61"/>
    </row>
    <row r="3" spans="1:11" ht="15" customHeight="1">
      <c r="A3" s="59"/>
      <c r="B3" s="67"/>
      <c r="C3" s="68"/>
      <c r="D3" s="68"/>
      <c r="E3" s="68"/>
      <c r="F3" s="68"/>
      <c r="G3" s="68"/>
      <c r="H3" s="69"/>
      <c r="I3" s="61"/>
      <c r="J3" s="61"/>
      <c r="K3" s="61"/>
    </row>
    <row r="4" spans="1:11" ht="18" customHeight="1">
      <c r="A4" s="59"/>
      <c r="B4" s="1276" t="s">
        <v>20</v>
      </c>
      <c r="C4" s="1276" t="s">
        <v>205</v>
      </c>
      <c r="D4" s="1276" t="s">
        <v>21</v>
      </c>
      <c r="E4" s="1273" t="s">
        <v>22</v>
      </c>
      <c r="F4" s="1274"/>
      <c r="G4" s="1275"/>
      <c r="H4" s="70" t="s">
        <v>343</v>
      </c>
      <c r="I4" s="61"/>
      <c r="J4" s="61"/>
      <c r="K4" s="61"/>
    </row>
    <row r="5" spans="1:11" ht="18" customHeight="1">
      <c r="A5" s="59"/>
      <c r="B5" s="1277"/>
      <c r="C5" s="1277"/>
      <c r="D5" s="1277"/>
      <c r="E5" s="71" t="s">
        <v>24</v>
      </c>
      <c r="F5" s="71" t="s">
        <v>25</v>
      </c>
      <c r="G5" s="71" t="s">
        <v>26</v>
      </c>
      <c r="H5" s="72" t="s">
        <v>23</v>
      </c>
      <c r="I5" s="61"/>
      <c r="J5" s="61"/>
      <c r="K5" s="61"/>
    </row>
    <row r="6" spans="1:11" ht="18" customHeight="1">
      <c r="A6" s="59"/>
      <c r="B6" s="1277"/>
      <c r="C6" s="1277"/>
      <c r="D6" s="1277"/>
      <c r="E6" s="848" t="s">
        <v>124</v>
      </c>
      <c r="F6" s="222" t="s">
        <v>553</v>
      </c>
      <c r="G6" s="222" t="s">
        <v>554</v>
      </c>
      <c r="H6" s="450" t="s">
        <v>123</v>
      </c>
      <c r="I6" s="61"/>
      <c r="J6" s="61"/>
      <c r="K6" s="61"/>
    </row>
    <row r="7" spans="1:11" ht="18" customHeight="1">
      <c r="A7" s="59"/>
      <c r="B7" s="1278"/>
      <c r="C7" s="1278"/>
      <c r="D7" s="1278"/>
      <c r="E7" s="73">
        <v>2015</v>
      </c>
      <c r="F7" s="73">
        <v>2016</v>
      </c>
      <c r="G7" s="73">
        <v>2016</v>
      </c>
      <c r="H7" s="74">
        <v>2016</v>
      </c>
      <c r="I7" s="61"/>
      <c r="J7" s="61"/>
      <c r="K7" s="61"/>
    </row>
    <row r="8" spans="1:11" ht="20.100000000000001" customHeight="1">
      <c r="A8" s="59"/>
      <c r="B8" s="75"/>
      <c r="C8" s="76" t="s">
        <v>32</v>
      </c>
      <c r="D8" s="68"/>
      <c r="E8" s="68"/>
      <c r="F8" s="68"/>
      <c r="G8" s="68"/>
      <c r="H8" s="69"/>
      <c r="I8" s="61"/>
      <c r="J8" s="61"/>
      <c r="K8" s="61"/>
    </row>
    <row r="9" spans="1:11" ht="15" customHeight="1">
      <c r="A9" s="59"/>
      <c r="B9" s="75"/>
      <c r="C9" s="77"/>
      <c r="D9" s="77"/>
      <c r="E9" s="77"/>
      <c r="F9" s="77"/>
      <c r="G9" s="77"/>
      <c r="H9" s="78"/>
      <c r="I9" s="61"/>
      <c r="J9" s="61"/>
      <c r="K9" s="61"/>
    </row>
    <row r="10" spans="1:11" ht="20.100000000000001" customHeight="1">
      <c r="A10" s="59"/>
      <c r="B10" s="75"/>
      <c r="C10" s="91" t="s">
        <v>206</v>
      </c>
      <c r="D10" s="80" t="s">
        <v>295</v>
      </c>
      <c r="E10" s="81">
        <f>B32</f>
        <v>127.29</v>
      </c>
      <c r="F10" s="81">
        <f>C32</f>
        <v>122.58</v>
      </c>
      <c r="G10" s="81">
        <f>D32</f>
        <v>133.09</v>
      </c>
      <c r="H10" s="336">
        <f>E32</f>
        <v>129.65</v>
      </c>
      <c r="I10" s="61"/>
      <c r="J10" s="61"/>
      <c r="K10" s="61"/>
    </row>
    <row r="11" spans="1:11" ht="20.100000000000001" customHeight="1">
      <c r="A11" s="59"/>
      <c r="B11" s="75"/>
      <c r="C11" s="75"/>
      <c r="D11" s="80" t="s">
        <v>12</v>
      </c>
      <c r="E11" s="82">
        <f>($H$10/E10-1)*100</f>
        <v>1.8540340953727696</v>
      </c>
      <c r="F11" s="82">
        <f>($H$10/F10-1)*100</f>
        <v>5.7676619350628178</v>
      </c>
      <c r="G11" s="82">
        <f>($H$10/G10-1)*100</f>
        <v>-2.5847171087234222</v>
      </c>
      <c r="H11" s="83">
        <f>($H$10/H10-1)*100</f>
        <v>0</v>
      </c>
      <c r="I11" s="61"/>
      <c r="J11" s="61"/>
      <c r="K11" s="61"/>
    </row>
    <row r="12" spans="1:11" ht="20.100000000000001" customHeight="1">
      <c r="A12" s="59"/>
      <c r="B12" s="75"/>
      <c r="C12" s="91" t="s">
        <v>33</v>
      </c>
      <c r="D12" s="80" t="s">
        <v>34</v>
      </c>
      <c r="E12" s="81">
        <f>B34</f>
        <v>1807.41</v>
      </c>
      <c r="F12" s="81">
        <f>C34</f>
        <v>1389</v>
      </c>
      <c r="G12" s="81">
        <f>D34</f>
        <v>1497</v>
      </c>
      <c r="H12" s="336">
        <f>E34</f>
        <v>1498.25</v>
      </c>
      <c r="I12" s="61"/>
      <c r="J12" s="61"/>
      <c r="K12" s="61"/>
    </row>
    <row r="13" spans="1:11" ht="20.100000000000001" customHeight="1">
      <c r="A13" s="59"/>
      <c r="B13" s="75"/>
      <c r="C13" s="75"/>
      <c r="D13" s="80" t="s">
        <v>12</v>
      </c>
      <c r="E13" s="82">
        <f>($H$12/E12-1)*100</f>
        <v>-17.105139398365623</v>
      </c>
      <c r="F13" s="82">
        <f>($H$12/F12-1)*100</f>
        <v>7.8653707703383757</v>
      </c>
      <c r="G13" s="82">
        <f>($H$12/G12-1)*100</f>
        <v>8.3500334001329612E-2</v>
      </c>
      <c r="H13" s="82">
        <f>($H$12/H12-1)*100</f>
        <v>0</v>
      </c>
      <c r="I13" s="61"/>
      <c r="J13" s="61"/>
      <c r="K13" s="61"/>
    </row>
    <row r="14" spans="1:11" ht="15" customHeight="1">
      <c r="A14" s="59"/>
      <c r="B14" s="75"/>
      <c r="C14" s="85"/>
      <c r="D14" s="73"/>
      <c r="E14" s="86"/>
      <c r="F14" s="86"/>
      <c r="G14" s="86"/>
      <c r="H14" s="87"/>
      <c r="I14" s="61"/>
      <c r="J14" s="61"/>
      <c r="K14" s="61"/>
    </row>
    <row r="15" spans="1:11" ht="20.100000000000001" customHeight="1">
      <c r="A15" s="59"/>
      <c r="B15" s="75"/>
      <c r="C15" s="76" t="s">
        <v>524</v>
      </c>
      <c r="D15" s="88"/>
      <c r="E15" s="68"/>
      <c r="F15" s="68"/>
      <c r="G15" s="68"/>
      <c r="H15" s="89"/>
      <c r="I15" s="61"/>
      <c r="J15" s="61"/>
      <c r="K15" s="61"/>
    </row>
    <row r="16" spans="1:11" ht="15" customHeight="1">
      <c r="A16" s="59"/>
      <c r="B16" s="75"/>
      <c r="C16" s="79"/>
      <c r="D16" s="77"/>
      <c r="E16" s="90"/>
      <c r="F16" s="90"/>
      <c r="G16" s="90"/>
      <c r="H16" s="78"/>
      <c r="I16" s="61"/>
      <c r="J16" s="61"/>
      <c r="K16" s="61"/>
    </row>
    <row r="17" spans="1:15" ht="20.100000000000001" customHeight="1">
      <c r="A17" s="59"/>
      <c r="B17" s="75"/>
      <c r="C17" s="91" t="s">
        <v>7</v>
      </c>
      <c r="D17" s="80" t="s">
        <v>28</v>
      </c>
      <c r="E17" s="81">
        <f>B31</f>
        <v>455.69</v>
      </c>
      <c r="F17" s="81">
        <f>C31</f>
        <v>478.46</v>
      </c>
      <c r="G17" s="81">
        <f>D31</f>
        <v>499.16</v>
      </c>
      <c r="H17" s="84">
        <f>E31</f>
        <v>489.18</v>
      </c>
      <c r="I17" s="61"/>
      <c r="J17" s="61"/>
      <c r="K17" s="61"/>
    </row>
    <row r="18" spans="1:15" ht="20.100000000000001" customHeight="1">
      <c r="A18" s="59"/>
      <c r="B18" s="75"/>
      <c r="C18" s="79"/>
      <c r="D18" s="80" t="s">
        <v>12</v>
      </c>
      <c r="E18" s="82">
        <f>($H$17/E17-1)*100</f>
        <v>7.3492944765081614</v>
      </c>
      <c r="F18" s="82">
        <f>($H$17/F17-1)*100</f>
        <v>2.2405216737031441</v>
      </c>
      <c r="G18" s="82">
        <f>($H$17/G17-1)*100</f>
        <v>-1.9993589229906239</v>
      </c>
      <c r="H18" s="82">
        <f>($H$17/H17-1)*100</f>
        <v>0</v>
      </c>
      <c r="I18" s="61"/>
      <c r="J18" s="61"/>
      <c r="K18" s="61"/>
    </row>
    <row r="19" spans="1:15" ht="15" customHeight="1">
      <c r="A19" s="59"/>
      <c r="B19" s="75"/>
      <c r="C19" s="79"/>
      <c r="D19" s="80"/>
      <c r="E19" s="82"/>
      <c r="F19" s="82"/>
      <c r="G19" s="305" t="s">
        <v>296</v>
      </c>
      <c r="H19" s="83">
        <v>3.5583</v>
      </c>
      <c r="I19" s="61"/>
      <c r="J19" s="61"/>
      <c r="K19" s="61"/>
    </row>
    <row r="20" spans="1:15" ht="20.100000000000001" customHeight="1">
      <c r="A20" s="59"/>
      <c r="B20" s="75"/>
      <c r="C20" s="92" t="s">
        <v>525</v>
      </c>
      <c r="D20" s="93"/>
      <c r="E20" s="94"/>
      <c r="F20" s="94"/>
      <c r="G20" s="94"/>
      <c r="H20" s="95"/>
      <c r="I20" s="61"/>
      <c r="J20" s="61"/>
      <c r="K20" s="61"/>
    </row>
    <row r="21" spans="1:15" ht="15" customHeight="1">
      <c r="A21" s="59"/>
      <c r="B21" s="75"/>
      <c r="C21" s="77"/>
      <c r="D21" s="77"/>
      <c r="E21" s="77"/>
      <c r="F21" s="77"/>
      <c r="G21" s="77"/>
      <c r="H21" s="78"/>
      <c r="I21" s="61"/>
      <c r="J21" s="61"/>
      <c r="K21" s="61"/>
    </row>
    <row r="22" spans="1:15" ht="20.100000000000001" customHeight="1">
      <c r="A22" s="59"/>
      <c r="B22" s="96"/>
      <c r="C22" s="91" t="s">
        <v>29</v>
      </c>
      <c r="D22" s="80" t="s">
        <v>28</v>
      </c>
      <c r="E22" s="81">
        <f>B33</f>
        <v>295.88</v>
      </c>
      <c r="F22" s="81">
        <f>C33</f>
        <v>367.54</v>
      </c>
      <c r="G22" s="81">
        <f>D33</f>
        <v>366.03</v>
      </c>
      <c r="H22" s="84">
        <f>E33</f>
        <v>373.06</v>
      </c>
      <c r="I22" s="61"/>
      <c r="J22" s="61"/>
      <c r="K22" s="61"/>
    </row>
    <row r="23" spans="1:15" ht="15" customHeight="1">
      <c r="A23" s="59"/>
      <c r="B23" s="96"/>
      <c r="C23" s="79"/>
      <c r="D23" s="80" t="s">
        <v>12</v>
      </c>
      <c r="E23" s="82">
        <f>($H$22/E22-1)*100</f>
        <v>26.084899283493314</v>
      </c>
      <c r="F23" s="82">
        <f>($H$22/F22-1)*100</f>
        <v>1.5018773466833446</v>
      </c>
      <c r="G23" s="82">
        <f>($H$22/G22-1)*100</f>
        <v>1.9206076004699257</v>
      </c>
      <c r="H23" s="82">
        <f>($H$22/H22-1)*100</f>
        <v>0</v>
      </c>
      <c r="I23" s="61"/>
      <c r="J23" s="61"/>
      <c r="K23" s="61"/>
      <c r="O23" s="1219"/>
    </row>
    <row r="24" spans="1:15" ht="20.100000000000001" customHeight="1">
      <c r="A24" s="59"/>
      <c r="B24" s="96"/>
      <c r="C24" s="1271" t="s">
        <v>432</v>
      </c>
      <c r="D24" s="1272"/>
      <c r="E24" s="234"/>
      <c r="F24" s="234"/>
      <c r="G24" s="234"/>
      <c r="H24" s="95"/>
      <c r="I24" s="61"/>
      <c r="J24" s="61"/>
      <c r="K24" s="61"/>
    </row>
    <row r="25" spans="1:15" ht="20.100000000000001" customHeight="1">
      <c r="A25" s="59"/>
      <c r="B25" s="96"/>
      <c r="C25" s="279" t="s">
        <v>206</v>
      </c>
      <c r="D25" s="277" t="s">
        <v>47</v>
      </c>
      <c r="E25" s="303" t="s">
        <v>308</v>
      </c>
      <c r="F25" s="302">
        <f>H10*1.3228</f>
        <v>171.50102000000001</v>
      </c>
      <c r="G25" s="275" t="s">
        <v>298</v>
      </c>
      <c r="H25" s="84">
        <f>F25*H19</f>
        <v>610.25207946600005</v>
      </c>
      <c r="I25" s="61"/>
      <c r="J25" s="61"/>
      <c r="K25" s="61"/>
    </row>
    <row r="26" spans="1:15" ht="20.100000000000001" customHeight="1">
      <c r="A26" s="59"/>
      <c r="B26" s="67"/>
      <c r="C26" s="280" t="s">
        <v>33</v>
      </c>
      <c r="D26" s="278" t="s">
        <v>225</v>
      </c>
      <c r="E26" s="282" t="s">
        <v>297</v>
      </c>
      <c r="F26" s="281">
        <f>H12/16.6</f>
        <v>90.256024096385531</v>
      </c>
      <c r="G26" s="276" t="s">
        <v>299</v>
      </c>
      <c r="H26" s="235">
        <f>F26*H19</f>
        <v>321.15801054216865</v>
      </c>
      <c r="I26" s="61"/>
      <c r="J26" s="61"/>
      <c r="K26" s="61"/>
    </row>
    <row r="27" spans="1:15" ht="17.100000000000001" customHeight="1">
      <c r="A27" s="59"/>
      <c r="B27" s="63" t="s">
        <v>350</v>
      </c>
      <c r="C27" s="64"/>
      <c r="D27" s="64"/>
      <c r="E27" s="64"/>
      <c r="F27" s="64"/>
      <c r="G27" s="64"/>
      <c r="H27" s="64"/>
      <c r="I27" s="61"/>
      <c r="J27" s="372" t="s">
        <v>309</v>
      </c>
      <c r="K27" s="373">
        <f ca="1">NOW()</f>
        <v>42471.706796064813</v>
      </c>
    </row>
    <row r="28" spans="1:15">
      <c r="K28" s="4"/>
    </row>
    <row r="29" spans="1:15">
      <c r="A29" s="3" t="s">
        <v>261</v>
      </c>
      <c r="K29" s="4"/>
    </row>
    <row r="30" spans="1:15">
      <c r="A30" s="122"/>
      <c r="B30" s="52" t="s">
        <v>24</v>
      </c>
      <c r="C30" s="52" t="s">
        <v>25</v>
      </c>
      <c r="D30" s="52" t="s">
        <v>26</v>
      </c>
      <c r="E30" s="121" t="s">
        <v>27</v>
      </c>
      <c r="K30" s="4"/>
    </row>
    <row r="31" spans="1:15">
      <c r="A31" s="55" t="s">
        <v>7</v>
      </c>
      <c r="B31" s="56">
        <v>455.69</v>
      </c>
      <c r="C31" s="56">
        <v>478.46</v>
      </c>
      <c r="D31" s="56">
        <v>499.16</v>
      </c>
      <c r="E31" s="56">
        <v>489.18</v>
      </c>
    </row>
    <row r="32" spans="1:15" ht="15">
      <c r="A32" s="53" t="s">
        <v>207</v>
      </c>
      <c r="B32" s="1202">
        <v>127.29</v>
      </c>
      <c r="C32" s="1202">
        <v>122.58</v>
      </c>
      <c r="D32" s="1202">
        <v>133.09</v>
      </c>
      <c r="E32" s="1202">
        <v>129.65</v>
      </c>
      <c r="G32" s="123"/>
      <c r="H32" s="123"/>
      <c r="I32" s="123"/>
    </row>
    <row r="33" spans="1:9" ht="14.25">
      <c r="A33" s="53" t="s">
        <v>29</v>
      </c>
      <c r="B33" s="54">
        <v>295.88</v>
      </c>
      <c r="C33" s="54">
        <v>367.54</v>
      </c>
      <c r="D33" s="54">
        <v>366.03</v>
      </c>
      <c r="E33" s="54">
        <v>373.06</v>
      </c>
      <c r="G33" s="124"/>
      <c r="H33" s="124"/>
      <c r="I33" s="124"/>
    </row>
    <row r="34" spans="1:9" ht="15">
      <c r="A34" s="57" t="s">
        <v>208</v>
      </c>
      <c r="B34" s="1203">
        <v>1807.41</v>
      </c>
      <c r="C34" s="1203">
        <v>1389</v>
      </c>
      <c r="D34" s="1203">
        <v>1497</v>
      </c>
      <c r="E34" s="1203">
        <v>1498.25</v>
      </c>
      <c r="G34" s="125"/>
      <c r="H34" s="126"/>
      <c r="I34" s="125"/>
    </row>
  </sheetData>
  <mergeCells count="6">
    <mergeCell ref="C24:D24"/>
    <mergeCell ref="A1:K1"/>
    <mergeCell ref="E4:G4"/>
    <mergeCell ref="B4:B7"/>
    <mergeCell ref="C4:C7"/>
    <mergeCell ref="D4:D7"/>
  </mergeCells>
  <phoneticPr fontId="13" type="noConversion"/>
  <printOptions horizontalCentered="1" verticalCentered="1"/>
  <pageMargins left="0.31496062992125984" right="0.31496062992125984" top="0.78740157480314965" bottom="0.78740157480314965" header="0.5118110236220472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28</vt:i4>
      </vt:variant>
      <vt:variant>
        <vt:lpstr>Intervalos nomeados</vt:lpstr>
      </vt:variant>
      <vt:variant>
        <vt:i4>1</vt:i4>
      </vt:variant>
    </vt:vector>
  </HeadingPairs>
  <TitlesOfParts>
    <vt:vector size="29" baseType="lpstr">
      <vt:lpstr>Capa</vt:lpstr>
      <vt:lpstr>CCapa</vt:lpstr>
      <vt:lpstr>Indice</vt:lpstr>
      <vt:lpstr>Mundial</vt:lpstr>
      <vt:lpstr>Brasil</vt:lpstr>
      <vt:lpstr>Indicadores</vt:lpstr>
      <vt:lpstr>Estoque</vt:lpstr>
      <vt:lpstr>Série Safras</vt:lpstr>
      <vt:lpstr>Preço</vt:lpstr>
      <vt:lpstr>Cotações</vt:lpstr>
      <vt:lpstr>Agro Ano</vt:lpstr>
      <vt:lpstr>Agro Mês</vt:lpstr>
      <vt:lpstr>Importações</vt:lpstr>
      <vt:lpstr>Exportações</vt:lpstr>
      <vt:lpstr>Exp. Verde</vt:lpstr>
      <vt:lpstr>Exp. Solúvel</vt:lpstr>
      <vt:lpstr>Exp. Torrado</vt:lpstr>
      <vt:lpstr>Exp. Extrato</vt:lpstr>
      <vt:lpstr>Total</vt:lpstr>
      <vt:lpstr>Destinos</vt:lpstr>
      <vt:lpstr>Custos</vt:lpstr>
      <vt:lpstr>PM</vt:lpstr>
      <vt:lpstr>Safra 16</vt:lpstr>
      <vt:lpstr>Safra 15</vt:lpstr>
      <vt:lpstr>Safra 14</vt:lpstr>
      <vt:lpstr>Ranking</vt:lpstr>
      <vt:lpstr>Plan1</vt:lpstr>
      <vt:lpstr>Plan2</vt:lpstr>
      <vt:lpstr>Mundial!Area_de_impressao</vt:lpstr>
    </vt:vector>
  </TitlesOfParts>
  <Company>conab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geame</dc:creator>
  <cp:lastModifiedBy>airton.camargo</cp:lastModifiedBy>
  <cp:lastPrinted>2016-04-11T18:01:54Z</cp:lastPrinted>
  <dcterms:created xsi:type="dcterms:W3CDTF">2001-03-13T14:19:45Z</dcterms:created>
  <dcterms:modified xsi:type="dcterms:W3CDTF">2016-04-11T19:58:22Z</dcterms:modified>
</cp:coreProperties>
</file>