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20.xml" ContentType="application/vnd.openxmlformats-officedocument.drawingml.chartshapes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drawings/drawing5.xml" ContentType="application/vnd.openxmlformats-officedocument.drawing+xml"/>
  <Default Extension="emf" ContentType="image/x-emf"/>
  <Override PartName="/xl/charts/chart3.xml" ContentType="application/vnd.openxmlformats-officedocument.drawingml.chart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/>
  <bookViews>
    <workbookView xWindow="75" yWindow="-165" windowWidth="18375" windowHeight="5055" tabRatio="932"/>
  </bookViews>
  <sheets>
    <sheet name="Capa" sheetId="56" r:id="rId1"/>
    <sheet name="CCapa" sheetId="55" r:id="rId2"/>
    <sheet name="Indice" sheetId="57" r:id="rId3"/>
    <sheet name="Resumo" sheetId="82" r:id="rId4"/>
    <sheet name="1.Mundial" sheetId="7" r:id="rId5"/>
    <sheet name="2.Brasil" sheetId="11" r:id="rId6"/>
    <sheet name="3.Indicadores" sheetId="34" r:id="rId7"/>
    <sheet name="4.Estoque" sheetId="32" r:id="rId8"/>
    <sheet name="5.Série Safras" sheetId="58" r:id="rId9"/>
    <sheet name="6.Preços" sheetId="12" r:id="rId10"/>
    <sheet name="7.Gráfico" sheetId="81" r:id="rId11"/>
    <sheet name="8.Cotações" sheetId="33" r:id="rId12"/>
    <sheet name="9.Agro Ano" sheetId="39" r:id="rId13"/>
    <sheet name="10.Agro Mês" sheetId="35" r:id="rId14"/>
    <sheet name="11.Importações" sheetId="44" r:id="rId15"/>
    <sheet name="12.Exportações" sheetId="40" r:id="rId16"/>
    <sheet name="13.Evolução" sheetId="80" r:id="rId17"/>
    <sheet name="14.Exp. Verde" sheetId="69" r:id="rId18"/>
    <sheet name="15.Exp. Solúvel" sheetId="67" r:id="rId19"/>
    <sheet name="16.Exp. Torrado" sheetId="65" r:id="rId20"/>
    <sheet name="17.Exp. Extrato" sheetId="68" r:id="rId21"/>
    <sheet name="18.Total" sheetId="77" r:id="rId22"/>
    <sheet name="19.Destinos" sheetId="63" r:id="rId23"/>
    <sheet name="20.Custos" sheetId="78" r:id="rId24"/>
    <sheet name="21.PM" sheetId="38" r:id="rId25"/>
    <sheet name="22.Safra 16" sheetId="73" r:id="rId26"/>
    <sheet name="23.Safra 15" sheetId="79" r:id="rId27"/>
    <sheet name="24.Safra 14" sheetId="76" r:id="rId28"/>
    <sheet name="25.Ranking" sheetId="28" r:id="rId29"/>
    <sheet name="Plan1" sheetId="74" r:id="rId30"/>
    <sheet name="QS" sheetId="83" r:id="rId31"/>
    <sheet name="Plan3" sheetId="84" r:id="rId32"/>
    <sheet name="Plan2" sheetId="85" r:id="rId33"/>
  </sheets>
  <externalReferences>
    <externalReference r:id="rId34"/>
  </externalReferences>
  <definedNames>
    <definedName name="_xlnm.Print_Area" localSheetId="4">'1.Mundial'!$A$1:$U$28</definedName>
    <definedName name="OLE_LINK1" localSheetId="3">Resumo!$B$2</definedName>
  </definedNames>
  <calcPr calcId="125725"/>
</workbook>
</file>

<file path=xl/calcChain.xml><?xml version="1.0" encoding="utf-8"?>
<calcChain xmlns="http://schemas.openxmlformats.org/spreadsheetml/2006/main">
  <c r="J32" i="78"/>
  <c r="J7"/>
  <c r="E14" i="68"/>
  <c r="H36" i="76"/>
  <c r="H36" i="79"/>
  <c r="H36" i="73"/>
  <c r="V11" i="80"/>
  <c r="V12"/>
  <c r="V13"/>
  <c r="V14"/>
  <c r="V10"/>
  <c r="V22"/>
  <c r="V23"/>
  <c r="V24"/>
  <c r="V25"/>
  <c r="V21"/>
  <c r="L11"/>
  <c r="L12"/>
  <c r="L13"/>
  <c r="L14"/>
  <c r="L22"/>
  <c r="L23"/>
  <c r="L24"/>
  <c r="L25"/>
  <c r="L21"/>
  <c r="L10"/>
  <c r="E13" i="44"/>
  <c r="N15" i="77"/>
  <c r="L11"/>
  <c r="L15"/>
  <c r="P15" s="1"/>
  <c r="F11"/>
  <c r="F15"/>
  <c r="H15" s="1"/>
  <c r="C11"/>
  <c r="C15"/>
  <c r="U26" i="80"/>
  <c r="K26"/>
  <c r="U15"/>
  <c r="K15"/>
  <c r="D15" i="65"/>
  <c r="E14"/>
  <c r="E14" i="67"/>
  <c r="E14" i="69"/>
  <c r="L14" i="68"/>
  <c r="K14"/>
  <c r="J14"/>
  <c r="I14"/>
  <c r="J13"/>
  <c r="I13"/>
  <c r="J12"/>
  <c r="I12"/>
  <c r="J11"/>
  <c r="I11"/>
  <c r="J10"/>
  <c r="I10"/>
  <c r="J9"/>
  <c r="I9"/>
  <c r="J8"/>
  <c r="I8"/>
  <c r="L14" i="65"/>
  <c r="K14"/>
  <c r="J14"/>
  <c r="I14"/>
  <c r="J13"/>
  <c r="I13"/>
  <c r="J12"/>
  <c r="I12"/>
  <c r="J11"/>
  <c r="I11"/>
  <c r="J10"/>
  <c r="I10"/>
  <c r="J9"/>
  <c r="I9"/>
  <c r="J8"/>
  <c r="I8"/>
  <c r="L14" i="67"/>
  <c r="K14"/>
  <c r="J14"/>
  <c r="I14"/>
  <c r="J13"/>
  <c r="I13"/>
  <c r="J12"/>
  <c r="I12"/>
  <c r="K11"/>
  <c r="J11"/>
  <c r="I11"/>
  <c r="K10"/>
  <c r="J10"/>
  <c r="I10"/>
  <c r="K9"/>
  <c r="J9"/>
  <c r="I9"/>
  <c r="K8"/>
  <c r="J8"/>
  <c r="I8"/>
  <c r="K7"/>
  <c r="I7"/>
  <c r="K6"/>
  <c r="I6"/>
  <c r="L6" i="69"/>
  <c r="L7"/>
  <c r="L8"/>
  <c r="L9"/>
  <c r="L10"/>
  <c r="L11"/>
  <c r="L12"/>
  <c r="L13"/>
  <c r="L14"/>
  <c r="K6"/>
  <c r="K7"/>
  <c r="K8"/>
  <c r="K9"/>
  <c r="K10"/>
  <c r="K11"/>
  <c r="K12"/>
  <c r="K13"/>
  <c r="K14"/>
  <c r="J6"/>
  <c r="J7"/>
  <c r="J8"/>
  <c r="J9"/>
  <c r="J10"/>
  <c r="J11"/>
  <c r="J12"/>
  <c r="J13"/>
  <c r="J14"/>
  <c r="I6"/>
  <c r="I7"/>
  <c r="I9"/>
  <c r="I8"/>
  <c r="I10"/>
  <c r="I11"/>
  <c r="I12"/>
  <c r="I13"/>
  <c r="I14"/>
  <c r="G15" i="68"/>
  <c r="L13" s="1"/>
  <c r="F15"/>
  <c r="K12" s="1"/>
  <c r="D15"/>
  <c r="C15"/>
  <c r="G15" i="65"/>
  <c r="L13" s="1"/>
  <c r="F15"/>
  <c r="K13" s="1"/>
  <c r="C15"/>
  <c r="G15" i="67"/>
  <c r="L13" s="1"/>
  <c r="F15"/>
  <c r="K13" s="1"/>
  <c r="G15" i="69"/>
  <c r="F15"/>
  <c r="D15" i="67"/>
  <c r="C15"/>
  <c r="D15" i="69"/>
  <c r="C15"/>
  <c r="J6" i="67" l="1"/>
  <c r="L6"/>
  <c r="J7"/>
  <c r="L7"/>
  <c r="L8"/>
  <c r="L9"/>
  <c r="L10"/>
  <c r="L11"/>
  <c r="L12"/>
  <c r="K12"/>
  <c r="I6" i="65"/>
  <c r="K6"/>
  <c r="K7"/>
  <c r="J6"/>
  <c r="L6"/>
  <c r="J7"/>
  <c r="L7"/>
  <c r="L8"/>
  <c r="L9"/>
  <c r="L10"/>
  <c r="L11"/>
  <c r="L12"/>
  <c r="I7"/>
  <c r="K8"/>
  <c r="K9"/>
  <c r="K10"/>
  <c r="K11"/>
  <c r="K12"/>
  <c r="I6" i="68"/>
  <c r="K6"/>
  <c r="I7"/>
  <c r="K8"/>
  <c r="K10"/>
  <c r="K11"/>
  <c r="K13"/>
  <c r="J6"/>
  <c r="L6"/>
  <c r="J7"/>
  <c r="L7"/>
  <c r="L8"/>
  <c r="L9"/>
  <c r="L10"/>
  <c r="L11"/>
  <c r="L12"/>
  <c r="K7"/>
  <c r="K9"/>
  <c r="I15" i="77"/>
  <c r="K15" s="1"/>
  <c r="E15"/>
  <c r="O34" i="76"/>
  <c r="P34" s="1"/>
  <c r="N34"/>
  <c r="F34"/>
  <c r="E34"/>
  <c r="G34" s="1"/>
  <c r="O33"/>
  <c r="P33" s="1"/>
  <c r="N33"/>
  <c r="N35" s="1"/>
  <c r="H35" s="1"/>
  <c r="L33"/>
  <c r="K33"/>
  <c r="M33" s="1"/>
  <c r="I33"/>
  <c r="F33"/>
  <c r="F35" s="1"/>
  <c r="G35" s="1"/>
  <c r="E33"/>
  <c r="E35" s="1"/>
  <c r="O34" i="79"/>
  <c r="P34" s="1"/>
  <c r="N34"/>
  <c r="F34"/>
  <c r="E34"/>
  <c r="G34" s="1"/>
  <c r="O33"/>
  <c r="P33" s="1"/>
  <c r="N33"/>
  <c r="N35" s="1"/>
  <c r="K33"/>
  <c r="I33"/>
  <c r="F33"/>
  <c r="F35" s="1"/>
  <c r="E33"/>
  <c r="E35" s="1"/>
  <c r="K22" i="73"/>
  <c r="S25" i="7"/>
  <c r="Q25"/>
  <c r="H33" i="76" l="1"/>
  <c r="G33"/>
  <c r="J33"/>
  <c r="O35"/>
  <c r="G35" i="79"/>
  <c r="H33"/>
  <c r="G33"/>
  <c r="J33"/>
  <c r="H35"/>
  <c r="O35"/>
  <c r="L33"/>
  <c r="M33" s="1"/>
  <c r="D112" i="63"/>
  <c r="G120"/>
  <c r="T26" i="80"/>
  <c r="J26"/>
  <c r="J15"/>
  <c r="T15"/>
  <c r="N14" i="77"/>
  <c r="O15" s="1"/>
  <c r="L14"/>
  <c r="M15" s="1"/>
  <c r="F14"/>
  <c r="C14"/>
  <c r="D15" s="1"/>
  <c r="E13" i="68"/>
  <c r="E13" i="65"/>
  <c r="E15"/>
  <c r="E13" i="67"/>
  <c r="E13" i="69"/>
  <c r="C38" i="78"/>
  <c r="E41"/>
  <c r="C41"/>
  <c r="D38"/>
  <c r="B38"/>
  <c r="E24"/>
  <c r="C24"/>
  <c r="E13"/>
  <c r="C13"/>
  <c r="E17"/>
  <c r="C17"/>
  <c r="E30"/>
  <c r="C30"/>
  <c r="D41"/>
  <c r="B41"/>
  <c r="E40"/>
  <c r="C40"/>
  <c r="E37"/>
  <c r="C37"/>
  <c r="E36"/>
  <c r="C36"/>
  <c r="H14" i="77" l="1"/>
  <c r="G15"/>
  <c r="P35" i="76"/>
  <c r="K35"/>
  <c r="P35" i="79"/>
  <c r="K35"/>
  <c r="E14" i="77"/>
  <c r="I14"/>
  <c r="J15" s="1"/>
  <c r="P14"/>
  <c r="Q15" s="1"/>
  <c r="E43" i="63"/>
  <c r="S26" i="80"/>
  <c r="S15"/>
  <c r="I26"/>
  <c r="I15"/>
  <c r="E12" i="68"/>
  <c r="E12" i="65"/>
  <c r="E12" i="67"/>
  <c r="E12" i="69"/>
  <c r="N13" i="77"/>
  <c r="O14" s="1"/>
  <c r="L13"/>
  <c r="M14" s="1"/>
  <c r="F13"/>
  <c r="G14" s="1"/>
  <c r="C13"/>
  <c r="E13" s="1"/>
  <c r="E16" i="83"/>
  <c r="H16" s="1"/>
  <c r="I16" s="1"/>
  <c r="J16" s="1"/>
  <c r="E6"/>
  <c r="E18"/>
  <c r="H18" s="1"/>
  <c r="E17"/>
  <c r="H17" s="1"/>
  <c r="I17" s="1"/>
  <c r="J17" s="1"/>
  <c r="E15"/>
  <c r="H15" s="1"/>
  <c r="I15" s="1"/>
  <c r="J15" s="1"/>
  <c r="E14"/>
  <c r="H14" s="1"/>
  <c r="I14" s="1"/>
  <c r="J14" s="1"/>
  <c r="E13"/>
  <c r="H13" s="1"/>
  <c r="I13" s="1"/>
  <c r="J13" s="1"/>
  <c r="E12"/>
  <c r="H12" s="1"/>
  <c r="I12" s="1"/>
  <c r="J12" s="1"/>
  <c r="E11"/>
  <c r="H11" s="1"/>
  <c r="I11" s="1"/>
  <c r="J11" s="1"/>
  <c r="E10"/>
  <c r="H10" s="1"/>
  <c r="I10" s="1"/>
  <c r="J10" s="1"/>
  <c r="E9"/>
  <c r="H9" s="1"/>
  <c r="I9" s="1"/>
  <c r="J9" s="1"/>
  <c r="E8"/>
  <c r="H8" s="1"/>
  <c r="I8" s="1"/>
  <c r="J8" s="1"/>
  <c r="E7"/>
  <c r="H7" s="1"/>
  <c r="I7" s="1"/>
  <c r="J7" s="1"/>
  <c r="F23" i="44"/>
  <c r="G23"/>
  <c r="K14" i="77" l="1"/>
  <c r="D14"/>
  <c r="P13"/>
  <c r="Q14" s="1"/>
  <c r="H13"/>
  <c r="I13"/>
  <c r="J14" s="1"/>
  <c r="I10" i="44"/>
  <c r="D59" i="63"/>
  <c r="N12" i="77"/>
  <c r="O13" s="1"/>
  <c r="L12"/>
  <c r="M13" s="1"/>
  <c r="F12"/>
  <c r="C12"/>
  <c r="D13" s="1"/>
  <c r="E11" i="68"/>
  <c r="E11" i="65"/>
  <c r="E11" i="67"/>
  <c r="E11" i="69"/>
  <c r="H12" i="77" l="1"/>
  <c r="G13"/>
  <c r="K13"/>
  <c r="P12"/>
  <c r="Q13" s="1"/>
  <c r="I12"/>
  <c r="J13" s="1"/>
  <c r="E12"/>
  <c r="R15" i="80"/>
  <c r="H15"/>
  <c r="V15"/>
  <c r="Q26"/>
  <c r="H26"/>
  <c r="G26"/>
  <c r="R26"/>
  <c r="O26"/>
  <c r="P26"/>
  <c r="N26"/>
  <c r="M26"/>
  <c r="F26"/>
  <c r="E26"/>
  <c r="D26"/>
  <c r="C26"/>
  <c r="Q15"/>
  <c r="P15"/>
  <c r="O15"/>
  <c r="N15"/>
  <c r="M15"/>
  <c r="G15"/>
  <c r="F15"/>
  <c r="E15"/>
  <c r="D15"/>
  <c r="C15"/>
  <c r="K12" i="77" l="1"/>
  <c r="V26" i="80"/>
  <c r="L26"/>
  <c r="L15"/>
  <c r="F125" i="63"/>
  <c r="E125"/>
  <c r="C125"/>
  <c r="B125"/>
  <c r="D116"/>
  <c r="D90"/>
  <c r="H34"/>
  <c r="G34"/>
  <c r="I114"/>
  <c r="H114"/>
  <c r="G114"/>
  <c r="D114"/>
  <c r="G55"/>
  <c r="G56"/>
  <c r="G57"/>
  <c r="G58"/>
  <c r="G63"/>
  <c r="G59"/>
  <c r="G60"/>
  <c r="G65"/>
  <c r="G61"/>
  <c r="G67"/>
  <c r="G64"/>
  <c r="G69"/>
  <c r="G62"/>
  <c r="G68"/>
  <c r="G66"/>
  <c r="M12" i="77"/>
  <c r="G12"/>
  <c r="D12"/>
  <c r="E10" i="68"/>
  <c r="E10" i="65"/>
  <c r="E10" i="67"/>
  <c r="E10" i="69"/>
  <c r="N11" i="77"/>
  <c r="O12" s="1"/>
  <c r="I8" i="44"/>
  <c r="I9"/>
  <c r="H8"/>
  <c r="H9"/>
  <c r="N7" i="77"/>
  <c r="N10"/>
  <c r="L10"/>
  <c r="F10"/>
  <c r="C10"/>
  <c r="M11" l="1"/>
  <c r="G11"/>
  <c r="O11"/>
  <c r="P11"/>
  <c r="Q12" s="1"/>
  <c r="H11"/>
  <c r="I11"/>
  <c r="J12" s="1"/>
  <c r="D11"/>
  <c r="E11"/>
  <c r="H15" i="67"/>
  <c r="G95" i="63"/>
  <c r="I95"/>
  <c r="H95"/>
  <c r="D95"/>
  <c r="G93"/>
  <c r="G96"/>
  <c r="G92"/>
  <c r="D69"/>
  <c r="I41"/>
  <c r="H41"/>
  <c r="G41"/>
  <c r="P10" i="77"/>
  <c r="I10"/>
  <c r="H10"/>
  <c r="E10"/>
  <c r="E9" i="68"/>
  <c r="E9" i="65"/>
  <c r="E9" i="67"/>
  <c r="E9" i="69"/>
  <c r="G12" i="78"/>
  <c r="J95" i="63" l="1"/>
  <c r="K11" i="77"/>
  <c r="Q11"/>
  <c r="J11"/>
  <c r="K10"/>
  <c r="F9"/>
  <c r="G10" s="1"/>
  <c r="F8"/>
  <c r="C8"/>
  <c r="C9"/>
  <c r="D10" s="1"/>
  <c r="D122" i="63"/>
  <c r="G124"/>
  <c r="I124"/>
  <c r="H124"/>
  <c r="G117"/>
  <c r="I117"/>
  <c r="H117"/>
  <c r="D117"/>
  <c r="D96"/>
  <c r="D85"/>
  <c r="F43"/>
  <c r="C43"/>
  <c r="B43"/>
  <c r="D30"/>
  <c r="D115"/>
  <c r="D120"/>
  <c r="D118"/>
  <c r="G38"/>
  <c r="I87"/>
  <c r="H87"/>
  <c r="G87"/>
  <c r="G14" i="40"/>
  <c r="E8" i="68"/>
  <c r="N9" i="77"/>
  <c r="O10" s="1"/>
  <c r="L9"/>
  <c r="M10" s="1"/>
  <c r="E8" i="65"/>
  <c r="E8" i="67"/>
  <c r="E8" i="69"/>
  <c r="M18" i="34"/>
  <c r="N18"/>
  <c r="I19" i="32"/>
  <c r="F19"/>
  <c r="C7" i="77"/>
  <c r="G16" i="35"/>
  <c r="E16"/>
  <c r="N26" i="7"/>
  <c r="L26"/>
  <c r="M11" s="1"/>
  <c r="I115" i="63"/>
  <c r="H115"/>
  <c r="G115"/>
  <c r="G91"/>
  <c r="I91"/>
  <c r="H91"/>
  <c r="D91"/>
  <c r="D92"/>
  <c r="D93"/>
  <c r="D87"/>
  <c r="D94"/>
  <c r="D88"/>
  <c r="G89"/>
  <c r="I89"/>
  <c r="H89"/>
  <c r="D89"/>
  <c r="I57"/>
  <c r="H57"/>
  <c r="D57"/>
  <c r="G28"/>
  <c r="G29"/>
  <c r="G30"/>
  <c r="G32"/>
  <c r="G31"/>
  <c r="G33"/>
  <c r="G35"/>
  <c r="G36"/>
  <c r="G39"/>
  <c r="G42"/>
  <c r="G40"/>
  <c r="G37"/>
  <c r="J115" l="1"/>
  <c r="J19" i="32"/>
  <c r="G15" i="40"/>
  <c r="G13"/>
  <c r="P9" i="77"/>
  <c r="Q10" s="1"/>
  <c r="M25" i="7"/>
  <c r="J87" i="63"/>
  <c r="J117"/>
  <c r="J124"/>
  <c r="I16" i="35"/>
  <c r="M10" i="7"/>
  <c r="M24"/>
  <c r="M22"/>
  <c r="M20"/>
  <c r="M18"/>
  <c r="M16"/>
  <c r="M14"/>
  <c r="M12"/>
  <c r="M26"/>
  <c r="M23"/>
  <c r="M21"/>
  <c r="M19"/>
  <c r="M17"/>
  <c r="M15"/>
  <c r="M13"/>
  <c r="J91" i="63"/>
  <c r="J89"/>
  <c r="I10" l="1"/>
  <c r="I11"/>
  <c r="B11" l="1"/>
  <c r="D11" s="1"/>
  <c r="K17" i="40"/>
  <c r="J17"/>
  <c r="I17"/>
  <c r="F17"/>
  <c r="L17" l="1"/>
  <c r="N8" i="77"/>
  <c r="O9" s="1"/>
  <c r="L8"/>
  <c r="M9" s="1"/>
  <c r="E7" i="68"/>
  <c r="E7" i="67"/>
  <c r="E7" i="65"/>
  <c r="H16" i="40"/>
  <c r="D19" i="68"/>
  <c r="E16" i="40" s="1"/>
  <c r="E15" i="68"/>
  <c r="D19" i="67"/>
  <c r="E14" i="40" s="1"/>
  <c r="H13"/>
  <c r="G12" i="35"/>
  <c r="K16" i="40" l="1"/>
  <c r="H15"/>
  <c r="H14"/>
  <c r="G19" i="68"/>
  <c r="H15"/>
  <c r="G16" i="40"/>
  <c r="F19" i="68"/>
  <c r="H15" i="65"/>
  <c r="G14" i="35"/>
  <c r="G19" i="65"/>
  <c r="F19"/>
  <c r="G13" i="35"/>
  <c r="F19" i="67"/>
  <c r="G19"/>
  <c r="F19" i="69"/>
  <c r="G19"/>
  <c r="C19" i="68"/>
  <c r="D16" i="40" s="1"/>
  <c r="D19" i="65"/>
  <c r="E15" i="40" s="1"/>
  <c r="I8" i="77"/>
  <c r="P8"/>
  <c r="Q9" s="1"/>
  <c r="H8"/>
  <c r="E8"/>
  <c r="D19" i="69"/>
  <c r="E13" i="40" s="1"/>
  <c r="C19" i="69"/>
  <c r="D13" i="40" s="1"/>
  <c r="G15" i="35" l="1"/>
  <c r="E10" i="63"/>
  <c r="K8" i="77"/>
  <c r="E15" i="69"/>
  <c r="E7"/>
  <c r="N26" i="11"/>
  <c r="O26" s="1"/>
  <c r="M26"/>
  <c r="O23" l="1"/>
  <c r="O25"/>
  <c r="O22"/>
  <c r="O24"/>
  <c r="L19"/>
  <c r="M19"/>
  <c r="N19"/>
  <c r="Q8" i="74"/>
  <c r="P8"/>
  <c r="O8"/>
  <c r="N8"/>
  <c r="M8"/>
  <c r="L8"/>
  <c r="K8"/>
  <c r="J8"/>
  <c r="I8"/>
  <c r="H8"/>
  <c r="G8"/>
  <c r="F8"/>
  <c r="E8"/>
  <c r="D8"/>
  <c r="C8"/>
  <c r="B8"/>
  <c r="M72" i="28"/>
  <c r="K72"/>
  <c r="I72"/>
  <c r="G72" l="1"/>
  <c r="E72"/>
  <c r="C72"/>
  <c r="M71" s="1"/>
  <c r="L71" s="1"/>
  <c r="K71" s="1"/>
  <c r="J71" s="1"/>
  <c r="I71" s="1"/>
  <c r="H71" s="1"/>
  <c r="G71" s="1"/>
  <c r="F71" s="1"/>
  <c r="E71" s="1"/>
  <c r="D71" s="1"/>
  <c r="C71" s="1"/>
  <c r="B71" s="1"/>
  <c r="L70" l="1"/>
  <c r="J70"/>
  <c r="H70"/>
  <c r="F70"/>
  <c r="D70"/>
  <c r="B70"/>
  <c r="M69"/>
  <c r="K69"/>
  <c r="I69"/>
  <c r="G69"/>
  <c r="E69"/>
  <c r="C69"/>
  <c r="M68"/>
  <c r="K68"/>
  <c r="I68"/>
  <c r="G68"/>
  <c r="E68"/>
  <c r="C68"/>
  <c r="M67"/>
  <c r="K67"/>
  <c r="I67"/>
  <c r="G67"/>
  <c r="E67"/>
  <c r="C67"/>
  <c r="M66"/>
  <c r="K66"/>
  <c r="I66"/>
  <c r="G66"/>
  <c r="E66"/>
  <c r="C66"/>
  <c r="M65"/>
  <c r="K65"/>
  <c r="I65"/>
  <c r="G65"/>
  <c r="E65"/>
  <c r="C65"/>
  <c r="M64"/>
  <c r="K64"/>
  <c r="I64"/>
  <c r="G64"/>
  <c r="E64"/>
  <c r="C64"/>
  <c r="M63"/>
  <c r="K63"/>
  <c r="I63"/>
  <c r="G63"/>
  <c r="E63"/>
  <c r="C63"/>
  <c r="M62"/>
  <c r="K62"/>
  <c r="I62"/>
  <c r="G62"/>
  <c r="E62"/>
  <c r="C62"/>
  <c r="M61"/>
  <c r="K61"/>
  <c r="I61"/>
  <c r="G61"/>
  <c r="E61"/>
  <c r="C61"/>
  <c r="M60"/>
  <c r="K60"/>
  <c r="I60"/>
  <c r="G60"/>
  <c r="E60"/>
  <c r="C60"/>
  <c r="M59"/>
  <c r="K59"/>
  <c r="I59"/>
  <c r="G59"/>
  <c r="E59"/>
  <c r="C59"/>
  <c r="M58"/>
  <c r="K58"/>
  <c r="I58"/>
  <c r="G58"/>
  <c r="E58"/>
  <c r="C58"/>
  <c r="M57"/>
  <c r="K57"/>
  <c r="I57"/>
  <c r="G57"/>
  <c r="E57"/>
  <c r="C57"/>
  <c r="M56"/>
  <c r="K56"/>
  <c r="I56"/>
  <c r="G56"/>
  <c r="E56"/>
  <c r="C56"/>
  <c r="M55"/>
  <c r="K55"/>
  <c r="I55"/>
  <c r="G55"/>
  <c r="E55"/>
  <c r="C55"/>
  <c r="M49"/>
  <c r="K49"/>
  <c r="I49"/>
  <c r="G49"/>
  <c r="E49"/>
  <c r="C49"/>
  <c r="M48" s="1"/>
  <c r="L48" s="1"/>
  <c r="K48" s="1"/>
  <c r="J48" s="1"/>
  <c r="I48" s="1"/>
  <c r="H48" s="1"/>
  <c r="G48" s="1"/>
  <c r="F48" s="1"/>
  <c r="E48" s="1"/>
  <c r="D48" s="1"/>
  <c r="C48" s="1"/>
  <c r="B48" s="1"/>
  <c r="L47"/>
  <c r="J47"/>
  <c r="H47"/>
  <c r="F47"/>
  <c r="D47"/>
  <c r="B47"/>
  <c r="M46"/>
  <c r="K46"/>
  <c r="I46"/>
  <c r="G46"/>
  <c r="E46"/>
  <c r="C46"/>
  <c r="M45"/>
  <c r="K45"/>
  <c r="I45"/>
  <c r="G45"/>
  <c r="E45"/>
  <c r="C45"/>
  <c r="M44"/>
  <c r="K44"/>
  <c r="I44"/>
  <c r="G44"/>
  <c r="E44"/>
  <c r="C44"/>
  <c r="M43"/>
  <c r="K43"/>
  <c r="I43"/>
  <c r="G43"/>
  <c r="E43"/>
  <c r="C43"/>
  <c r="M42"/>
  <c r="K42"/>
  <c r="I42"/>
  <c r="G42"/>
  <c r="E42"/>
  <c r="C42"/>
  <c r="M41"/>
  <c r="K41"/>
  <c r="I41"/>
  <c r="G41"/>
  <c r="E41"/>
  <c r="C41"/>
  <c r="M40"/>
  <c r="K40"/>
  <c r="I40"/>
  <c r="G40"/>
  <c r="E40"/>
  <c r="C40"/>
  <c r="M39"/>
  <c r="K39"/>
  <c r="I39"/>
  <c r="G39"/>
  <c r="E39"/>
  <c r="C39"/>
  <c r="M38"/>
  <c r="K38"/>
  <c r="I38"/>
  <c r="G38"/>
  <c r="E38"/>
  <c r="C38"/>
  <c r="M37"/>
  <c r="K37"/>
  <c r="I37"/>
  <c r="G37"/>
  <c r="E37"/>
  <c r="C37"/>
  <c r="M36"/>
  <c r="K36"/>
  <c r="I36"/>
  <c r="G36"/>
  <c r="E36"/>
  <c r="C36"/>
  <c r="M35"/>
  <c r="K35"/>
  <c r="I35"/>
  <c r="G35"/>
  <c r="E35"/>
  <c r="C35"/>
  <c r="M34"/>
  <c r="K34"/>
  <c r="I34"/>
  <c r="G34"/>
  <c r="E34"/>
  <c r="C34"/>
  <c r="M33"/>
  <c r="K33"/>
  <c r="I33"/>
  <c r="G33"/>
  <c r="E33"/>
  <c r="C33"/>
  <c r="M32"/>
  <c r="K32"/>
  <c r="I32"/>
  <c r="G32"/>
  <c r="E32"/>
  <c r="C32"/>
  <c r="M26"/>
  <c r="K26"/>
  <c r="I26"/>
  <c r="G26"/>
  <c r="E26"/>
  <c r="C26"/>
  <c r="M25" s="1"/>
  <c r="L25" s="1"/>
  <c r="K25" s="1"/>
  <c r="J25" s="1"/>
  <c r="I25" s="1"/>
  <c r="H25" s="1"/>
  <c r="G25" s="1"/>
  <c r="F25" s="1"/>
  <c r="E25" s="1"/>
  <c r="D25" s="1"/>
  <c r="C25" s="1"/>
  <c r="B25" s="1"/>
  <c r="L24"/>
  <c r="J24"/>
  <c r="H24"/>
  <c r="F24"/>
  <c r="D24"/>
  <c r="B24"/>
  <c r="M23"/>
  <c r="K23"/>
  <c r="I23"/>
  <c r="G23"/>
  <c r="E23"/>
  <c r="C23"/>
  <c r="M22"/>
  <c r="K22"/>
  <c r="I22"/>
  <c r="G22"/>
  <c r="E22"/>
  <c r="C22"/>
  <c r="M21"/>
  <c r="K21"/>
  <c r="I21"/>
  <c r="G21"/>
  <c r="E21"/>
  <c r="C21"/>
  <c r="M20"/>
  <c r="K20"/>
  <c r="I20"/>
  <c r="G20"/>
  <c r="E20"/>
  <c r="C20"/>
  <c r="M19"/>
  <c r="K19"/>
  <c r="I19"/>
  <c r="G19"/>
  <c r="E19"/>
  <c r="C19"/>
  <c r="M18"/>
  <c r="K18"/>
  <c r="I18"/>
  <c r="G18"/>
  <c r="E18"/>
  <c r="C18"/>
  <c r="M17"/>
  <c r="K17"/>
  <c r="I17"/>
  <c r="G17"/>
  <c r="E17"/>
  <c r="C17"/>
  <c r="M16"/>
  <c r="K16"/>
  <c r="I16"/>
  <c r="G16"/>
  <c r="E16"/>
  <c r="C16"/>
  <c r="M15"/>
  <c r="K15"/>
  <c r="I15"/>
  <c r="G15"/>
  <c r="E15"/>
  <c r="C15"/>
  <c r="M14"/>
  <c r="K14"/>
  <c r="I14"/>
  <c r="G14"/>
  <c r="E14"/>
  <c r="C14"/>
  <c r="M13"/>
  <c r="K13"/>
  <c r="I13"/>
  <c r="G13"/>
  <c r="E13"/>
  <c r="C13"/>
  <c r="M12"/>
  <c r="K12"/>
  <c r="I12"/>
  <c r="G12"/>
  <c r="E12"/>
  <c r="C12"/>
  <c r="M11"/>
  <c r="K11"/>
  <c r="I11"/>
  <c r="G11"/>
  <c r="E11"/>
  <c r="C11"/>
  <c r="M10"/>
  <c r="K10"/>
  <c r="I10"/>
  <c r="G10"/>
  <c r="E10"/>
  <c r="C10"/>
  <c r="M9"/>
  <c r="K9"/>
  <c r="I9"/>
  <c r="G9"/>
  <c r="E9"/>
  <c r="C9"/>
  <c r="P31" i="76" l="1"/>
  <c r="L31"/>
  <c r="K31"/>
  <c r="G31"/>
  <c r="P30"/>
  <c r="I30"/>
  <c r="H30"/>
  <c r="G30"/>
  <c r="O32"/>
  <c r="N32"/>
  <c r="L32"/>
  <c r="K32"/>
  <c r="H32"/>
  <c r="F32"/>
  <c r="I32" s="1"/>
  <c r="E32"/>
  <c r="P29"/>
  <c r="I29"/>
  <c r="H29"/>
  <c r="G29"/>
  <c r="P28"/>
  <c r="I28"/>
  <c r="H28"/>
  <c r="G28"/>
  <c r="P27"/>
  <c r="I27"/>
  <c r="H27"/>
  <c r="G27"/>
  <c r="P25"/>
  <c r="L25"/>
  <c r="K25"/>
  <c r="G25"/>
  <c r="P24"/>
  <c r="I24"/>
  <c r="H24"/>
  <c r="G24"/>
  <c r="O26"/>
  <c r="P26" s="1"/>
  <c r="N26"/>
  <c r="L26"/>
  <c r="K26"/>
  <c r="I26"/>
  <c r="H26"/>
  <c r="F26"/>
  <c r="G26" s="1"/>
  <c r="E26"/>
  <c r="P22"/>
  <c r="L22"/>
  <c r="K22"/>
  <c r="G22"/>
  <c r="P21"/>
  <c r="I21"/>
  <c r="H21"/>
  <c r="G21"/>
  <c r="P20"/>
  <c r="L20"/>
  <c r="K20"/>
  <c r="G20"/>
  <c r="P19"/>
  <c r="I19"/>
  <c r="H19"/>
  <c r="G19"/>
  <c r="P18"/>
  <c r="I18"/>
  <c r="H18"/>
  <c r="G18"/>
  <c r="P17"/>
  <c r="I17"/>
  <c r="H17"/>
  <c r="G17"/>
  <c r="O23"/>
  <c r="P23" s="1"/>
  <c r="N23"/>
  <c r="L23"/>
  <c r="K23"/>
  <c r="I23"/>
  <c r="H23"/>
  <c r="F23"/>
  <c r="E23"/>
  <c r="P16"/>
  <c r="I16"/>
  <c r="H16"/>
  <c r="G16"/>
  <c r="P14"/>
  <c r="L14"/>
  <c r="K14"/>
  <c r="M14" s="1"/>
  <c r="G14"/>
  <c r="P13"/>
  <c r="I13"/>
  <c r="H13"/>
  <c r="G13"/>
  <c r="M32" l="1"/>
  <c r="M20"/>
  <c r="G32"/>
  <c r="P32"/>
  <c r="J13"/>
  <c r="G23"/>
  <c r="J23"/>
  <c r="M22"/>
  <c r="J26"/>
  <c r="M26"/>
  <c r="M31"/>
  <c r="M23"/>
  <c r="M25"/>
  <c r="J32"/>
  <c r="J16"/>
  <c r="J17"/>
  <c r="J18"/>
  <c r="J19"/>
  <c r="J24"/>
  <c r="J27"/>
  <c r="J28"/>
  <c r="J29"/>
  <c r="J21"/>
  <c r="J30"/>
  <c r="O15"/>
  <c r="N15"/>
  <c r="L15"/>
  <c r="K15"/>
  <c r="I15"/>
  <c r="H15"/>
  <c r="F15"/>
  <c r="E15"/>
  <c r="P11"/>
  <c r="L11"/>
  <c r="K11"/>
  <c r="G11"/>
  <c r="P10"/>
  <c r="I10"/>
  <c r="H10"/>
  <c r="G10"/>
  <c r="P9"/>
  <c r="I9"/>
  <c r="H9"/>
  <c r="G9"/>
  <c r="G15" l="1"/>
  <c r="J10"/>
  <c r="M11"/>
  <c r="J15"/>
  <c r="M15"/>
  <c r="P15"/>
  <c r="J9"/>
  <c r="O12"/>
  <c r="N12"/>
  <c r="L12"/>
  <c r="K12"/>
  <c r="I12"/>
  <c r="H12"/>
  <c r="F12"/>
  <c r="E12"/>
  <c r="P8"/>
  <c r="L8"/>
  <c r="K8"/>
  <c r="G8"/>
  <c r="P7"/>
  <c r="L7"/>
  <c r="K7"/>
  <c r="G7"/>
  <c r="P31" i="79"/>
  <c r="L31"/>
  <c r="K31"/>
  <c r="M31" s="1"/>
  <c r="G31"/>
  <c r="P30"/>
  <c r="I30"/>
  <c r="H30"/>
  <c r="G30"/>
  <c r="O32"/>
  <c r="N32"/>
  <c r="L32"/>
  <c r="M32" s="1"/>
  <c r="K32"/>
  <c r="H32"/>
  <c r="F32"/>
  <c r="E32"/>
  <c r="P29"/>
  <c r="I29"/>
  <c r="H29"/>
  <c r="G29"/>
  <c r="P28"/>
  <c r="I28"/>
  <c r="H28"/>
  <c r="G28"/>
  <c r="P27"/>
  <c r="I27"/>
  <c r="H27"/>
  <c r="G27"/>
  <c r="P25"/>
  <c r="L25"/>
  <c r="K25"/>
  <c r="G25"/>
  <c r="P24"/>
  <c r="I24"/>
  <c r="H24"/>
  <c r="G24"/>
  <c r="O26"/>
  <c r="N26"/>
  <c r="L26"/>
  <c r="K26"/>
  <c r="I26"/>
  <c r="H26"/>
  <c r="F26"/>
  <c r="E26"/>
  <c r="P22"/>
  <c r="L22"/>
  <c r="K22"/>
  <c r="G22"/>
  <c r="P21"/>
  <c r="I21"/>
  <c r="H21"/>
  <c r="G21"/>
  <c r="P20"/>
  <c r="L20"/>
  <c r="K20"/>
  <c r="G20"/>
  <c r="P19"/>
  <c r="I19"/>
  <c r="H19"/>
  <c r="G19"/>
  <c r="P18"/>
  <c r="I18"/>
  <c r="H18"/>
  <c r="G18"/>
  <c r="P17"/>
  <c r="I17"/>
  <c r="H17"/>
  <c r="G17"/>
  <c r="O23"/>
  <c r="N23"/>
  <c r="L23"/>
  <c r="K23"/>
  <c r="I23"/>
  <c r="H23"/>
  <c r="F23"/>
  <c r="E23"/>
  <c r="P16"/>
  <c r="I16"/>
  <c r="H16"/>
  <c r="G16"/>
  <c r="P14"/>
  <c r="L14"/>
  <c r="K14"/>
  <c r="G14"/>
  <c r="P13"/>
  <c r="I13"/>
  <c r="H13"/>
  <c r="G13"/>
  <c r="O15"/>
  <c r="N15"/>
  <c r="L15"/>
  <c r="K15"/>
  <c r="I15"/>
  <c r="H15"/>
  <c r="F15"/>
  <c r="E15"/>
  <c r="P11"/>
  <c r="L11"/>
  <c r="K11"/>
  <c r="G11"/>
  <c r="P10"/>
  <c r="I10"/>
  <c r="H10"/>
  <c r="G10"/>
  <c r="P9"/>
  <c r="I9"/>
  <c r="H9"/>
  <c r="G9"/>
  <c r="O12"/>
  <c r="N12"/>
  <c r="L12"/>
  <c r="K12"/>
  <c r="I12"/>
  <c r="H12"/>
  <c r="F12"/>
  <c r="E12"/>
  <c r="P8"/>
  <c r="L8"/>
  <c r="K8"/>
  <c r="G8"/>
  <c r="P7"/>
  <c r="L7"/>
  <c r="K7"/>
  <c r="G7"/>
  <c r="O34" i="73"/>
  <c r="N34"/>
  <c r="F34"/>
  <c r="E34"/>
  <c r="O33"/>
  <c r="N33"/>
  <c r="N35" s="1"/>
  <c r="F33"/>
  <c r="F35" s="1"/>
  <c r="E33"/>
  <c r="E35" s="1"/>
  <c r="H33" s="1"/>
  <c r="P31"/>
  <c r="L31"/>
  <c r="K31"/>
  <c r="G31"/>
  <c r="P30"/>
  <c r="I30"/>
  <c r="H30"/>
  <c r="G30"/>
  <c r="O32"/>
  <c r="N32"/>
  <c r="L32"/>
  <c r="K32"/>
  <c r="H32"/>
  <c r="F32"/>
  <c r="E32"/>
  <c r="P29"/>
  <c r="I29"/>
  <c r="H29"/>
  <c r="G29"/>
  <c r="P28"/>
  <c r="I28"/>
  <c r="H28"/>
  <c r="G28"/>
  <c r="P27"/>
  <c r="I27"/>
  <c r="H27"/>
  <c r="G27"/>
  <c r="P25"/>
  <c r="L25"/>
  <c r="K25"/>
  <c r="G25"/>
  <c r="P24"/>
  <c r="I24"/>
  <c r="H24"/>
  <c r="G24"/>
  <c r="O26"/>
  <c r="N26"/>
  <c r="L26"/>
  <c r="K26"/>
  <c r="I26"/>
  <c r="H26"/>
  <c r="F26"/>
  <c r="E26"/>
  <c r="L22"/>
  <c r="I21"/>
  <c r="P20"/>
  <c r="L20"/>
  <c r="K20"/>
  <c r="G20"/>
  <c r="P19"/>
  <c r="I19"/>
  <c r="H19"/>
  <c r="G19"/>
  <c r="P18"/>
  <c r="I18"/>
  <c r="H18"/>
  <c r="G18"/>
  <c r="P17"/>
  <c r="I17"/>
  <c r="H17"/>
  <c r="G17"/>
  <c r="O23"/>
  <c r="N23"/>
  <c r="L23"/>
  <c r="K23"/>
  <c r="I23"/>
  <c r="H23"/>
  <c r="F23"/>
  <c r="E23"/>
  <c r="P16"/>
  <c r="I16"/>
  <c r="H16"/>
  <c r="G16"/>
  <c r="P14"/>
  <c r="L14"/>
  <c r="K14"/>
  <c r="G14"/>
  <c r="P13"/>
  <c r="I13"/>
  <c r="H13"/>
  <c r="G13"/>
  <c r="O15"/>
  <c r="N15"/>
  <c r="L15"/>
  <c r="K15"/>
  <c r="I15"/>
  <c r="H15"/>
  <c r="F15"/>
  <c r="E15"/>
  <c r="P11"/>
  <c r="L11"/>
  <c r="K11"/>
  <c r="G11"/>
  <c r="P10"/>
  <c r="I10"/>
  <c r="H10"/>
  <c r="G10"/>
  <c r="P9"/>
  <c r="I9"/>
  <c r="H9"/>
  <c r="G9"/>
  <c r="O12"/>
  <c r="N12"/>
  <c r="L12"/>
  <c r="K12"/>
  <c r="I12"/>
  <c r="H12"/>
  <c r="F12"/>
  <c r="E12"/>
  <c r="P8"/>
  <c r="L8"/>
  <c r="K8"/>
  <c r="G8"/>
  <c r="P7"/>
  <c r="L7"/>
  <c r="K7"/>
  <c r="G7"/>
  <c r="L33" l="1"/>
  <c r="K33"/>
  <c r="J12" i="76"/>
  <c r="P12"/>
  <c r="M8"/>
  <c r="M7"/>
  <c r="G12"/>
  <c r="M12"/>
  <c r="M7" i="79"/>
  <c r="G12"/>
  <c r="M12"/>
  <c r="M11"/>
  <c r="J15"/>
  <c r="P15"/>
  <c r="G23"/>
  <c r="M23"/>
  <c r="M20"/>
  <c r="G26"/>
  <c r="M26"/>
  <c r="M25"/>
  <c r="I32"/>
  <c r="M8"/>
  <c r="J12"/>
  <c r="P12"/>
  <c r="G15"/>
  <c r="M15"/>
  <c r="J13"/>
  <c r="M14"/>
  <c r="J23"/>
  <c r="P23"/>
  <c r="M22"/>
  <c r="J26"/>
  <c r="P26"/>
  <c r="J28"/>
  <c r="G32"/>
  <c r="P32"/>
  <c r="J9"/>
  <c r="J17"/>
  <c r="J19"/>
  <c r="J24"/>
  <c r="J30"/>
  <c r="J10"/>
  <c r="J16"/>
  <c r="J18"/>
  <c r="J21"/>
  <c r="J27"/>
  <c r="J29"/>
  <c r="J32"/>
  <c r="M7" i="73"/>
  <c r="G12"/>
  <c r="M12"/>
  <c r="M11"/>
  <c r="J15"/>
  <c r="P15"/>
  <c r="G23"/>
  <c r="M23"/>
  <c r="M20"/>
  <c r="J26"/>
  <c r="P26"/>
  <c r="G32"/>
  <c r="M32"/>
  <c r="M31"/>
  <c r="G34"/>
  <c r="M8"/>
  <c r="J12"/>
  <c r="P12"/>
  <c r="G15"/>
  <c r="M15"/>
  <c r="M14"/>
  <c r="J23"/>
  <c r="P23"/>
  <c r="G26"/>
  <c r="M26"/>
  <c r="J24"/>
  <c r="M25"/>
  <c r="P32"/>
  <c r="O35"/>
  <c r="P35" s="1"/>
  <c r="P34"/>
  <c r="J10"/>
  <c r="J16"/>
  <c r="J18"/>
  <c r="J28"/>
  <c r="J30"/>
  <c r="J9"/>
  <c r="J13"/>
  <c r="J17"/>
  <c r="J19"/>
  <c r="J27"/>
  <c r="J29"/>
  <c r="I32"/>
  <c r="J32" s="1"/>
  <c r="G33"/>
  <c r="I33"/>
  <c r="J33" s="1"/>
  <c r="P33"/>
  <c r="I41" i="78"/>
  <c r="H41"/>
  <c r="E39"/>
  <c r="C39"/>
  <c r="I38"/>
  <c r="H38"/>
  <c r="E35"/>
  <c r="C35"/>
  <c r="E34"/>
  <c r="C34"/>
  <c r="E33"/>
  <c r="C33"/>
  <c r="H32"/>
  <c r="F32"/>
  <c r="D32"/>
  <c r="B32"/>
  <c r="I31"/>
  <c r="H31"/>
  <c r="D31"/>
  <c r="B31"/>
  <c r="I29"/>
  <c r="H29"/>
  <c r="E28"/>
  <c r="C28"/>
  <c r="I27"/>
  <c r="H27"/>
  <c r="D27"/>
  <c r="E27" s="1"/>
  <c r="B27"/>
  <c r="C27" s="1"/>
  <c r="E26"/>
  <c r="C26"/>
  <c r="I23"/>
  <c r="H23"/>
  <c r="D23"/>
  <c r="B23"/>
  <c r="E22"/>
  <c r="C22"/>
  <c r="I21"/>
  <c r="H21"/>
  <c r="D21"/>
  <c r="E21" s="1"/>
  <c r="B21"/>
  <c r="C21" s="1"/>
  <c r="E20"/>
  <c r="C20"/>
  <c r="E19"/>
  <c r="C19"/>
  <c r="E18"/>
  <c r="C18"/>
  <c r="E16"/>
  <c r="C16"/>
  <c r="I15"/>
  <c r="I25" s="1"/>
  <c r="H15"/>
  <c r="H25" s="1"/>
  <c r="D15"/>
  <c r="D25" s="1"/>
  <c r="B15"/>
  <c r="B25" s="1"/>
  <c r="I14"/>
  <c r="H14"/>
  <c r="D14"/>
  <c r="B14"/>
  <c r="I12"/>
  <c r="H12"/>
  <c r="I8"/>
  <c r="H8"/>
  <c r="E8"/>
  <c r="C8"/>
  <c r="H7"/>
  <c r="F7"/>
  <c r="I7" s="1"/>
  <c r="F127" i="63"/>
  <c r="E127"/>
  <c r="C127"/>
  <c r="I119"/>
  <c r="H119"/>
  <c r="G119"/>
  <c r="D119"/>
  <c r="I118"/>
  <c r="H118"/>
  <c r="G118"/>
  <c r="J118" s="1"/>
  <c r="I121"/>
  <c r="H121"/>
  <c r="G121"/>
  <c r="D121"/>
  <c r="I116"/>
  <c r="H116"/>
  <c r="G116"/>
  <c r="I113"/>
  <c r="H113"/>
  <c r="G113"/>
  <c r="D113"/>
  <c r="I112"/>
  <c r="H112"/>
  <c r="G112"/>
  <c r="J112" s="1"/>
  <c r="I110"/>
  <c r="H110"/>
  <c r="G110"/>
  <c r="D110"/>
  <c r="I111"/>
  <c r="H111"/>
  <c r="G111"/>
  <c r="D111"/>
  <c r="H108"/>
  <c r="E107"/>
  <c r="B107"/>
  <c r="F99"/>
  <c r="C99"/>
  <c r="M33" i="73" l="1"/>
  <c r="E31" i="78"/>
  <c r="C14"/>
  <c r="C15"/>
  <c r="E15"/>
  <c r="C23"/>
  <c r="E38"/>
  <c r="E25"/>
  <c r="C25"/>
  <c r="E14"/>
  <c r="E23"/>
  <c r="C31"/>
  <c r="I127" i="63"/>
  <c r="C126"/>
  <c r="F126"/>
  <c r="E126"/>
  <c r="I125"/>
  <c r="J111"/>
  <c r="J110"/>
  <c r="I99"/>
  <c r="J114"/>
  <c r="G125"/>
  <c r="G127"/>
  <c r="J113"/>
  <c r="J116"/>
  <c r="J121"/>
  <c r="J119"/>
  <c r="D125"/>
  <c r="H125"/>
  <c r="F97"/>
  <c r="E97"/>
  <c r="C97"/>
  <c r="C98" s="1"/>
  <c r="B97"/>
  <c r="I90"/>
  <c r="H90"/>
  <c r="G90"/>
  <c r="I86"/>
  <c r="H86"/>
  <c r="G86"/>
  <c r="D86"/>
  <c r="I84"/>
  <c r="H84"/>
  <c r="G84"/>
  <c r="D84"/>
  <c r="I85"/>
  <c r="H85"/>
  <c r="G85"/>
  <c r="J85" s="1"/>
  <c r="I83"/>
  <c r="H83"/>
  <c r="G83"/>
  <c r="D83"/>
  <c r="I82"/>
  <c r="H82"/>
  <c r="G82"/>
  <c r="D82"/>
  <c r="H80"/>
  <c r="E79"/>
  <c r="B79"/>
  <c r="F72"/>
  <c r="C72"/>
  <c r="C32" i="78" l="1"/>
  <c r="E32"/>
  <c r="J125" i="63"/>
  <c r="J82"/>
  <c r="J83"/>
  <c r="D97"/>
  <c r="G97"/>
  <c r="I72"/>
  <c r="J84"/>
  <c r="J86"/>
  <c r="J90"/>
  <c r="F70"/>
  <c r="E70"/>
  <c r="C70"/>
  <c r="C71" s="1"/>
  <c r="B70"/>
  <c r="I62"/>
  <c r="H62"/>
  <c r="D62"/>
  <c r="J97" l="1"/>
  <c r="I97" s="1"/>
  <c r="H97" s="1"/>
  <c r="G70"/>
  <c r="I70"/>
  <c r="H70" s="1"/>
  <c r="J62"/>
  <c r="D70"/>
  <c r="I69"/>
  <c r="H69"/>
  <c r="I67"/>
  <c r="H67"/>
  <c r="D67"/>
  <c r="I66"/>
  <c r="H66"/>
  <c r="D66"/>
  <c r="I64"/>
  <c r="H64"/>
  <c r="D64"/>
  <c r="I59"/>
  <c r="H59"/>
  <c r="I61"/>
  <c r="H61"/>
  <c r="D61"/>
  <c r="I68"/>
  <c r="H68"/>
  <c r="D68"/>
  <c r="I65"/>
  <c r="H65"/>
  <c r="D65"/>
  <c r="I63"/>
  <c r="H63"/>
  <c r="D63"/>
  <c r="I60"/>
  <c r="H60"/>
  <c r="D60"/>
  <c r="I58"/>
  <c r="H58"/>
  <c r="D58"/>
  <c r="I56"/>
  <c r="H56"/>
  <c r="D56"/>
  <c r="I55"/>
  <c r="H55"/>
  <c r="D55"/>
  <c r="H53"/>
  <c r="E52"/>
  <c r="B52"/>
  <c r="J57" l="1"/>
  <c r="J56"/>
  <c r="J58"/>
  <c r="J60"/>
  <c r="J63"/>
  <c r="J65"/>
  <c r="J68"/>
  <c r="J67"/>
  <c r="J55"/>
  <c r="J70"/>
  <c r="J61"/>
  <c r="J69"/>
  <c r="J59"/>
  <c r="J64"/>
  <c r="J66"/>
  <c r="F45"/>
  <c r="C45"/>
  <c r="I37"/>
  <c r="H37"/>
  <c r="D37"/>
  <c r="I40"/>
  <c r="H40"/>
  <c r="D40"/>
  <c r="D41"/>
  <c r="J41" s="1"/>
  <c r="I42"/>
  <c r="H42"/>
  <c r="D42"/>
  <c r="C44" l="1"/>
  <c r="F44"/>
  <c r="H43"/>
  <c r="J42"/>
  <c r="J37"/>
  <c r="G43"/>
  <c r="I45"/>
  <c r="J40"/>
  <c r="D43"/>
  <c r="I43"/>
  <c r="I38"/>
  <c r="H38"/>
  <c r="D38"/>
  <c r="I39"/>
  <c r="H39"/>
  <c r="D39"/>
  <c r="I36"/>
  <c r="H36"/>
  <c r="D36"/>
  <c r="I35"/>
  <c r="H35"/>
  <c r="D35"/>
  <c r="I33"/>
  <c r="H33"/>
  <c r="D33"/>
  <c r="I34"/>
  <c r="D34"/>
  <c r="I31"/>
  <c r="H31"/>
  <c r="D31"/>
  <c r="I32"/>
  <c r="H32"/>
  <c r="D32"/>
  <c r="I30"/>
  <c r="H30"/>
  <c r="I29"/>
  <c r="H29"/>
  <c r="D29"/>
  <c r="I28"/>
  <c r="H28"/>
  <c r="D28"/>
  <c r="H26"/>
  <c r="E25"/>
  <c r="B25"/>
  <c r="J43" l="1"/>
  <c r="J28"/>
  <c r="J29"/>
  <c r="J30"/>
  <c r="J32"/>
  <c r="J31"/>
  <c r="J34"/>
  <c r="J33"/>
  <c r="J39"/>
  <c r="J38"/>
  <c r="J35"/>
  <c r="J36"/>
  <c r="F12"/>
  <c r="C12"/>
  <c r="G10"/>
  <c r="I9"/>
  <c r="I8"/>
  <c r="I7"/>
  <c r="I12" l="1"/>
  <c r="G11"/>
  <c r="J11" s="1"/>
  <c r="H11"/>
  <c r="L7" i="77"/>
  <c r="F7"/>
  <c r="L19" l="1"/>
  <c r="M8"/>
  <c r="N19"/>
  <c r="O8"/>
  <c r="D8"/>
  <c r="G8"/>
  <c r="P7"/>
  <c r="Q8" s="1"/>
  <c r="I7"/>
  <c r="J8" s="1"/>
  <c r="E7"/>
  <c r="H7"/>
  <c r="H19" i="68"/>
  <c r="H18"/>
  <c r="H17"/>
  <c r="H16"/>
  <c r="H14"/>
  <c r="H13"/>
  <c r="H12"/>
  <c r="H11"/>
  <c r="H10"/>
  <c r="H9"/>
  <c r="H8"/>
  <c r="H7"/>
  <c r="H6"/>
  <c r="E6"/>
  <c r="H18" i="65"/>
  <c r="H17"/>
  <c r="H16"/>
  <c r="H14"/>
  <c r="H13"/>
  <c r="H12"/>
  <c r="H11"/>
  <c r="H10"/>
  <c r="H9"/>
  <c r="H8"/>
  <c r="H7"/>
  <c r="H6"/>
  <c r="E6"/>
  <c r="H18" i="67"/>
  <c r="H17"/>
  <c r="H16"/>
  <c r="H14"/>
  <c r="H13"/>
  <c r="H12"/>
  <c r="H11"/>
  <c r="H10"/>
  <c r="H9"/>
  <c r="H8"/>
  <c r="H7"/>
  <c r="H6"/>
  <c r="E6"/>
  <c r="H18" i="69"/>
  <c r="H17"/>
  <c r="H16"/>
  <c r="H14"/>
  <c r="H13"/>
  <c r="H12"/>
  <c r="H11"/>
  <c r="H10"/>
  <c r="H9"/>
  <c r="H8"/>
  <c r="H7"/>
  <c r="H6"/>
  <c r="E6"/>
  <c r="I16" i="40"/>
  <c r="E9" i="63"/>
  <c r="E8"/>
  <c r="H18" i="40"/>
  <c r="E7" i="63"/>
  <c r="P19" i="77" l="1"/>
  <c r="E19" i="68"/>
  <c r="H19" i="65"/>
  <c r="H19" i="67"/>
  <c r="E19" i="69"/>
  <c r="E72" i="63"/>
  <c r="G8"/>
  <c r="E45"/>
  <c r="E12"/>
  <c r="G7"/>
  <c r="E99"/>
  <c r="G9"/>
  <c r="I14" i="40"/>
  <c r="I13"/>
  <c r="I15"/>
  <c r="G18"/>
  <c r="K7" i="77"/>
  <c r="I23" i="44"/>
  <c r="H23"/>
  <c r="E23"/>
  <c r="D23"/>
  <c r="G99" i="63" l="1"/>
  <c r="E98"/>
  <c r="G45"/>
  <c r="E44"/>
  <c r="G72"/>
  <c r="E71"/>
  <c r="G13" i="44"/>
  <c r="F13"/>
  <c r="D13"/>
  <c r="I11"/>
  <c r="H11"/>
  <c r="H10"/>
  <c r="I30" i="35"/>
  <c r="H30"/>
  <c r="F30"/>
  <c r="H13" i="44" l="1"/>
  <c r="I13"/>
  <c r="I28" i="35"/>
  <c r="H28"/>
  <c r="F28"/>
  <c r="I27"/>
  <c r="H27"/>
  <c r="F27"/>
  <c r="I26"/>
  <c r="H26"/>
  <c r="F26"/>
  <c r="I25"/>
  <c r="H25"/>
  <c r="F25"/>
  <c r="I24"/>
  <c r="H24"/>
  <c r="F24"/>
  <c r="I23"/>
  <c r="H23"/>
  <c r="F23"/>
  <c r="I22"/>
  <c r="H22"/>
  <c r="F22"/>
  <c r="I21"/>
  <c r="H21"/>
  <c r="F21"/>
  <c r="I20"/>
  <c r="H20"/>
  <c r="F20"/>
  <c r="I19"/>
  <c r="H19"/>
  <c r="F19"/>
  <c r="I18"/>
  <c r="H18"/>
  <c r="F18"/>
  <c r="I17"/>
  <c r="H17"/>
  <c r="F17"/>
  <c r="H15"/>
  <c r="H14"/>
  <c r="H13"/>
  <c r="H12"/>
  <c r="G11" l="1"/>
  <c r="G29" l="1"/>
  <c r="H29" s="1"/>
  <c r="H11"/>
  <c r="I10"/>
  <c r="H10"/>
  <c r="F10"/>
  <c r="I9"/>
  <c r="H9"/>
  <c r="F9"/>
  <c r="I8" l="1"/>
  <c r="H8"/>
  <c r="F8"/>
  <c r="I7"/>
  <c r="H7"/>
  <c r="F7"/>
  <c r="I30" i="39"/>
  <c r="H30"/>
  <c r="F30"/>
  <c r="G29" l="1"/>
  <c r="H29" s="1"/>
  <c r="I28" l="1"/>
  <c r="H28"/>
  <c r="F28"/>
  <c r="I27"/>
  <c r="H27"/>
  <c r="F27"/>
  <c r="I26"/>
  <c r="H26"/>
  <c r="F26"/>
  <c r="I25"/>
  <c r="H25"/>
  <c r="F25"/>
  <c r="I24"/>
  <c r="H24"/>
  <c r="F24"/>
  <c r="I23"/>
  <c r="H23"/>
  <c r="F23"/>
  <c r="I22"/>
  <c r="H22"/>
  <c r="F22"/>
  <c r="I21"/>
  <c r="H21"/>
  <c r="F21"/>
  <c r="I20"/>
  <c r="H20"/>
  <c r="F20"/>
  <c r="I19"/>
  <c r="H19"/>
  <c r="F19"/>
  <c r="I18"/>
  <c r="H18"/>
  <c r="F18"/>
  <c r="I17"/>
  <c r="H17"/>
  <c r="F17"/>
  <c r="I16" l="1"/>
  <c r="H16"/>
  <c r="F16"/>
  <c r="I15"/>
  <c r="H15"/>
  <c r="F15"/>
  <c r="I14"/>
  <c r="H14"/>
  <c r="F14"/>
  <c r="I13"/>
  <c r="H13"/>
  <c r="F13"/>
  <c r="I12" l="1"/>
  <c r="H12"/>
  <c r="F12"/>
  <c r="H11"/>
  <c r="E11"/>
  <c r="E29" s="1"/>
  <c r="I10"/>
  <c r="H10"/>
  <c r="F10"/>
  <c r="I9"/>
  <c r="H9"/>
  <c r="F9"/>
  <c r="I8"/>
  <c r="H8"/>
  <c r="F8"/>
  <c r="I7"/>
  <c r="H7"/>
  <c r="F7"/>
  <c r="R21" i="33"/>
  <c r="Q21"/>
  <c r="P21"/>
  <c r="O21"/>
  <c r="N21"/>
  <c r="M21"/>
  <c r="L21"/>
  <c r="K21"/>
  <c r="J21"/>
  <c r="I21"/>
  <c r="H21"/>
  <c r="G21"/>
  <c r="F21"/>
  <c r="E21"/>
  <c r="D21"/>
  <c r="K25" i="12"/>
  <c r="H20"/>
  <c r="G20"/>
  <c r="F20"/>
  <c r="E20"/>
  <c r="H16"/>
  <c r="G16"/>
  <c r="F16"/>
  <c r="E16"/>
  <c r="H12"/>
  <c r="H13" s="1"/>
  <c r="G12"/>
  <c r="F12"/>
  <c r="F13" s="1"/>
  <c r="E12"/>
  <c r="H10"/>
  <c r="H11" s="1"/>
  <c r="G10"/>
  <c r="F10"/>
  <c r="F11" s="1"/>
  <c r="E10"/>
  <c r="N22" i="58"/>
  <c r="F11" i="39" l="1"/>
  <c r="E17" i="12"/>
  <c r="G17"/>
  <c r="H17"/>
  <c r="G21"/>
  <c r="I11" i="39"/>
  <c r="I29"/>
  <c r="F29"/>
  <c r="E13" i="12"/>
  <c r="G13"/>
  <c r="F21"/>
  <c r="E21"/>
  <c r="E11"/>
  <c r="G11"/>
  <c r="F17"/>
  <c r="I20" i="32"/>
  <c r="F20"/>
  <c r="I18"/>
  <c r="F18"/>
  <c r="I17"/>
  <c r="F17"/>
  <c r="I16"/>
  <c r="F16"/>
  <c r="I15"/>
  <c r="F15"/>
  <c r="I14"/>
  <c r="F14"/>
  <c r="I13"/>
  <c r="F13"/>
  <c r="I12"/>
  <c r="F12"/>
  <c r="I11"/>
  <c r="D11"/>
  <c r="F11" s="1"/>
  <c r="I10"/>
  <c r="D10"/>
  <c r="F10" s="1"/>
  <c r="I9"/>
  <c r="F9"/>
  <c r="I8"/>
  <c r="F8"/>
  <c r="O27" i="11"/>
  <c r="H26"/>
  <c r="G26"/>
  <c r="E26"/>
  <c r="O19" s="1"/>
  <c r="D26"/>
  <c r="O18"/>
  <c r="I25"/>
  <c r="F25"/>
  <c r="O17"/>
  <c r="I24"/>
  <c r="F24"/>
  <c r="O16"/>
  <c r="I23"/>
  <c r="F23"/>
  <c r="O15"/>
  <c r="I22"/>
  <c r="F22"/>
  <c r="O14"/>
  <c r="I21"/>
  <c r="F21"/>
  <c r="I20"/>
  <c r="F20"/>
  <c r="I19"/>
  <c r="F19"/>
  <c r="I18"/>
  <c r="F18"/>
  <c r="I17"/>
  <c r="F17"/>
  <c r="O13"/>
  <c r="I16"/>
  <c r="F16"/>
  <c r="O12"/>
  <c r="I15"/>
  <c r="F15"/>
  <c r="O11"/>
  <c r="I14"/>
  <c r="F14"/>
  <c r="I13"/>
  <c r="F13"/>
  <c r="I12"/>
  <c r="F12"/>
  <c r="I11"/>
  <c r="F11"/>
  <c r="O10"/>
  <c r="I10"/>
  <c r="F10"/>
  <c r="O9"/>
  <c r="I9"/>
  <c r="F9"/>
  <c r="O8"/>
  <c r="I8"/>
  <c r="F8"/>
  <c r="S27" i="7"/>
  <c r="I26"/>
  <c r="H25"/>
  <c r="F25"/>
  <c r="G25" s="1"/>
  <c r="D25"/>
  <c r="I24"/>
  <c r="G24"/>
  <c r="E24"/>
  <c r="I23"/>
  <c r="G23"/>
  <c r="E23"/>
  <c r="I22"/>
  <c r="G22"/>
  <c r="E22"/>
  <c r="I21"/>
  <c r="G21"/>
  <c r="E21"/>
  <c r="I20"/>
  <c r="G20"/>
  <c r="E20"/>
  <c r="I19"/>
  <c r="G19"/>
  <c r="E19"/>
  <c r="I18"/>
  <c r="G18"/>
  <c r="E18"/>
  <c r="I17"/>
  <c r="G17"/>
  <c r="E17"/>
  <c r="I16"/>
  <c r="G16"/>
  <c r="E16"/>
  <c r="I15"/>
  <c r="G15"/>
  <c r="E15"/>
  <c r="I14"/>
  <c r="G14"/>
  <c r="E14"/>
  <c r="I13"/>
  <c r="G13"/>
  <c r="E13"/>
  <c r="I12"/>
  <c r="G12"/>
  <c r="E12"/>
  <c r="I11"/>
  <c r="G11"/>
  <c r="E11"/>
  <c r="I10"/>
  <c r="G10"/>
  <c r="E10"/>
  <c r="R23" l="1"/>
  <c r="R24"/>
  <c r="J9" i="32"/>
  <c r="J10"/>
  <c r="J11"/>
  <c r="R11" i="7"/>
  <c r="R12"/>
  <c r="R13"/>
  <c r="R14"/>
  <c r="R15"/>
  <c r="I26" i="11"/>
  <c r="F26"/>
  <c r="J12" i="32"/>
  <c r="J13"/>
  <c r="J16"/>
  <c r="J17"/>
  <c r="J20"/>
  <c r="J8"/>
  <c r="J14"/>
  <c r="J15"/>
  <c r="J18"/>
  <c r="R16" i="7"/>
  <c r="R18"/>
  <c r="R19"/>
  <c r="G26"/>
  <c r="I25"/>
  <c r="E25"/>
  <c r="E26" s="1"/>
  <c r="R20"/>
  <c r="R21"/>
  <c r="R17"/>
  <c r="R22"/>
  <c r="R25"/>
  <c r="R10"/>
  <c r="R26"/>
  <c r="F23" i="12"/>
  <c r="H23" s="1"/>
  <c r="H21"/>
  <c r="F24"/>
  <c r="H24" s="1"/>
  <c r="E15" i="35"/>
  <c r="E12"/>
  <c r="I18" i="40"/>
  <c r="F13"/>
  <c r="L13" s="1"/>
  <c r="K13"/>
  <c r="B10" i="63"/>
  <c r="D10" s="1"/>
  <c r="J10" s="1"/>
  <c r="B7"/>
  <c r="G12"/>
  <c r="J13" i="40"/>
  <c r="G44" i="63"/>
  <c r="I44"/>
  <c r="F71"/>
  <c r="G71" s="1"/>
  <c r="J29" i="78"/>
  <c r="F98" i="63"/>
  <c r="I98" s="1"/>
  <c r="J8" i="78"/>
  <c r="L8" s="1"/>
  <c r="J14"/>
  <c r="K14" s="1"/>
  <c r="J15"/>
  <c r="L15" s="1"/>
  <c r="J21"/>
  <c r="L21" s="1"/>
  <c r="J23"/>
  <c r="K23" s="1"/>
  <c r="J25"/>
  <c r="L25" s="1"/>
  <c r="J27"/>
  <c r="K27" s="1"/>
  <c r="J12"/>
  <c r="J31"/>
  <c r="K31" s="1"/>
  <c r="J38"/>
  <c r="L38" s="1"/>
  <c r="K32"/>
  <c r="L32"/>
  <c r="J41"/>
  <c r="L41" s="1"/>
  <c r="I32"/>
  <c r="K38" l="1"/>
  <c r="L27"/>
  <c r="K41"/>
  <c r="L31"/>
  <c r="K15"/>
  <c r="K25"/>
  <c r="L23"/>
  <c r="L14"/>
  <c r="K8"/>
  <c r="K21"/>
  <c r="I71" i="63"/>
  <c r="H10"/>
  <c r="G98"/>
  <c r="J16" i="40"/>
  <c r="F16"/>
  <c r="L16" s="1"/>
  <c r="B127" i="63"/>
  <c r="B126" s="1"/>
  <c r="K15" i="40"/>
  <c r="I15" i="35"/>
  <c r="F15"/>
  <c r="E18" i="40"/>
  <c r="K14"/>
  <c r="H7" i="63"/>
  <c r="B45"/>
  <c r="D7"/>
  <c r="J7" s="1"/>
  <c r="I12" i="35"/>
  <c r="F12"/>
  <c r="K18" i="40" l="1"/>
  <c r="D45" i="63"/>
  <c r="J45" s="1"/>
  <c r="B44"/>
  <c r="H45"/>
  <c r="H127"/>
  <c r="D127"/>
  <c r="J127" s="1"/>
  <c r="H9" i="77" l="1"/>
  <c r="G9"/>
  <c r="F19"/>
  <c r="H19" s="1"/>
  <c r="E9"/>
  <c r="I9"/>
  <c r="J10" s="1"/>
  <c r="D9"/>
  <c r="C19"/>
  <c r="H44" i="63"/>
  <c r="D44"/>
  <c r="J44" s="1"/>
  <c r="H15" i="69"/>
  <c r="H19"/>
  <c r="E19" i="77" l="1"/>
  <c r="I19"/>
  <c r="K19" s="1"/>
  <c r="K9"/>
  <c r="J9"/>
  <c r="K35" i="73"/>
  <c r="H35"/>
  <c r="G35"/>
  <c r="D29" i="78"/>
  <c r="E29" s="1"/>
  <c r="B29"/>
  <c r="C29" s="1"/>
  <c r="D7" l="1"/>
  <c r="B7"/>
  <c r="C7"/>
  <c r="K7" s="1"/>
  <c r="K29"/>
  <c r="L29"/>
  <c r="E7"/>
  <c r="L7" s="1"/>
  <c r="C19" i="65"/>
  <c r="E19" s="1"/>
  <c r="D15" i="40" l="1"/>
  <c r="J15" l="1"/>
  <c r="E14" i="35"/>
  <c r="B9" i="63"/>
  <c r="F15" i="40"/>
  <c r="L15" s="1"/>
  <c r="H9" i="63" l="1"/>
  <c r="D9"/>
  <c r="J9" s="1"/>
  <c r="B99"/>
  <c r="I14" i="35"/>
  <c r="F14"/>
  <c r="H99" i="63" l="1"/>
  <c r="B98"/>
  <c r="D99"/>
  <c r="J99" s="1"/>
  <c r="H98" l="1"/>
  <c r="D98"/>
  <c r="J98" s="1"/>
  <c r="H6" i="83"/>
  <c r="I6" s="1"/>
  <c r="J6" s="1"/>
  <c r="E15" i="67"/>
  <c r="C19"/>
  <c r="E19" s="1"/>
  <c r="D14" i="40" l="1"/>
  <c r="F14" l="1"/>
  <c r="L14" s="1"/>
  <c r="E13" i="35"/>
  <c r="B8" i="63"/>
  <c r="J14" i="40"/>
  <c r="D18"/>
  <c r="J18" l="1"/>
  <c r="F18"/>
  <c r="L18" s="1"/>
  <c r="D8" i="63"/>
  <c r="J8" s="1"/>
  <c r="B72"/>
  <c r="H8"/>
  <c r="B12"/>
  <c r="F13" i="35"/>
  <c r="I13"/>
  <c r="E11"/>
  <c r="F11" l="1"/>
  <c r="E29"/>
  <c r="I11"/>
  <c r="H12" i="63"/>
  <c r="D12"/>
  <c r="J12" s="1"/>
  <c r="B71"/>
  <c r="H72"/>
  <c r="D72"/>
  <c r="J72" s="1"/>
  <c r="H71" l="1"/>
  <c r="D71"/>
  <c r="J71" s="1"/>
  <c r="I29" i="35"/>
  <c r="F29"/>
</calcChain>
</file>

<file path=xl/sharedStrings.xml><?xml version="1.0" encoding="utf-8"?>
<sst xmlns="http://schemas.openxmlformats.org/spreadsheetml/2006/main" count="1404" uniqueCount="625">
  <si>
    <t>Brasil</t>
  </si>
  <si>
    <t>EUA</t>
  </si>
  <si>
    <t>Total</t>
  </si>
  <si>
    <t>RO</t>
  </si>
  <si>
    <t>PA</t>
  </si>
  <si>
    <t>BA</t>
  </si>
  <si>
    <t>PR</t>
  </si>
  <si>
    <t>MG</t>
  </si>
  <si>
    <t>SP</t>
  </si>
  <si>
    <t>MT</t>
  </si>
  <si>
    <t>GO</t>
  </si>
  <si>
    <t>P.Médio</t>
  </si>
  <si>
    <t>%</t>
  </si>
  <si>
    <t>VERDE</t>
  </si>
  <si>
    <t>Outros</t>
  </si>
  <si>
    <t>Produtor</t>
  </si>
  <si>
    <t>Produção</t>
  </si>
  <si>
    <t>Consumo</t>
  </si>
  <si>
    <t>Exportação</t>
  </si>
  <si>
    <t>COMPLEXO SOJA</t>
  </si>
  <si>
    <t>PRODUTO</t>
  </si>
  <si>
    <t>Unidade</t>
  </si>
  <si>
    <t>PERÍODOS ANTERIORES</t>
  </si>
  <si>
    <t>Semana</t>
  </si>
  <si>
    <t>12 Meses</t>
  </si>
  <si>
    <t>4 Semanas</t>
  </si>
  <si>
    <t>1 Semana</t>
  </si>
  <si>
    <t>Atual</t>
  </si>
  <si>
    <t>R$/Saca</t>
  </si>
  <si>
    <t>ES</t>
  </si>
  <si>
    <t>RJ</t>
  </si>
  <si>
    <t>2011</t>
  </si>
  <si>
    <t xml:space="preserve">EVOLUÇÃO DOS PREÇOS INTERNACIONAIS </t>
  </si>
  <si>
    <t>Londres</t>
  </si>
  <si>
    <t>US$/Tonelada</t>
  </si>
  <si>
    <t>INDICADORES DE DESEMPENHO DA CAFEICULTURA BRASILEIRA</t>
  </si>
  <si>
    <t>1.1. Área em produção - milhões/há</t>
  </si>
  <si>
    <t>1.2. Produtividade sc/ha</t>
  </si>
  <si>
    <t xml:space="preserve">5.1. Financiamentos </t>
  </si>
  <si>
    <t>5.3. Pesquisa Cafeeira</t>
  </si>
  <si>
    <t>Fontes: DCAF - CONAB - ABIC - MDIC/SECEX - OIC - CEPEA/ESALQ/BM&amp;F</t>
  </si>
  <si>
    <t>ESTOQUES PRIVADOS E PÚBLICOS DE CAFÉ NO BRASIL</t>
  </si>
  <si>
    <t>(Em mil sacas de 60 kg)</t>
  </si>
  <si>
    <t>ANO</t>
  </si>
  <si>
    <t>ESTOQUES PRIVADOS</t>
  </si>
  <si>
    <t>PÚBLICOS</t>
  </si>
  <si>
    <t>TOTAL GERAL</t>
  </si>
  <si>
    <t>Arábica</t>
  </si>
  <si>
    <t>Robusta</t>
  </si>
  <si>
    <t>DCAF</t>
  </si>
  <si>
    <t>CONAB</t>
  </si>
  <si>
    <t>Fontes: CONAB</t>
  </si>
  <si>
    <t>R$/sc 60 kg</t>
  </si>
  <si>
    <t xml:space="preserve">MÊS </t>
  </si>
  <si>
    <t xml:space="preserve">* Arábica </t>
  </si>
  <si>
    <t>Tipo 6 BC-Duro</t>
  </si>
  <si>
    <t xml:space="preserve">Tipo 6-Pen.13 </t>
  </si>
  <si>
    <t>Tipo 7 BC</t>
  </si>
  <si>
    <t>(Base Cepea-Esalq)</t>
  </si>
  <si>
    <t xml:space="preserve">(Base Cepea-Esalq) </t>
  </si>
  <si>
    <t>(Base Varginha-MG)</t>
  </si>
  <si>
    <t>(Base Vitória-ES)</t>
  </si>
  <si>
    <t>JANEIRO</t>
  </si>
  <si>
    <t>FEVEREIRO</t>
  </si>
  <si>
    <t xml:space="preserve">MARÇO 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</si>
  <si>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</si>
  <si>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</si>
  <si>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</si>
  <si>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</si>
  <si>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</si>
  <si>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</si>
  <si>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</si>
  <si>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</si>
  <si>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</si>
  <si>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Média Anual</t>
  </si>
  <si>
    <t>EXPORTAÇÃO DO AGRONEGÓCIO BRASILEIRO - TOTAL</t>
  </si>
  <si>
    <t>PRINCIPAIS PRODUTOS EXPORTADOS</t>
  </si>
  <si>
    <t>Var.% (a/b)</t>
  </si>
  <si>
    <t>US$ MIL - (a)</t>
  </si>
  <si>
    <t>Part. %</t>
  </si>
  <si>
    <t>US$ MIL - (b)</t>
  </si>
  <si>
    <t>CARNES</t>
  </si>
  <si>
    <t>COMPLEXO SUCROALCOOLEIRO</t>
  </si>
  <si>
    <t>PRODUTOS FLORESTAIS</t>
  </si>
  <si>
    <t>CAFÉS</t>
  </si>
  <si>
    <t>CAFÉ VERDE</t>
  </si>
  <si>
    <t>CAFÉ SOLÚVEL</t>
  </si>
  <si>
    <t>CAFÉ TORRADO &amp; MOÍDO</t>
  </si>
  <si>
    <t>OUTROS EXTRATOS, ESSENCIAIS, CONCENTRADOS</t>
  </si>
  <si>
    <t>CASCAS, PELÍCULAS DE CAFÉ E SUCEDANEOS</t>
  </si>
  <si>
    <t>CEREAIS, FARINHAS E PREPARAÇÕES</t>
  </si>
  <si>
    <t>COUROS, PRODUTOS DE COURO E PELETERIA</t>
  </si>
  <si>
    <t>FUMO E SEUS PRODUTOS</t>
  </si>
  <si>
    <t xml:space="preserve">SUCOS </t>
  </si>
  <si>
    <t>FIBRAS E PRODUTOS TÊXTEIS</t>
  </si>
  <si>
    <t>FRUTAS (INCLUI NOZES E CASTANHAS)</t>
  </si>
  <si>
    <t>ANIMAIS VIVOS (EXCETO PESCADOS)</t>
  </si>
  <si>
    <t>CHÁ, MATE E ESPECIARIAS</t>
  </si>
  <si>
    <t>BEBIDAS</t>
  </si>
  <si>
    <t>LÁCTEOS</t>
  </si>
  <si>
    <t>CACAU E SEUS PRODUTOS</t>
  </si>
  <si>
    <t>PESCADOS</t>
  </si>
  <si>
    <t>DEMAIS PRODUTOS</t>
  </si>
  <si>
    <t>TOTAL:</t>
  </si>
  <si>
    <t>Fonte: AgroStat Brasil a partir de dados da SECEX/MDIC</t>
  </si>
  <si>
    <t>VARIAÇÃO RELATIVA</t>
  </si>
  <si>
    <t>VALOR</t>
  </si>
  <si>
    <t>QUANT.</t>
  </si>
  <si>
    <t>P.MÉDIO</t>
  </si>
  <si>
    <t>US$ Mil</t>
  </si>
  <si>
    <t>SC/60 kg</t>
  </si>
  <si>
    <t>US$ (FOB)</t>
  </si>
  <si>
    <t>SOLÚVEL</t>
  </si>
  <si>
    <t>TORRADO &amp; MOÍDO</t>
  </si>
  <si>
    <t>OUTROS EXTRATOS</t>
  </si>
  <si>
    <t>TOTAL</t>
  </si>
  <si>
    <t>Fonte: MDIC/SECEX</t>
  </si>
  <si>
    <t>EXPORTAÇÕES BRASILEIRAS DE CAFÉ VERDE</t>
  </si>
  <si>
    <t>MÊS</t>
  </si>
  <si>
    <t>Receita</t>
  </si>
  <si>
    <t>Volume</t>
  </si>
  <si>
    <t>Janeiro</t>
  </si>
  <si>
    <t>Fevereiro</t>
  </si>
  <si>
    <t>Março</t>
  </si>
  <si>
    <t>Abril</t>
  </si>
  <si>
    <t>Maio</t>
  </si>
  <si>
    <t>Junho</t>
  </si>
  <si>
    <t>Sub-total</t>
  </si>
  <si>
    <t>Julho</t>
  </si>
  <si>
    <t>Agosto</t>
  </si>
  <si>
    <t>Setembro</t>
  </si>
  <si>
    <t>Outubro</t>
  </si>
  <si>
    <t>Novembro</t>
  </si>
  <si>
    <t>Dezembro</t>
  </si>
  <si>
    <t>Receita: em mil US$</t>
  </si>
  <si>
    <t>Volume: em saca de 60 kg</t>
  </si>
  <si>
    <t>Preço Medio: em US$ por saca</t>
  </si>
  <si>
    <t>EXPORTAÇÕES BRASILEIRAS DE CAFÉ SOLÚVEL</t>
  </si>
  <si>
    <t>EXPORTAÇÕES BRASILEIRAS DE CAFÉ TORRADO &amp; MOÍDO</t>
  </si>
  <si>
    <t>EXPORTAÇÕES BRASILEIRAS DE CAFÉS</t>
  </si>
  <si>
    <t>t</t>
  </si>
  <si>
    <t>US$/t</t>
  </si>
  <si>
    <t>Conversão Verde em sacas de 60 kg: peso liquido/60</t>
  </si>
  <si>
    <t>Conversão Solúvel em sacas de 60 kg: peso liquido*2,6/60</t>
  </si>
  <si>
    <t>Conversão Torrado e Moído em sacas de 60 kg: peso liquido *1,19/60</t>
  </si>
  <si>
    <t xml:space="preserve">EXPORTAÇÕES BRASILEIRAS DE CAFÉ VERDE </t>
  </si>
  <si>
    <t>NCM: 0901.11.10/0901.12.00</t>
  </si>
  <si>
    <t>PAÍSES</t>
  </si>
  <si>
    <t>QUANT</t>
  </si>
  <si>
    <t>US$ MIL</t>
  </si>
  <si>
    <t xml:space="preserve">   OUTROS</t>
  </si>
  <si>
    <t xml:space="preserve">TOTAL </t>
  </si>
  <si>
    <t>EXPORTAÇÕES BRASILEIRAS DE CAFÉ SOLÚVEL, MESMO DESCAFEINADO</t>
  </si>
  <si>
    <t>NCM: 2101.11.10</t>
  </si>
  <si>
    <t>NCM: 0901.21.00/0901.22.00</t>
  </si>
  <si>
    <t xml:space="preserve">EXPORTAÇÕES BRASILEIRAS DE OUTROS EXTRATOS, ESSENCIAIS, PREPARS, CONCENTRADOS DE CAFÉ </t>
  </si>
  <si>
    <t>NCM: 2101.11.90/2101.12.00</t>
  </si>
  <si>
    <t>TOTAL DAS IMPORTAÇÕES BRASILEIRAS DE CAFÉS</t>
  </si>
  <si>
    <t>TORRADO E MOÍDO</t>
  </si>
  <si>
    <t xml:space="preserve">Produção, Exportação Mundial e Consumo Interno de Café </t>
  </si>
  <si>
    <t>(Principais Países Produtores)</t>
  </si>
  <si>
    <t>CAFÉ - RANKING</t>
  </si>
  <si>
    <t>Produção Mundial - Produtores</t>
  </si>
  <si>
    <t>Países</t>
  </si>
  <si>
    <t>*2014</t>
  </si>
  <si>
    <t>2013</t>
  </si>
  <si>
    <t>2012</t>
  </si>
  <si>
    <t>2010</t>
  </si>
  <si>
    <t xml:space="preserve">Part. (%) </t>
  </si>
  <si>
    <t>*Brasil</t>
  </si>
  <si>
    <t>Vietnan</t>
  </si>
  <si>
    <t>Colômbia</t>
  </si>
  <si>
    <t>Indonésia</t>
  </si>
  <si>
    <t>Etiópia</t>
  </si>
  <si>
    <t>Índia</t>
  </si>
  <si>
    <t>Peru</t>
  </si>
  <si>
    <t>Honduras</t>
  </si>
  <si>
    <t>México</t>
  </si>
  <si>
    <t>Uganda</t>
  </si>
  <si>
    <t>Guatemala</t>
  </si>
  <si>
    <t>Costa do Marfim</t>
  </si>
  <si>
    <t>Nicaragua</t>
  </si>
  <si>
    <t>Costa Rica</t>
  </si>
  <si>
    <t>El Salvador</t>
  </si>
  <si>
    <t>Outros países</t>
  </si>
  <si>
    <t>Fontes: *MAPA/SPAE/CONAB; O.I.C.</t>
  </si>
  <si>
    <t>*Estimativas</t>
  </si>
  <si>
    <t>Exportação Mundial - Produtores</t>
  </si>
  <si>
    <t>Fontes: *MDIC/SECEX; O.I.C.</t>
  </si>
  <si>
    <t>Consumo Interno - Produtores</t>
  </si>
  <si>
    <t>Fontes: *ABIC; O.I.C.</t>
  </si>
  <si>
    <t>Outr. países</t>
  </si>
  <si>
    <t>Fonte: OIC e CONAB</t>
  </si>
  <si>
    <t>Alemanha</t>
  </si>
  <si>
    <t>Itália</t>
  </si>
  <si>
    <t>Belgica</t>
  </si>
  <si>
    <t>Japão</t>
  </si>
  <si>
    <t>Espanha</t>
  </si>
  <si>
    <t>Canadá</t>
  </si>
  <si>
    <t>Reino Unido</t>
  </si>
  <si>
    <t>Suécia</t>
  </si>
  <si>
    <t>Turquia</t>
  </si>
  <si>
    <t>Russia</t>
  </si>
  <si>
    <t>2014</t>
  </si>
  <si>
    <t>Importador</t>
  </si>
  <si>
    <t>PRAÇA</t>
  </si>
  <si>
    <t>Nova York</t>
  </si>
  <si>
    <t>NY</t>
  </si>
  <si>
    <t>LD</t>
  </si>
  <si>
    <t>Otr.</t>
  </si>
  <si>
    <t>UF</t>
  </si>
  <si>
    <t>A &amp; P</t>
  </si>
  <si>
    <t>Cerrado</t>
  </si>
  <si>
    <t>Planalto</t>
  </si>
  <si>
    <t>Atlântico</t>
  </si>
  <si>
    <t>Indicadores</t>
  </si>
  <si>
    <t>2.1. Valor - bilhões/US$</t>
  </si>
  <si>
    <t>2.2. Preço Médio - US$/sc</t>
  </si>
  <si>
    <t>3.1. Per capita - kg/habitante ano</t>
  </si>
  <si>
    <t>4. Estoques Totais (milhões/sc)</t>
  </si>
  <si>
    <t>5. Orçamento Funcafé - R$ milhões</t>
  </si>
  <si>
    <t xml:space="preserve">5.2. Publicidade e Promoção </t>
  </si>
  <si>
    <t>Fonte: Desex</t>
  </si>
  <si>
    <t>Base legal</t>
  </si>
  <si>
    <t>Safra</t>
  </si>
  <si>
    <t>Conilon</t>
  </si>
  <si>
    <t>Tipo</t>
  </si>
  <si>
    <t>Peneira</t>
  </si>
  <si>
    <t>2001/2002</t>
  </si>
  <si>
    <t xml:space="preserve">13 acima </t>
  </si>
  <si>
    <t>(Não houve definição)</t>
  </si>
  <si>
    <t>Decreto nº 4.783, de 17-7-2003</t>
  </si>
  <si>
    <t>2002/2003</t>
  </si>
  <si>
    <t xml:space="preserve">14 acima </t>
  </si>
  <si>
    <t>Decreto nº 5.071, de 7-5-2004</t>
  </si>
  <si>
    <t>2003/2004</t>
  </si>
  <si>
    <t>Decreto nº 5.494, de 20-7-2005</t>
  </si>
  <si>
    <t>2004/2005</t>
  </si>
  <si>
    <t>Decreto nº 5.838, de 10-7-2006</t>
  </si>
  <si>
    <t>2005/2006</t>
  </si>
  <si>
    <t>2006/2007</t>
  </si>
  <si>
    <t>Decreto nº 6.557, de 8-9-2008</t>
  </si>
  <si>
    <t>2007/2008</t>
  </si>
  <si>
    <t>2008/2009</t>
  </si>
  <si>
    <t>Portaria MAPA nº 460, de 19-6-2009</t>
  </si>
  <si>
    <t xml:space="preserve">Portaria MAPA nº 392, de 19-5-2010 </t>
  </si>
  <si>
    <t>A partir da safra 2009/2010</t>
  </si>
  <si>
    <t>Portaria MAPA nº 309, de 17-5-2013</t>
  </si>
  <si>
    <t>mai/13 a mar/14</t>
  </si>
  <si>
    <t>Portaria MAPA nº 478, de 20-5-2014</t>
  </si>
  <si>
    <t>mai/14 a mar/15</t>
  </si>
  <si>
    <t>Preço mínimo (R$ / 60kg)</t>
  </si>
  <si>
    <t>Decreto nº 4.325, de 7-8-2002 (*)</t>
  </si>
  <si>
    <t>(**)</t>
  </si>
  <si>
    <r>
      <t>Portaria MAPA nº 339, de 14-5-2009</t>
    </r>
    <r>
      <rPr>
        <sz val="9"/>
        <rFont val="Arial"/>
        <family val="2"/>
      </rPr>
      <t xml:space="preserve"> (revogada pela Portaria nº 460, de 19-6-2009)</t>
    </r>
  </si>
  <si>
    <t>Preços Mínimos para os cafés Arábica e Conilon</t>
  </si>
  <si>
    <t>(*) Preço mínimo exclusivamente para opções de venda em 2002</t>
  </si>
  <si>
    <t>(**) Tipo 7, com até 150 defeitos</t>
  </si>
  <si>
    <t>(***) Tipo 6, bebida dura para melhor, com até 86 defeitos</t>
  </si>
  <si>
    <t>(***)</t>
  </si>
  <si>
    <t>Decreto nº 6.078, de 10-4-2007</t>
  </si>
  <si>
    <t>Tabela de entrada de dados para planilha e gráficos</t>
  </si>
  <si>
    <t>Sul</t>
  </si>
  <si>
    <t>Triângulo</t>
  </si>
  <si>
    <t>Mata</t>
  </si>
  <si>
    <t>Norte</t>
  </si>
  <si>
    <t>Contratos</t>
  </si>
  <si>
    <t>Recursos</t>
  </si>
  <si>
    <t>Área Financida</t>
  </si>
  <si>
    <t>Nº</t>
  </si>
  <si>
    <t>R$ milhões</t>
  </si>
  <si>
    <t>ÁREA (em hectáres)</t>
  </si>
  <si>
    <t>PRODUÇÃO (em mil sacas)</t>
  </si>
  <si>
    <t>Operações</t>
  </si>
  <si>
    <t>em hectáres</t>
  </si>
  <si>
    <t>CASCA E PELÍCULAS</t>
  </si>
  <si>
    <t>P. MÉDIO</t>
  </si>
  <si>
    <t>TOTAL DAS EXPORTAÇÕES BRASILEIRAS DE CAFÉS</t>
  </si>
  <si>
    <t>CASCAS, PELÍCULAS</t>
  </si>
  <si>
    <t>US$ (MIL)</t>
  </si>
  <si>
    <t>ESTADOS UNIDOS</t>
  </si>
  <si>
    <t>JAPAO</t>
  </si>
  <si>
    <t>CANADA</t>
  </si>
  <si>
    <t>TURQUIA</t>
  </si>
  <si>
    <t>ARABIA SAUDITA</t>
  </si>
  <si>
    <t>INDONESIA</t>
  </si>
  <si>
    <t>ARGENTINA</t>
  </si>
  <si>
    <t>CINGAPURA</t>
  </si>
  <si>
    <t>URUGUAI</t>
  </si>
  <si>
    <t>PARAGUAI</t>
  </si>
  <si>
    <t>BOLIVIA</t>
  </si>
  <si>
    <t>TAIWAN (FORMOSA)</t>
  </si>
  <si>
    <t>COREIA,REP.SUL</t>
  </si>
  <si>
    <t>MEXICO</t>
  </si>
  <si>
    <t>França</t>
  </si>
  <si>
    <t xml:space="preserve"> Câmbio = </t>
  </si>
  <si>
    <t xml:space="preserve"> Dólar/saca   = </t>
  </si>
  <si>
    <t>R$/saca</t>
  </si>
  <si>
    <t xml:space="preserve"> R$/saca </t>
  </si>
  <si>
    <t xml:space="preserve">1. Produção - em milhões/sc </t>
  </si>
  <si>
    <t xml:space="preserve">2. Exportações em - milhões/sc </t>
  </si>
  <si>
    <r>
      <t>7. Participação no Agronegócio</t>
    </r>
    <r>
      <rPr>
        <sz val="10"/>
        <rFont val="Arial"/>
        <family val="2"/>
      </rPr>
      <t xml:space="preserve"> (%)</t>
    </r>
  </si>
  <si>
    <t>VARIAÇÃO RELATIVA (%)</t>
  </si>
  <si>
    <t>Finlândia</t>
  </si>
  <si>
    <t>Portaria MAPA nº 094 de 06-05-2015</t>
  </si>
  <si>
    <t>abr/15 a mar/16</t>
  </si>
  <si>
    <t xml:space="preserve">Dólar/saca   = </t>
  </si>
  <si>
    <t>Atualizado:</t>
  </si>
  <si>
    <t>SECRETARIA DE POLÍTICA AGRÍCOLA - SPA</t>
  </si>
  <si>
    <t>CEP: 70043-900 - Brasília - DF</t>
  </si>
  <si>
    <t>Telefone: (61) 3218-2812, 3322-0408</t>
  </si>
  <si>
    <t>e-mail: airton.camargo@agricultura.gov.br</t>
  </si>
  <si>
    <t>http://www.agricultura.gov.br/vegetal/cafe/estatisticas</t>
  </si>
  <si>
    <t>Selecione: Café</t>
  </si>
  <si>
    <t>TABELAS E GRÁFICOS</t>
  </si>
  <si>
    <t>Export.</t>
  </si>
  <si>
    <t>US$ mil</t>
  </si>
  <si>
    <t>Sacas mil</t>
  </si>
  <si>
    <t>MINISTÉRIO DA AGRICULTURA, PECUÁRIA E ABASTECIMENTO</t>
  </si>
  <si>
    <t>Elaboração: MAPA/SPA/DCRR</t>
  </si>
  <si>
    <t>(PRINCIPAIS IMPORTADORES)</t>
  </si>
  <si>
    <t>UNIÃO EUROPEIA 28</t>
  </si>
  <si>
    <t>COREIA DO SUL</t>
  </si>
  <si>
    <t>RUSSIA</t>
  </si>
  <si>
    <t>EXPORTAÇÕES BRASILEIRAS DE CAFÉ TORRADO</t>
  </si>
  <si>
    <t>EXPORTAÇÕES BRASILEIRAS DE CAFÉ EXTRATO</t>
  </si>
  <si>
    <t>Última</t>
  </si>
  <si>
    <t>QUANTIDADE</t>
  </si>
  <si>
    <t>Fonte e Elaboração: CONAB</t>
  </si>
  <si>
    <t>Ano</t>
  </si>
  <si>
    <t>ARÁBICA</t>
  </si>
  <si>
    <t>CONILON</t>
  </si>
  <si>
    <t>Produção Total</t>
  </si>
  <si>
    <t>Elaboração e Fonte: Mapa</t>
  </si>
  <si>
    <t xml:space="preserve">BC Tipo 6 Duro </t>
  </si>
  <si>
    <t>***Arábica</t>
  </si>
  <si>
    <t>***Conilon</t>
  </si>
  <si>
    <t>* Conilon</t>
  </si>
  <si>
    <t xml:space="preserve">**Arábica </t>
  </si>
  <si>
    <t>Elaboração: MAPA/SPA</t>
  </si>
  <si>
    <t>Conversão Outs.Estratos, Essencias em sacas de 60 kg: peso liquido*2,6/60</t>
  </si>
  <si>
    <t xml:space="preserve">3. Consumo (em milhões de sacas) </t>
  </si>
  <si>
    <r>
      <t xml:space="preserve">8. IPR pelos produtores - </t>
    </r>
    <r>
      <rPr>
        <sz val="11"/>
        <rFont val="Arial"/>
        <family val="2"/>
      </rPr>
      <t xml:space="preserve">café tipo 6, bebida dura, </t>
    </r>
    <r>
      <rPr>
        <sz val="10"/>
        <rFont val="Arial"/>
        <family val="2"/>
      </rPr>
      <t>CEPEIA/ESALQ (R$/sc)</t>
    </r>
  </si>
  <si>
    <t>Dados para construção da planilha:</t>
  </si>
  <si>
    <t>EXPORTAÇÕES BRASILEIRAS GLOBAIS</t>
  </si>
  <si>
    <t>-</t>
  </si>
  <si>
    <t>Volume: em sacas de 60 kg</t>
  </si>
  <si>
    <t>Evolução (%)</t>
  </si>
  <si>
    <t>mês</t>
  </si>
  <si>
    <t>U$ saca</t>
  </si>
  <si>
    <t>Var.</t>
  </si>
  <si>
    <t>Conversão Outros Estratos, Essencias em sacas de 60 kg: peso liquido*2,6/60</t>
  </si>
  <si>
    <t>Discriminação</t>
  </si>
  <si>
    <t>Custo de Produção</t>
  </si>
  <si>
    <t>Área Total em Produção (ha)</t>
  </si>
  <si>
    <t>Participação do Estado ou Região na área  total (%)</t>
  </si>
  <si>
    <t>Participação do cálculo no Estado ou Região (%)</t>
  </si>
  <si>
    <t>Preço Mercado (R$/saca)</t>
  </si>
  <si>
    <t>Variável (CV)</t>
  </si>
  <si>
    <t>Total (CT)</t>
  </si>
  <si>
    <t>CV</t>
  </si>
  <si>
    <t>CT</t>
  </si>
  <si>
    <t>(R$/ha)</t>
  </si>
  <si>
    <t>(R$/saca)</t>
  </si>
  <si>
    <t>10. PR (Londrina) 30 sacas - Mecanizada.</t>
  </si>
  <si>
    <t>11. SP (Franca) 30 sacas - Mecanizada.</t>
  </si>
  <si>
    <t>13. RO (Rolim de Moura) 25 sacas - Manual</t>
  </si>
  <si>
    <t>14. RO (Ji Paraná) 20 sacas - Manual</t>
  </si>
  <si>
    <t>15. RO (Rolim de Moura) 60 sacas - Mecaniz.</t>
  </si>
  <si>
    <t>(*) - Área abrangida pelo cálculo dos custos</t>
  </si>
  <si>
    <t>Fonte: Publicações da CONAB</t>
  </si>
  <si>
    <t xml:space="preserve">Cerrado  -      9.129 ha -  37,00 sacas/ha </t>
  </si>
  <si>
    <t>Resultado (%)</t>
  </si>
  <si>
    <t>Robusta Total - 432.852 há</t>
  </si>
  <si>
    <t>Arábica Total - 1.497.293 há</t>
  </si>
  <si>
    <t>Área (*) de influência dos cálculos dos custos (ha)</t>
  </si>
  <si>
    <t>Estado (RO)   -   87.657 há - 19,51 sacas</t>
  </si>
  <si>
    <t>Estado (ES)   -  273.701  há - 27,18 sacas (***)</t>
  </si>
  <si>
    <r>
      <t>07. MG (Guaxupé)</t>
    </r>
    <r>
      <rPr>
        <sz val="9"/>
        <rFont val="Arial"/>
        <family val="2"/>
      </rPr>
      <t xml:space="preserve"> - 30 sacas - Semi-mecan.</t>
    </r>
  </si>
  <si>
    <t>Cerrado - Arábica</t>
  </si>
  <si>
    <t>Planalto - Arábica</t>
  </si>
  <si>
    <t>Atlântico - Robusta</t>
  </si>
  <si>
    <t>CAFÉ - BENEFICIADO - ARÁBICA &amp; ROBUSTA</t>
  </si>
  <si>
    <t xml:space="preserve">Zona da Mata - Arábica </t>
  </si>
  <si>
    <t xml:space="preserve">Zona da Mata - Robusta </t>
  </si>
  <si>
    <t>Norte - Arábica</t>
  </si>
  <si>
    <t>Norte - Robusta</t>
  </si>
  <si>
    <t>Triângulo - Arábica</t>
  </si>
  <si>
    <t>Sul - Arábica</t>
  </si>
  <si>
    <t>em hectares</t>
  </si>
  <si>
    <t>em mil sacas</t>
  </si>
  <si>
    <t>Área em Produção</t>
  </si>
  <si>
    <t>Estados e Regiões</t>
  </si>
  <si>
    <t>EQUIVALENCIA EM REAIS</t>
  </si>
  <si>
    <t>Área Cultivada e Custeio</t>
  </si>
  <si>
    <t>Holanda</t>
  </si>
  <si>
    <t>Coréia</t>
  </si>
  <si>
    <t>Principais Países Produtores de Café</t>
  </si>
  <si>
    <t>Principais Países Importadores de Café do Brasil</t>
  </si>
  <si>
    <t>Estatísticas de Produtores &amp; Importadores de Café</t>
  </si>
  <si>
    <t>Em 2015</t>
  </si>
  <si>
    <r>
      <t>6. Part. na Produção Mundial</t>
    </r>
    <r>
      <rPr>
        <sz val="10"/>
        <rFont val="Arial"/>
        <family val="2"/>
      </rPr>
      <t xml:space="preserve"> (%)</t>
    </r>
  </si>
  <si>
    <t>Planilha 01</t>
  </si>
  <si>
    <t>Planilha 02</t>
  </si>
  <si>
    <t>Planilha 03</t>
  </si>
  <si>
    <t>Planilha 04</t>
  </si>
  <si>
    <t>Planilha 05</t>
  </si>
  <si>
    <t>Planilha 06</t>
  </si>
  <si>
    <t>Planilha 07</t>
  </si>
  <si>
    <t>Planilha 08</t>
  </si>
  <si>
    <t>Planilha 09</t>
  </si>
  <si>
    <t>Planilha 10</t>
  </si>
  <si>
    <t>Planilha 11</t>
  </si>
  <si>
    <t>Planilha 14</t>
  </si>
  <si>
    <t>Planilha 15</t>
  </si>
  <si>
    <t>Planilha 16</t>
  </si>
  <si>
    <t>Planilha 17</t>
  </si>
  <si>
    <t>Planilha 18</t>
  </si>
  <si>
    <t>Planilha 19</t>
  </si>
  <si>
    <t>Planilha 20</t>
  </si>
  <si>
    <t>Planilha 21</t>
  </si>
  <si>
    <t>Planilha 22</t>
  </si>
  <si>
    <t>Planilha 23</t>
  </si>
  <si>
    <t>Safra 2015/16 e Safra 2016/17</t>
  </si>
  <si>
    <t>Safra 2014/15 e Safra 2015/16</t>
  </si>
  <si>
    <t>Safra 2013/14 e Safra 2014/15</t>
  </si>
  <si>
    <t>04. Estoques Privados e Públicos de Café no Brasil</t>
  </si>
  <si>
    <t>06. Acompanhamento Semanal de Preços Internos e Externos</t>
  </si>
  <si>
    <t>05. Série Histórica da Produção Nacional de Café - 2001 a 2016</t>
  </si>
  <si>
    <t xml:space="preserve">01. Estatísticas de Produtores &amp; Importadores de Café (produção, exportação e consumo mundial) </t>
  </si>
  <si>
    <t>Esplanada dos Ministérios, Bloco "D", 6º andar sala 644</t>
  </si>
  <si>
    <t>C. Marfim</t>
  </si>
  <si>
    <t>2015 - em milhões de sacas</t>
  </si>
  <si>
    <t>Equador</t>
  </si>
  <si>
    <t>Kenia</t>
  </si>
  <si>
    <t>Produtividade</t>
  </si>
  <si>
    <t xml:space="preserve">Tipo 6 BD </t>
  </si>
  <si>
    <t>CAFÉ - Média Mensal dos Preços Recebidos pelos Produtores - 2014/2015/2016</t>
  </si>
  <si>
    <t>*CEPEA-ESALQ/BM&amp;F; **Boletim de Comércio de Café de Minas Gerais (CCCMG); e ***Boletim do Centro do Comércio de Vitória (CCV); (+)nova fonte e tipo a partir de Setembro/15.</t>
  </si>
  <si>
    <t>2015</t>
  </si>
  <si>
    <t>RANKING POR VALORES DE 2015 e 2014</t>
  </si>
  <si>
    <t>RANKING POR VALORES DE 2016 e 2015</t>
  </si>
  <si>
    <r>
      <rPr>
        <b/>
        <sz val="10"/>
        <rFont val="Arial"/>
        <family val="2"/>
      </rPr>
      <t>Robusta</t>
    </r>
    <r>
      <rPr>
        <sz val="10"/>
        <rFont val="Arial"/>
        <family val="2"/>
      </rPr>
      <t xml:space="preserve"> (sacas/ha)</t>
    </r>
  </si>
  <si>
    <r>
      <rPr>
        <b/>
        <sz val="10"/>
        <rFont val="Arial"/>
        <family val="2"/>
      </rPr>
      <t>Arábica</t>
    </r>
    <r>
      <rPr>
        <sz val="10"/>
        <rFont val="Arial"/>
        <family val="2"/>
      </rPr>
      <t xml:space="preserve"> (sacas/ha)</t>
    </r>
  </si>
  <si>
    <t>*2015</t>
  </si>
  <si>
    <t>R. Sul -  474.611 há - 21,60 sacas</t>
  </si>
  <si>
    <t>(16/15)</t>
  </si>
  <si>
    <t>Acumulado/6 meses</t>
  </si>
  <si>
    <t>Acumulado/12 meses</t>
  </si>
  <si>
    <t>a 2015</t>
  </si>
  <si>
    <t>SÍRIA</t>
  </si>
  <si>
    <t>LÍBANO</t>
  </si>
  <si>
    <t>(3) Estimativa ABIC</t>
  </si>
  <si>
    <t>(4) Produção Mundial estimada em 143,4</t>
  </si>
  <si>
    <t>Fonte: Bacen - Sicor</t>
  </si>
  <si>
    <t>Programas</t>
  </si>
  <si>
    <t xml:space="preserve">   PRONAMP</t>
  </si>
  <si>
    <t xml:space="preserve">   PRONAF</t>
  </si>
  <si>
    <t xml:space="preserve">   FUNCAFE</t>
  </si>
  <si>
    <t xml:space="preserve">  SEM VINCULOS</t>
  </si>
  <si>
    <t xml:space="preserve">  TOTAL</t>
  </si>
  <si>
    <t>Crédito Agrícola para Café - Custeio - 2015</t>
  </si>
  <si>
    <t>MS</t>
  </si>
  <si>
    <t>Recursos em R$</t>
  </si>
  <si>
    <t>Área Cultivada e Produção Brasileira - Safra 2015/16 e 2016/17</t>
  </si>
  <si>
    <t>SUB-TOTAL</t>
  </si>
  <si>
    <t>BOLÍVIA</t>
  </si>
  <si>
    <t>EMIRADOS ÁRABES</t>
  </si>
  <si>
    <t>CHILE</t>
  </si>
  <si>
    <t>CHINA</t>
  </si>
  <si>
    <t>ANGOLA</t>
  </si>
  <si>
    <t>BRASIL</t>
  </si>
  <si>
    <t>Total Geral</t>
  </si>
  <si>
    <t>MAURÍCIO</t>
  </si>
  <si>
    <t>Planilha 12</t>
  </si>
  <si>
    <t>Planilha 13</t>
  </si>
  <si>
    <t>INFORME ESTATÍSTICO DO CAFÉ</t>
  </si>
  <si>
    <t>Índice de preços CEPEA-ESALQ</t>
  </si>
  <si>
    <r>
      <t>05. MG (Guaxupé)</t>
    </r>
    <r>
      <rPr>
        <sz val="9"/>
        <color rgb="FFFF0000"/>
        <rFont val="Arial"/>
        <family val="2"/>
      </rPr>
      <t xml:space="preserve"> - 30 sacas - Manual - Mont.</t>
    </r>
  </si>
  <si>
    <t>12. ES (Venda Nova) - 30 sacas</t>
  </si>
  <si>
    <t>CUSTO DE PRODUÇÃO x PREÇOS MÉDIOS DE MERCADO - Safra 2015/2016</t>
  </si>
  <si>
    <t xml:space="preserve">Planalto  -  101.921 ha -   8,08 sacas/ha </t>
  </si>
  <si>
    <t>Atlântico  -    35.228 ha - 33,60 sacas/ha(**)</t>
  </si>
  <si>
    <t>Estado (GO)   -    6.175 ha - 36,81 sacas</t>
  </si>
  <si>
    <t>R. Cerrado    -  170.634 ha - 24,80 sacas</t>
  </si>
  <si>
    <t>R. Zona da Mata - 288.336 ha - 23,25 sacas</t>
  </si>
  <si>
    <t>Estado (MG) - 967.456  ha - 22,59 sacas (**)</t>
  </si>
  <si>
    <t>Estado (PR)   -    44.500  ha - 27,19 sacas</t>
  </si>
  <si>
    <t>Estado (SP)   -   203.490  ha - 18,85 sacas</t>
  </si>
  <si>
    <t>Estado (ES)   -   156.601 ha - 18,76 sacas</t>
  </si>
  <si>
    <t>(**) - café Robusta (conilon), na BA = 35.228 ha e MG = 13.389 ha (descontados)</t>
  </si>
  <si>
    <t>(***) - café Arábica, no ES = 156.601 ha (descontados)</t>
  </si>
  <si>
    <t>Estado (BA)   - 143.939  ha - 16,04 sacas</t>
  </si>
  <si>
    <t>NORUEGA</t>
  </si>
  <si>
    <t>MALASIA</t>
  </si>
  <si>
    <t>PERU</t>
  </si>
  <si>
    <t>SÉRVIA</t>
  </si>
  <si>
    <t>abr/16 a mar/17</t>
  </si>
  <si>
    <t>Portaria MAPA nº 092 de 10-05-2016</t>
  </si>
  <si>
    <t>Ministro: BLAIRO MAGGI</t>
  </si>
  <si>
    <t xml:space="preserve">     Fonte: Conab - Incluindo divulgação de MAI/2016 - Segunda Estimativa</t>
  </si>
  <si>
    <t>Secretário-Executivo: EUMAR NOVACKI</t>
  </si>
  <si>
    <t>Secretário da SPA: NERI GELLER</t>
  </si>
  <si>
    <t>Anos de 2015 e 2016</t>
  </si>
  <si>
    <t>SAFRA 2016</t>
  </si>
  <si>
    <t>Jan</t>
  </si>
  <si>
    <t>Fev</t>
  </si>
  <si>
    <t>Mar</t>
  </si>
  <si>
    <t>Abr</t>
  </si>
  <si>
    <t>Mai</t>
  </si>
  <si>
    <t>SAFRA 2015</t>
  </si>
  <si>
    <t>Planilha 24</t>
  </si>
  <si>
    <t xml:space="preserve">08. Cotação Mensal dos Preços de Cafés Recebidos pelos Produtores  </t>
  </si>
  <si>
    <t>09. Exportação do Agronegócio Brasileiro - Ranking dos Principais Produtos - 2015</t>
  </si>
  <si>
    <t>Planilha 25</t>
  </si>
  <si>
    <t>Evolução Mensal das Exportações Brasileira de Café</t>
  </si>
  <si>
    <t>13. Evolução Mensal das Exportações Brasileiras - 2015 e 2016</t>
  </si>
  <si>
    <t>14. Exportações Brasileiras de Café Verde</t>
  </si>
  <si>
    <t>15. Exportações Brasileiras de Café Solúvel</t>
  </si>
  <si>
    <t>16. Exportações Brasileiras de Café Torrado e Moído</t>
  </si>
  <si>
    <t>17. Exportações Brasileiras de Outros Extratos, Concentrado de Café</t>
  </si>
  <si>
    <t>18. Total das Exportações Brasileiras de Cafés</t>
  </si>
  <si>
    <t>19. Total das Exportações Brasileiras por Destinos - União Européia e Princiais Importadores</t>
  </si>
  <si>
    <t>20. Custos de Produção</t>
  </si>
  <si>
    <t>21. Preços Mínimos</t>
  </si>
  <si>
    <t>23. Estimativa da Safra - 2015</t>
  </si>
  <si>
    <t>24. Estimativa da Safra - 2014</t>
  </si>
  <si>
    <t xml:space="preserve">25. Produção, Exportação e Consumo Mundial de Café (RANKING) </t>
  </si>
  <si>
    <t>22. Estimativa da Safra - 2016</t>
  </si>
  <si>
    <t>% no mês</t>
  </si>
  <si>
    <t>Evolução</t>
  </si>
  <si>
    <t>Fax: (61) 3322-0337</t>
  </si>
  <si>
    <t>MOÍDO</t>
  </si>
  <si>
    <t>EXTRATOS</t>
  </si>
  <si>
    <t>CASCA</t>
  </si>
  <si>
    <t>CANADÁ</t>
  </si>
  <si>
    <t xml:space="preserve">Coordenador: Hugo Borges Rodrigues </t>
  </si>
  <si>
    <t>Elaboração: Airton Camargo Pacheco da Silva</t>
  </si>
  <si>
    <t>airton.camargo@agricultura.gov.br</t>
  </si>
  <si>
    <t>Coordenação Geral de Riscos Agropecuários</t>
  </si>
  <si>
    <t>Diretor do DGRRE: VITOR AUGUSTO OZAKI</t>
  </si>
  <si>
    <t>DEPARTAMENTO DE GESTÃO DE RISCOS E RECURSOS ECONÔMICOS - DGRRE</t>
  </si>
  <si>
    <t>10. Exportação do Agronegócio Brasileiro - Ranking dos Principais Produtos - Comparativo Acumulado 2015 e 2016</t>
  </si>
  <si>
    <t xml:space="preserve">03. Indicadores de Desempenho da Cafeicultura Brasileira - 2007 a 2016  </t>
  </si>
  <si>
    <t>02. Área cultivada e Programas de Financiamento da Safra de Café</t>
  </si>
  <si>
    <t>07. Evolução mensal dos preços internos do café Arábica e Robusta</t>
  </si>
  <si>
    <t>12. Exportações Brasileiras de Cafés - 2015 e 2016</t>
  </si>
  <si>
    <t>11. Importações Brasileiras de Cafés - 2013 a 2016.</t>
  </si>
  <si>
    <t>US$ (cents/lp)</t>
  </si>
  <si>
    <t>EVOLUÇÃO DOS PREÇOS AO PRODUTOR - Café Arábica (tipo 6 bc)</t>
  </si>
  <si>
    <t>EVOLUÇÃO DOS PREÇOS AO PRODUTOR - Café Robusta (tipo 7 bc)</t>
  </si>
  <si>
    <t>Estoque Inicial</t>
  </si>
  <si>
    <t>Importação</t>
  </si>
  <si>
    <t>Oferta Total</t>
  </si>
  <si>
    <t>Estoque Final</t>
  </si>
  <si>
    <t>Diferença</t>
  </si>
  <si>
    <t>Desvio %</t>
  </si>
  <si>
    <t>2009/2010</t>
  </si>
  <si>
    <t>2010/2011</t>
  </si>
  <si>
    <t>2012/2013</t>
  </si>
  <si>
    <t>2013/2014</t>
  </si>
  <si>
    <t>2014/2015</t>
  </si>
  <si>
    <t>2015/2016</t>
  </si>
  <si>
    <t>2016/2017</t>
  </si>
  <si>
    <t>Estoque Final = Oferta Total - (Consumo + Exportação))</t>
  </si>
  <si>
    <t>Desvio = percentual do estoque que faltou para ser igual ao estoque levantado.</t>
  </si>
  <si>
    <t>Estoque Inicial = levantamento da Conab para o período safra.</t>
  </si>
  <si>
    <t>Diferença = Estoque Final - Estoque Inicial (levantado pela Conab) para a proxima safra</t>
  </si>
  <si>
    <t>Elaboração: SPA/DGRRE</t>
  </si>
  <si>
    <t>Quadro Demonstrativo de Oferta e Demanda de Café</t>
  </si>
  <si>
    <t>2011/2012</t>
  </si>
  <si>
    <t>16. RO (Nova Brasilândia) 70 sacas - Irrigado</t>
  </si>
  <si>
    <t>17. RO (Cacoal) 65 sacas - Irrigado e adensado</t>
  </si>
  <si>
    <t>18. ES (Pinheiros) 60 sacas - Mecanizada</t>
  </si>
  <si>
    <t>19. ES (Pinheiros) 60 sacas - a. tec - semi-adensado</t>
  </si>
  <si>
    <r>
      <t>06. MG</t>
    </r>
    <r>
      <rPr>
        <sz val="9"/>
        <color rgb="FF0070C0"/>
        <rFont val="Arial"/>
        <family val="2"/>
      </rPr>
      <t xml:space="preserve"> (Guaxupé) - 30 sacas - Mecanizada.</t>
    </r>
  </si>
  <si>
    <r>
      <t>01. BA</t>
    </r>
    <r>
      <rPr>
        <sz val="9"/>
        <color rgb="FF0070C0"/>
        <rFont val="Arial"/>
        <family val="2"/>
      </rPr>
      <t xml:space="preserve"> (Luiz Eduardo) - 50 sacas - mec. Irrigado</t>
    </r>
  </si>
  <si>
    <r>
      <t>08. MG (Patrocínio) -</t>
    </r>
    <r>
      <rPr>
        <sz val="9"/>
        <color rgb="FF0070C0"/>
        <rFont val="Arial"/>
        <family val="2"/>
      </rPr>
      <t xml:space="preserve"> 30 sacas - Semi-mecaniz.</t>
    </r>
  </si>
  <si>
    <r>
      <t>04. MG (S. S. do Paraíso)</t>
    </r>
    <r>
      <rPr>
        <sz val="9"/>
        <color rgb="FF0070C0"/>
        <rFont val="Arial"/>
        <family val="2"/>
      </rPr>
      <t xml:space="preserve"> - 30 sacas - Semi-mecanizada 30%</t>
    </r>
  </si>
  <si>
    <r>
      <t>03. MG (S. S. do Paraíso) -</t>
    </r>
    <r>
      <rPr>
        <sz val="9"/>
        <color rgb="FF0070C0"/>
        <rFont val="Arial"/>
        <family val="2"/>
      </rPr>
      <t xml:space="preserve"> 30 sacas - Mecanizada</t>
    </r>
  </si>
  <si>
    <r>
      <t>09. MG (Manhuaçú) -</t>
    </r>
    <r>
      <rPr>
        <sz val="9"/>
        <color rgb="FFFF0000"/>
        <rFont val="Arial"/>
        <family val="2"/>
      </rPr>
      <t xml:space="preserve"> 35 sacas - Média Tec.</t>
    </r>
  </si>
  <si>
    <r>
      <t xml:space="preserve">Custos a preços de abril/2014 - </t>
    </r>
    <r>
      <rPr>
        <sz val="10"/>
        <color rgb="FFFF0000"/>
        <rFont val="Arial"/>
        <family val="2"/>
      </rPr>
      <t xml:space="preserve">novembro/2015 - </t>
    </r>
    <r>
      <rPr>
        <sz val="10"/>
        <color rgb="FF0070C0"/>
        <rFont val="Arial"/>
        <family val="2"/>
      </rPr>
      <t>Abril de 2016</t>
    </r>
    <r>
      <rPr>
        <sz val="10"/>
        <color rgb="FFFF0000"/>
        <rFont val="Arial"/>
        <family val="2"/>
      </rPr>
      <t xml:space="preserve">. </t>
    </r>
    <r>
      <rPr>
        <sz val="10"/>
        <rFont val="Arial"/>
        <family val="2"/>
      </rPr>
      <t xml:space="preserve"> &amp; Preços Médios Pagos ao Produtor em Agosto de 2016.</t>
    </r>
  </si>
  <si>
    <r>
      <t>02. GO (Cristalina)</t>
    </r>
    <r>
      <rPr>
        <sz val="9"/>
        <color rgb="FF00B0F0"/>
        <rFont val="Arial"/>
        <family val="2"/>
      </rPr>
      <t xml:space="preserve"> - 55 sacas - Mec. e Irrigado</t>
    </r>
  </si>
  <si>
    <t>VALOR EM US$ (milhões)</t>
  </si>
  <si>
    <t>QUANTIDADE EM MIL SACAS(60kg)</t>
  </si>
  <si>
    <t>Jun</t>
  </si>
  <si>
    <t>Jul</t>
  </si>
  <si>
    <t>Ago</t>
  </si>
  <si>
    <t xml:space="preserve">Em quantidade por 1.000 saca de 60 kg e valores em milhões de US$ </t>
  </si>
  <si>
    <t>UCRÂNIA</t>
  </si>
  <si>
    <t>INDONÉSIA</t>
  </si>
  <si>
    <t>MÉXICO</t>
  </si>
  <si>
    <t>GUINÉ EQUATORIAL</t>
  </si>
  <si>
    <t>Bélgica</t>
  </si>
  <si>
    <t>Argentina</t>
  </si>
  <si>
    <t>Coréia do Sul</t>
  </si>
  <si>
    <t>Ano 17</t>
  </si>
  <si>
    <t>Setembro de 2016</t>
  </si>
  <si>
    <t>Fonte e Elaboração: CONAB (segunda divulgação - setembro de 2016)</t>
  </si>
  <si>
    <t>Fonte: Conab - Levantamentos de Dez/2015 e Set/2016</t>
  </si>
  <si>
    <t>26 a 30/09</t>
  </si>
  <si>
    <t>01 a 09/09</t>
  </si>
  <si>
    <t>Jan a Set/2016</t>
  </si>
  <si>
    <t>Jan a Set/2015</t>
  </si>
  <si>
    <t>Set</t>
  </si>
  <si>
    <t>Jan a Set de 2016</t>
  </si>
  <si>
    <t>Jan a Set de 2015</t>
  </si>
  <si>
    <t>Estoques privados pesquisados pela CONAB - posição de 31.03.16; e estoques público - posição de Set/16.</t>
  </si>
  <si>
    <t>RESUMO DE SETEMBRO - 2016</t>
  </si>
  <si>
    <t>Em 2016 - até Setembro</t>
  </si>
  <si>
    <t>AUSTRÁLIA</t>
  </si>
  <si>
    <t>FINLANDIA</t>
  </si>
  <si>
    <t xml:space="preserve">        As vendas oportunas dos estoques governamentais permanecem ocorrendo conforme o programado e neste mês de setembro foram comercializadas, via leilão eletrônico da Conab, o volume de 134.547 sacas, a maioria da safra 2009/2010, adquiridos por contrato de opção, ou seja, vendeu 100% do quantitativo ofertado, ao preço médio de R$ 459,60 por saca, preço 8% superior à média obtida no mês passado. Com esta última venda restam agora nos armazéns da Companhia 984.857 sacas que irão suprir os próximos leilões. </t>
  </si>
  <si>
    <t xml:space="preserve">        A demanda registrada nos leilões da Conab demonstra a intensidade que se verifica na comercialização do produto, em final de colheita. Neste mês de setembro, na região produtora de Minas, o café Arábica atingiu o maior valor médio mensal do ano chegando a R$ 499,00 a saca com picos de até R$ 514,00, significando uma aumento de 4,5% em relação ao mês anterior. No caso do Robusta, no comércio de Vitória, o preço também pago ao produtor atingiu a média mensal de R$ 427,71 chegando até R$ 438,00 em seu preço máximo, representando um aumento de 3,4% em relação à média do mês anterior.    </t>
  </si>
  <si>
    <t xml:space="preserve">        Neste mês de setembro as exportações atingiram o maior volume mensal do ano, chegando ao equivalente de 3,12 milhões de sacas de café, produzindo a melhor receita até então obtida de US$ 516,2 milhões, graças também ao melhor preço médio de US$ 165 a saca deste ano. Inclusive, em relação a setembro do ano passado estas receitas foram superiores em 1,8% apesar de a quantidade exportada neste ano ter sido 3,3 % menor, o que foi compensado por um preço médio 5,3% melhor. No acumulado de 2016 as diferenças a menos, em relação ao mesmo período do ano anterior, ainda são grandes devido à menor quantidade exportada (-8,71%) e o preço médio dos primeiros meses de 2015 serem bastante superiores (11,8%) aos deste ano, todavia a recuperação se torna mais nítida a partir destes últimos dois meses.</t>
  </si>
  <si>
    <t xml:space="preserve">          A terceira estimativa da safra brasileira de café, divulgada pela Conab neste mês de Setembro, praticamente não alterou os números totais da safra 2016/2017, baixando apenas 29 mil sacas em relação à estimativa imediatamente anterior, resultado equilibrado por aumentos ou reduções numéricas verificadas nos principais estados produtores. Os aumentos de produção ocorreram em Minas Gerais com 437 mil e em São Paulo com 438 mil sacas. As reduções se verificaram na Bahia na ordem de 544 mil sacas, Paraná em 66 mil sacas e ajustes nos números do Espírito Santo, com redução total de mais 307 mil, amenizadas pelo café arábica local que registrou aumento de 266 mil sacas. O resultado final ficou em 49,6 milhões de sacas, sendo 41,3 de arábica e 8,3 milhões de robusta. A última estimativa do IBGE, também divulgada em setembro, aponta um total de 47,8 milhões de sacas, sendo 39,8 de arábica e 8,0 de robusta. Os números da Conab, resultado de uma estimativa utilizando métodos estatísticos, possui margem de erro em torno de 6% para mais ou para menos, indicando que os números do mercado comprador superam a margem superior que seria, no máximo, de 52,5 milhões de sacas.</t>
  </si>
  <si>
    <r>
      <t>49,640</t>
    </r>
    <r>
      <rPr>
        <vertAlign val="superscript"/>
        <sz val="11"/>
        <rFont val="Arial"/>
        <family val="2"/>
      </rPr>
      <t>(1)</t>
    </r>
  </si>
  <si>
    <r>
      <t>20,5</t>
    </r>
    <r>
      <rPr>
        <vertAlign val="superscript"/>
        <sz val="11"/>
        <rFont val="Arial"/>
        <family val="2"/>
      </rPr>
      <t>(3)</t>
    </r>
  </si>
  <si>
    <r>
      <t>14,56</t>
    </r>
    <r>
      <rPr>
        <vertAlign val="superscript"/>
        <sz val="11"/>
        <rFont val="Arial"/>
        <family val="2"/>
      </rPr>
      <t>(5)</t>
    </r>
  </si>
  <si>
    <r>
      <t>34,64</t>
    </r>
    <r>
      <rPr>
        <vertAlign val="superscript"/>
        <sz val="11"/>
        <rFont val="Arial"/>
        <family val="2"/>
      </rPr>
      <t>(4)</t>
    </r>
  </si>
  <si>
    <t>(1) Com base no 3ª Estimativa da Safra de Café da CONAB - Set/16</t>
  </si>
  <si>
    <t>(2) Arábica mês de Set/16</t>
  </si>
  <si>
    <r>
      <t>502,95</t>
    </r>
    <r>
      <rPr>
        <vertAlign val="superscript"/>
        <sz val="11"/>
        <rFont val="Arial"/>
        <family val="2"/>
      </rPr>
      <t>(2)</t>
    </r>
  </si>
  <si>
    <t>(5) Estoque de passagem em 31/03/16 - Conab</t>
  </si>
  <si>
    <t>Receita e Preços em Dólares e Quantidade em sacas</t>
  </si>
</sst>
</file>

<file path=xl/styles.xml><?xml version="1.0" encoding="utf-8"?>
<styleSheet xmlns="http://schemas.openxmlformats.org/spreadsheetml/2006/main">
  <numFmts count="18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#,##0.0"/>
    <numFmt numFmtId="168" formatCode="_(* #,##0_);_(* \(#,##0\);_(* &quot;-&quot;??_);_(@_)"/>
    <numFmt numFmtId="169" formatCode="dd/mm/yy"/>
    <numFmt numFmtId="170" formatCode="_-* #,##0_-;\-* #,##0_-;_-* &quot;-&quot;??_-;_-@_-"/>
    <numFmt numFmtId="171" formatCode="0.0%"/>
    <numFmt numFmtId="172" formatCode="#,##0;[Red]\-#,##0;_(* &quot;---&quot;_);_(@_)"/>
    <numFmt numFmtId="173" formatCode="_(* #,##0_);_(* \(#,##0\);_(* \-?_);_(@_)"/>
    <numFmt numFmtId="174" formatCode="#,##0.00\ _$;\-#,##0.00\ _$"/>
    <numFmt numFmtId="175" formatCode="_(* #,##0.0_);_(* \(#,##0.0\);_(* \-?_);_(@_)"/>
    <numFmt numFmtId="176" formatCode="_(* #,##0.0_);_(* \(#,##0.0\);_(* &quot;-&quot;_);_(@_)"/>
    <numFmt numFmtId="177" formatCode="d/m/yy"/>
    <numFmt numFmtId="178" formatCode="_(* #,##0_);_(* \(#,##0\);_(* &quot;-&quot;_);_(@_)"/>
    <numFmt numFmtId="179" formatCode="_(* #,##0.0000_);_(* \(#,##0.0000\);_(* &quot;-&quot;??_);_(@_)"/>
    <numFmt numFmtId="180" formatCode="\ #,##0;\-\ #,##0"/>
  </numFmts>
  <fonts count="78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1"/>
      <name val="Arial"/>
      <family val="2"/>
    </font>
    <font>
      <sz val="10"/>
      <name val="Times New Roman"/>
      <family val="1"/>
    </font>
    <font>
      <sz val="12"/>
      <color indexed="12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u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name val="Arial Black"/>
      <family val="2"/>
    </font>
    <font>
      <b/>
      <sz val="7.5"/>
      <name val="Arial"/>
      <family val="2"/>
    </font>
    <font>
      <b/>
      <sz val="10"/>
      <name val="Palatino Linotype"/>
      <family val="1"/>
    </font>
    <font>
      <b/>
      <sz val="9"/>
      <name val="Palatino Linotype"/>
      <family val="1"/>
    </font>
    <font>
      <i/>
      <sz val="10"/>
      <name val="Arial"/>
      <family val="2"/>
    </font>
    <font>
      <b/>
      <sz val="12"/>
      <color indexed="12"/>
      <name val="Arial"/>
      <family val="2"/>
    </font>
    <font>
      <sz val="11"/>
      <color indexed="12"/>
      <name val="Times New Roman"/>
      <family val="1"/>
    </font>
    <font>
      <sz val="9"/>
      <color indexed="12"/>
      <name val="Times New Roman"/>
      <family val="1"/>
    </font>
    <font>
      <sz val="10"/>
      <name val="Arial"/>
      <family val="2"/>
    </font>
    <font>
      <b/>
      <sz val="14"/>
      <color indexed="10"/>
      <name val="Arial"/>
      <family val="2"/>
    </font>
    <font>
      <u/>
      <sz val="7.5"/>
      <color indexed="12"/>
      <name val="Arial"/>
      <family val="2"/>
    </font>
    <font>
      <b/>
      <u/>
      <sz val="10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2"/>
      <name val="Times New Roman"/>
      <family val="1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b/>
      <sz val="14"/>
      <color rgb="FFFF0000"/>
      <name val="Arial"/>
      <family val="2"/>
    </font>
    <font>
      <sz val="10"/>
      <color rgb="FFC00000"/>
      <name val="Arial"/>
      <family val="2"/>
    </font>
    <font>
      <sz val="12"/>
      <color theme="3"/>
      <name val="Arial"/>
      <family val="2"/>
    </font>
    <font>
      <sz val="9"/>
      <color rgb="FFFF0000"/>
      <name val="Arial"/>
      <family val="2"/>
    </font>
    <font>
      <sz val="10"/>
      <color theme="4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8"/>
      <color theme="4"/>
      <name val="Arial"/>
      <family val="2"/>
    </font>
    <font>
      <sz val="10"/>
      <color rgb="FF0070C0"/>
      <name val="Arial Narrow"/>
      <family val="2"/>
    </font>
    <font>
      <sz val="11"/>
      <color rgb="FF000000"/>
      <name val="Calibri"/>
      <family val="2"/>
    </font>
    <font>
      <sz val="10"/>
      <color rgb="FF0070C0"/>
      <name val="Arial"/>
      <family val="2"/>
    </font>
    <font>
      <sz val="10"/>
      <color rgb="FF00B0F0"/>
      <name val="Arial"/>
      <family val="2"/>
    </font>
    <font>
      <sz val="9"/>
      <color rgb="FF0070C0"/>
      <name val="Arial"/>
      <family val="2"/>
    </font>
    <font>
      <sz val="9"/>
      <color rgb="FF00B0F0"/>
      <name val="Arial"/>
      <family val="2"/>
    </font>
    <font>
      <sz val="9"/>
      <color indexed="63"/>
      <name val="Arial"/>
      <family val="2"/>
    </font>
    <font>
      <sz val="11"/>
      <color rgb="FF0070C0"/>
      <name val="Calibri"/>
      <family val="2"/>
    </font>
    <font>
      <sz val="12"/>
      <color rgb="FF0070C0"/>
      <name val="Calibri"/>
      <family val="2"/>
    </font>
    <font>
      <sz val="10"/>
      <color rgb="FF002060"/>
      <name val="Arial"/>
      <family val="2"/>
    </font>
    <font>
      <sz val="11"/>
      <color rgb="FF002060"/>
      <name val="Arial"/>
      <family val="2"/>
    </font>
    <font>
      <sz val="11"/>
      <name val="Calibri"/>
      <family val="2"/>
    </font>
    <font>
      <vertAlign val="superscript"/>
      <sz val="1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5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59999389629810485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4" tint="0.5999938962981048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64"/>
      </left>
      <right style="thin">
        <color indexed="4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2"/>
      </bottom>
      <diagonal/>
    </border>
    <border>
      <left style="thin">
        <color indexed="64"/>
      </left>
      <right style="thin">
        <color indexed="64"/>
      </right>
      <top style="thin">
        <color indexed="42"/>
      </top>
      <bottom style="thin">
        <color indexed="42"/>
      </bottom>
      <diagonal/>
    </border>
    <border>
      <left style="thin">
        <color indexed="64"/>
      </left>
      <right style="thin">
        <color indexed="64"/>
      </right>
      <top style="thin">
        <color indexed="4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1" fillId="0" borderId="0"/>
    <xf numFmtId="0" fontId="42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" fillId="0" borderId="0"/>
    <xf numFmtId="0" fontId="1" fillId="0" borderId="0"/>
  </cellStyleXfs>
  <cellXfs count="157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Border="1"/>
    <xf numFmtId="0" fontId="0" fillId="2" borderId="0" xfId="0" applyFill="1"/>
    <xf numFmtId="0" fontId="6" fillId="0" borderId="0" xfId="0" applyFont="1" applyBorder="1"/>
    <xf numFmtId="170" fontId="6" fillId="0" borderId="3" xfId="10" applyNumberFormat="1" applyFont="1" applyBorder="1"/>
    <xf numFmtId="170" fontId="6" fillId="0" borderId="4" xfId="10" applyNumberFormat="1" applyFont="1" applyBorder="1"/>
    <xf numFmtId="170" fontId="6" fillId="0" borderId="3" xfId="9" applyNumberFormat="1" applyFont="1" applyBorder="1"/>
    <xf numFmtId="2" fontId="6" fillId="0" borderId="0" xfId="0" applyNumberFormat="1" applyFont="1" applyBorder="1" applyAlignment="1">
      <alignment horizontal="center"/>
    </xf>
    <xf numFmtId="49" fontId="20" fillId="4" borderId="4" xfId="6" applyNumberFormat="1" applyFont="1" applyFill="1" applyBorder="1" applyAlignment="1">
      <alignment horizontal="center" vertical="center" wrapText="1"/>
    </xf>
    <xf numFmtId="49" fontId="20" fillId="4" borderId="3" xfId="6" applyNumberFormat="1" applyFont="1" applyFill="1" applyBorder="1" applyAlignment="1">
      <alignment horizontal="center" vertical="center" wrapText="1"/>
    </xf>
    <xf numFmtId="49" fontId="27" fillId="4" borderId="10" xfId="7" applyNumberFormat="1" applyFont="1" applyFill="1" applyBorder="1" applyAlignment="1">
      <alignment horizontal="left" vertical="center" indent="1"/>
    </xf>
    <xf numFmtId="49" fontId="27" fillId="4" borderId="3" xfId="7" applyNumberFormat="1" applyFont="1" applyFill="1" applyBorder="1" applyAlignment="1">
      <alignment horizontal="left" vertical="center" indent="1"/>
    </xf>
    <xf numFmtId="168" fontId="6" fillId="0" borderId="10" xfId="9" applyNumberFormat="1" applyFont="1" applyBorder="1" applyAlignment="1">
      <alignment horizontal="left" vertical="center"/>
    </xf>
    <xf numFmtId="168" fontId="6" fillId="0" borderId="3" xfId="9" applyNumberFormat="1" applyFont="1" applyBorder="1" applyAlignment="1">
      <alignment horizontal="center" vertical="center"/>
    </xf>
    <xf numFmtId="1" fontId="6" fillId="0" borderId="0" xfId="0" applyNumberFormat="1" applyFont="1"/>
    <xf numFmtId="168" fontId="6" fillId="0" borderId="10" xfId="9" applyNumberFormat="1" applyFont="1" applyBorder="1"/>
    <xf numFmtId="168" fontId="6" fillId="0" borderId="3" xfId="9" applyNumberFormat="1" applyFont="1" applyBorder="1"/>
    <xf numFmtId="168" fontId="6" fillId="0" borderId="10" xfId="9" applyNumberFormat="1" applyFont="1" applyBorder="1" applyAlignment="1">
      <alignment horizontal="left"/>
    </xf>
    <xf numFmtId="1" fontId="6" fillId="0" borderId="0" xfId="0" applyNumberFormat="1" applyFont="1" applyBorder="1"/>
    <xf numFmtId="0" fontId="22" fillId="0" borderId="0" xfId="0" applyFont="1" applyBorder="1"/>
    <xf numFmtId="168" fontId="6" fillId="2" borderId="3" xfId="9" quotePrefix="1" applyNumberFormat="1" applyFont="1" applyFill="1" applyBorder="1" applyAlignment="1">
      <alignment horizontal="right"/>
    </xf>
    <xf numFmtId="0" fontId="6" fillId="2" borderId="10" xfId="0" applyFont="1" applyFill="1" applyBorder="1"/>
    <xf numFmtId="168" fontId="6" fillId="2" borderId="3" xfId="9" applyNumberFormat="1" applyFont="1" applyFill="1" applyBorder="1"/>
    <xf numFmtId="0" fontId="6" fillId="0" borderId="0" xfId="0" applyFont="1" applyFill="1" applyBorder="1"/>
    <xf numFmtId="0" fontId="6" fillId="0" borderId="0" xfId="0" applyFont="1" applyAlignment="1">
      <alignment vertical="center"/>
    </xf>
    <xf numFmtId="0" fontId="33" fillId="0" borderId="0" xfId="0" applyFont="1" applyFill="1"/>
    <xf numFmtId="0" fontId="6" fillId="0" borderId="0" xfId="0" applyFont="1" applyFill="1"/>
    <xf numFmtId="0" fontId="20" fillId="5" borderId="16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168" fontId="6" fillId="0" borderId="5" xfId="9" applyNumberFormat="1" applyFont="1" applyFill="1" applyBorder="1"/>
    <xf numFmtId="164" fontId="6" fillId="0" borderId="9" xfId="9" applyNumberFormat="1" applyFont="1" applyFill="1" applyBorder="1"/>
    <xf numFmtId="164" fontId="6" fillId="0" borderId="0" xfId="9" applyNumberFormat="1" applyFont="1" applyFill="1" applyBorder="1"/>
    <xf numFmtId="164" fontId="33" fillId="0" borderId="0" xfId="0" applyNumberFormat="1" applyFont="1" applyFill="1"/>
    <xf numFmtId="168" fontId="6" fillId="0" borderId="8" xfId="9" applyNumberFormat="1" applyFont="1" applyFill="1" applyBorder="1"/>
    <xf numFmtId="168" fontId="6" fillId="0" borderId="12" xfId="9" applyNumberFormat="1" applyFont="1" applyFill="1" applyBorder="1"/>
    <xf numFmtId="164" fontId="6" fillId="0" borderId="13" xfId="9" applyNumberFormat="1" applyFont="1" applyFill="1" applyBorder="1"/>
    <xf numFmtId="164" fontId="6" fillId="0" borderId="11" xfId="9" applyNumberFormat="1" applyFont="1" applyFill="1" applyBorder="1"/>
    <xf numFmtId="0" fontId="23" fillId="0" borderId="0" xfId="0" applyFont="1" applyFill="1" applyBorder="1"/>
    <xf numFmtId="0" fontId="35" fillId="0" borderId="0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center" vertical="center"/>
    </xf>
    <xf numFmtId="164" fontId="6" fillId="0" borderId="6" xfId="9" applyNumberFormat="1" applyFont="1" applyFill="1" applyBorder="1"/>
    <xf numFmtId="164" fontId="6" fillId="0" borderId="7" xfId="9" applyNumberFormat="1" applyFont="1" applyFill="1" applyBorder="1"/>
    <xf numFmtId="168" fontId="6" fillId="0" borderId="8" xfId="9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33" fillId="0" borderId="0" xfId="0" applyFont="1" applyFill="1" applyBorder="1"/>
    <xf numFmtId="166" fontId="4" fillId="0" borderId="0" xfId="9" applyNumberFormat="1" applyFont="1" applyFill="1" applyBorder="1"/>
    <xf numFmtId="0" fontId="16" fillId="7" borderId="16" xfId="0" applyFont="1" applyFill="1" applyBorder="1" applyAlignment="1">
      <alignment horizontal="center"/>
    </xf>
    <xf numFmtId="0" fontId="15" fillId="7" borderId="17" xfId="0" applyFont="1" applyFill="1" applyBorder="1"/>
    <xf numFmtId="0" fontId="15" fillId="7" borderId="16" xfId="0" applyFont="1" applyFill="1" applyBorder="1"/>
    <xf numFmtId="0" fontId="15" fillId="7" borderId="15" xfId="0" applyFont="1" applyFill="1" applyBorder="1"/>
    <xf numFmtId="0" fontId="10" fillId="8" borderId="0" xfId="0" applyFont="1" applyFill="1"/>
    <xf numFmtId="0" fontId="0" fillId="8" borderId="0" xfId="0" applyFill="1"/>
    <xf numFmtId="0" fontId="0" fillId="8" borderId="0" xfId="0" applyFill="1" applyBorder="1"/>
    <xf numFmtId="0" fontId="6" fillId="8" borderId="0" xfId="0" applyFont="1" applyFill="1"/>
    <xf numFmtId="0" fontId="0" fillId="8" borderId="9" xfId="0" applyFill="1" applyBorder="1"/>
    <xf numFmtId="0" fontId="17" fillId="8" borderId="0" xfId="0" applyFont="1" applyFill="1"/>
    <xf numFmtId="0" fontId="16" fillId="8" borderId="0" xfId="0" applyFont="1" applyFill="1"/>
    <xf numFmtId="0" fontId="15" fillId="9" borderId="5" xfId="0" applyFont="1" applyFill="1" applyBorder="1"/>
    <xf numFmtId="0" fontId="16" fillId="9" borderId="6" xfId="0" applyFont="1" applyFill="1" applyBorder="1"/>
    <xf numFmtId="0" fontId="16" fillId="9" borderId="12" xfId="0" applyFont="1" applyFill="1" applyBorder="1"/>
    <xf numFmtId="0" fontId="16" fillId="9" borderId="11" xfId="0" applyFont="1" applyFill="1" applyBorder="1"/>
    <xf numFmtId="0" fontId="16" fillId="9" borderId="13" xfId="0" applyFont="1" applyFill="1" applyBorder="1"/>
    <xf numFmtId="0" fontId="16" fillId="9" borderId="6" xfId="0" applyFont="1" applyFill="1" applyBorder="1" applyAlignment="1">
      <alignment horizontal="center"/>
    </xf>
    <xf numFmtId="0" fontId="16" fillId="9" borderId="16" xfId="0" applyFont="1" applyFill="1" applyBorder="1" applyAlignment="1">
      <alignment horizontal="center"/>
    </xf>
    <xf numFmtId="0" fontId="16" fillId="9" borderId="9" xfId="0" applyFont="1" applyFill="1" applyBorder="1" applyAlignment="1">
      <alignment horizontal="center"/>
    </xf>
    <xf numFmtId="0" fontId="16" fillId="9" borderId="15" xfId="0" applyFont="1" applyFill="1" applyBorder="1" applyAlignment="1">
      <alignment horizontal="center"/>
    </xf>
    <xf numFmtId="0" fontId="16" fillId="9" borderId="13" xfId="0" applyFont="1" applyFill="1" applyBorder="1" applyAlignment="1">
      <alignment horizontal="center"/>
    </xf>
    <xf numFmtId="0" fontId="16" fillId="9" borderId="17" xfId="0" applyFont="1" applyFill="1" applyBorder="1"/>
    <xf numFmtId="0" fontId="15" fillId="9" borderId="12" xfId="0" applyFont="1" applyFill="1" applyBorder="1"/>
    <xf numFmtId="0" fontId="6" fillId="9" borderId="16" xfId="0" applyFont="1" applyFill="1" applyBorder="1"/>
    <xf numFmtId="0" fontId="6" fillId="9" borderId="9" xfId="0" applyFont="1" applyFill="1" applyBorder="1"/>
    <xf numFmtId="0" fontId="15" fillId="9" borderId="17" xfId="0" applyFont="1" applyFill="1" applyBorder="1"/>
    <xf numFmtId="0" fontId="16" fillId="9" borderId="17" xfId="0" applyFont="1" applyFill="1" applyBorder="1" applyAlignment="1">
      <alignment horizontal="center"/>
    </xf>
    <xf numFmtId="164" fontId="16" fillId="9" borderId="17" xfId="9" applyFont="1" applyFill="1" applyBorder="1"/>
    <xf numFmtId="164" fontId="16" fillId="9" borderId="17" xfId="9" applyNumberFormat="1" applyFont="1" applyFill="1" applyBorder="1"/>
    <xf numFmtId="164" fontId="16" fillId="9" borderId="17" xfId="9" applyNumberFormat="1" applyFont="1" applyFill="1" applyBorder="1" applyAlignment="1">
      <alignment vertical="center"/>
    </xf>
    <xf numFmtId="164" fontId="15" fillId="9" borderId="9" xfId="9" applyFont="1" applyFill="1" applyBorder="1" applyAlignment="1">
      <alignment vertical="center"/>
    </xf>
    <xf numFmtId="0" fontId="16" fillId="9" borderId="15" xfId="0" applyFont="1" applyFill="1" applyBorder="1"/>
    <xf numFmtId="164" fontId="16" fillId="9" borderId="15" xfId="9" applyNumberFormat="1" applyFont="1" applyFill="1" applyBorder="1"/>
    <xf numFmtId="164" fontId="16" fillId="9" borderId="15" xfId="9" applyNumberFormat="1" applyFont="1" applyFill="1" applyBorder="1" applyAlignment="1">
      <alignment vertical="center"/>
    </xf>
    <xf numFmtId="0" fontId="16" fillId="9" borderId="11" xfId="0" applyFont="1" applyFill="1" applyBorder="1" applyAlignment="1">
      <alignment horizontal="center"/>
    </xf>
    <xf numFmtId="0" fontId="16" fillId="9" borderId="13" xfId="0" applyFont="1" applyFill="1" applyBorder="1" applyAlignment="1">
      <alignment vertical="center"/>
    </xf>
    <xf numFmtId="0" fontId="6" fillId="9" borderId="17" xfId="0" applyFont="1" applyFill="1" applyBorder="1"/>
    <xf numFmtId="0" fontId="15" fillId="9" borderId="17" xfId="0" applyFont="1" applyFill="1" applyBorder="1" applyAlignment="1">
      <alignment horizontal="center"/>
    </xf>
    <xf numFmtId="0" fontId="15" fillId="9" borderId="4" xfId="0" applyFont="1" applyFill="1" applyBorder="1"/>
    <xf numFmtId="0" fontId="16" fillId="9" borderId="14" xfId="0" applyFont="1" applyFill="1" applyBorder="1" applyAlignment="1">
      <alignment horizontal="center"/>
    </xf>
    <xf numFmtId="0" fontId="16" fillId="9" borderId="14" xfId="0" applyFont="1" applyFill="1" applyBorder="1"/>
    <xf numFmtId="0" fontId="16" fillId="9" borderId="10" xfId="0" applyFont="1" applyFill="1" applyBorder="1" applyAlignment="1">
      <alignment vertical="center"/>
    </xf>
    <xf numFmtId="0" fontId="16" fillId="9" borderId="8" xfId="0" applyFont="1" applyFill="1" applyBorder="1"/>
    <xf numFmtId="0" fontId="7" fillId="9" borderId="0" xfId="0" applyFont="1" applyFill="1" applyBorder="1" applyAlignment="1">
      <alignment horizontal="center"/>
    </xf>
    <xf numFmtId="0" fontId="7" fillId="9" borderId="9" xfId="0" applyFont="1" applyFill="1" applyBorder="1" applyAlignment="1">
      <alignment horizontal="center"/>
    </xf>
    <xf numFmtId="0" fontId="7" fillId="9" borderId="8" xfId="0" applyFont="1" applyFill="1" applyBorder="1"/>
    <xf numFmtId="0" fontId="19" fillId="9" borderId="0" xfId="0" applyFont="1" applyFill="1" applyBorder="1"/>
    <xf numFmtId="0" fontId="4" fillId="9" borderId="0" xfId="0" applyFont="1" applyFill="1" applyBorder="1"/>
    <xf numFmtId="0" fontId="2" fillId="9" borderId="9" xfId="0" applyFont="1" applyFill="1" applyBorder="1"/>
    <xf numFmtId="0" fontId="2" fillId="9" borderId="8" xfId="0" applyFont="1" applyFill="1" applyBorder="1"/>
    <xf numFmtId="0" fontId="11" fillId="9" borderId="9" xfId="0" applyFont="1" applyFill="1" applyBorder="1" applyAlignment="1">
      <alignment horizontal="right"/>
    </xf>
    <xf numFmtId="166" fontId="4" fillId="9" borderId="9" xfId="9" applyNumberFormat="1" applyFont="1" applyFill="1" applyBorder="1"/>
    <xf numFmtId="166" fontId="4" fillId="9" borderId="0" xfId="9" applyNumberFormat="1" applyFont="1" applyFill="1" applyBorder="1"/>
    <xf numFmtId="0" fontId="2" fillId="9" borderId="9" xfId="0" applyFont="1" applyFill="1" applyBorder="1" applyAlignment="1">
      <alignment horizontal="center"/>
    </xf>
    <xf numFmtId="0" fontId="4" fillId="9" borderId="9" xfId="0" applyFont="1" applyFill="1" applyBorder="1"/>
    <xf numFmtId="2" fontId="2" fillId="9" borderId="9" xfId="0" applyNumberFormat="1" applyFont="1" applyFill="1" applyBorder="1" applyAlignment="1">
      <alignment horizontal="center"/>
    </xf>
    <xf numFmtId="0" fontId="11" fillId="9" borderId="8" xfId="0" applyFont="1" applyFill="1" applyBorder="1"/>
    <xf numFmtId="0" fontId="11" fillId="9" borderId="9" xfId="0" applyFont="1" applyFill="1" applyBorder="1"/>
    <xf numFmtId="166" fontId="4" fillId="9" borderId="0" xfId="0" applyNumberFormat="1" applyFont="1" applyFill="1" applyBorder="1" applyAlignment="1">
      <alignment horizontal="center" vertical="center"/>
    </xf>
    <xf numFmtId="0" fontId="0" fillId="9" borderId="12" xfId="0" applyFill="1" applyBorder="1"/>
    <xf numFmtId="0" fontId="6" fillId="9" borderId="11" xfId="0" applyFont="1" applyFill="1" applyBorder="1"/>
    <xf numFmtId="0" fontId="0" fillId="9" borderId="11" xfId="0" applyFill="1" applyBorder="1"/>
    <xf numFmtId="0" fontId="0" fillId="8" borderId="8" xfId="0" applyFill="1" applyBorder="1"/>
    <xf numFmtId="0" fontId="0" fillId="8" borderId="7" xfId="0" applyFill="1" applyBorder="1"/>
    <xf numFmtId="0" fontId="4" fillId="9" borderId="0" xfId="0" applyFont="1" applyFill="1" applyBorder="1" applyAlignment="1">
      <alignment vertical="center"/>
    </xf>
    <xf numFmtId="166" fontId="4" fillId="9" borderId="0" xfId="9" applyNumberFormat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/>
    </xf>
    <xf numFmtId="0" fontId="0" fillId="7" borderId="3" xfId="0" applyFill="1" applyBorder="1"/>
    <xf numFmtId="174" fontId="36" fillId="0" borderId="0" xfId="0" applyNumberFormat="1" applyFont="1" applyBorder="1" applyAlignment="1">
      <alignment horizontal="center"/>
    </xf>
    <xf numFmtId="16" fontId="37" fillId="0" borderId="0" xfId="0" applyNumberFormat="1" applyFont="1" applyBorder="1" applyAlignment="1">
      <alignment horizontal="center"/>
    </xf>
    <xf numFmtId="0" fontId="36" fillId="0" borderId="0" xfId="0" applyNumberFormat="1" applyFont="1" applyBorder="1" applyAlignment="1">
      <alignment horizontal="center"/>
    </xf>
    <xf numFmtId="16" fontId="36" fillId="0" borderId="0" xfId="0" quotePrefix="1" applyNumberFormat="1" applyFont="1" applyBorder="1" applyAlignment="1">
      <alignment horizontal="center"/>
    </xf>
    <xf numFmtId="0" fontId="0" fillId="9" borderId="0" xfId="0" applyFill="1" applyBorder="1"/>
    <xf numFmtId="0" fontId="3" fillId="9" borderId="8" xfId="0" applyFont="1" applyFill="1" applyBorder="1" applyAlignment="1">
      <alignment horizontal="center"/>
    </xf>
    <xf numFmtId="0" fontId="14" fillId="9" borderId="0" xfId="4" applyFont="1" applyFill="1" applyBorder="1"/>
    <xf numFmtId="0" fontId="6" fillId="9" borderId="0" xfId="4" applyFont="1" applyFill="1" applyBorder="1"/>
    <xf numFmtId="166" fontId="4" fillId="9" borderId="9" xfId="0" applyNumberFormat="1" applyFont="1" applyFill="1" applyBorder="1" applyAlignment="1">
      <alignment horizontal="center" vertical="center"/>
    </xf>
    <xf numFmtId="0" fontId="0" fillId="9" borderId="9" xfId="0" applyFill="1" applyBorder="1"/>
    <xf numFmtId="0" fontId="0" fillId="9" borderId="13" xfId="0" applyFill="1" applyBorder="1"/>
    <xf numFmtId="0" fontId="0" fillId="10" borderId="0" xfId="0" applyFill="1"/>
    <xf numFmtId="0" fontId="6" fillId="9" borderId="0" xfId="0" applyFont="1" applyFill="1" applyBorder="1"/>
    <xf numFmtId="2" fontId="6" fillId="9" borderId="0" xfId="0" applyNumberFormat="1" applyFont="1" applyFill="1" applyBorder="1"/>
    <xf numFmtId="0" fontId="22" fillId="9" borderId="0" xfId="0" applyFont="1" applyFill="1" applyBorder="1" applyAlignment="1">
      <alignment horizontal="center"/>
    </xf>
    <xf numFmtId="0" fontId="8" fillId="9" borderId="8" xfId="0" applyFont="1" applyFill="1" applyBorder="1" applyAlignment="1"/>
    <xf numFmtId="0" fontId="8" fillId="9" borderId="0" xfId="0" applyFont="1" applyFill="1" applyBorder="1" applyAlignment="1"/>
    <xf numFmtId="0" fontId="6" fillId="9" borderId="8" xfId="0" applyFont="1" applyFill="1" applyBorder="1"/>
    <xf numFmtId="0" fontId="8" fillId="9" borderId="9" xfId="0" applyFont="1" applyFill="1" applyBorder="1" applyAlignment="1"/>
    <xf numFmtId="0" fontId="5" fillId="9" borderId="8" xfId="0" applyFont="1" applyFill="1" applyBorder="1"/>
    <xf numFmtId="0" fontId="5" fillId="9" borderId="0" xfId="0" applyFont="1" applyFill="1" applyBorder="1"/>
    <xf numFmtId="0" fontId="5" fillId="9" borderId="9" xfId="0" applyFont="1" applyFill="1" applyBorder="1"/>
    <xf numFmtId="0" fontId="5" fillId="9" borderId="0" xfId="0" applyFont="1" applyFill="1" applyBorder="1" applyAlignment="1"/>
    <xf numFmtId="165" fontId="5" fillId="9" borderId="0" xfId="0" applyNumberFormat="1" applyFont="1" applyFill="1" applyBorder="1" applyAlignment="1">
      <alignment horizontal="center" vertical="center"/>
    </xf>
    <xf numFmtId="0" fontId="5" fillId="8" borderId="0" xfId="0" applyFont="1" applyFill="1"/>
    <xf numFmtId="0" fontId="39" fillId="8" borderId="0" xfId="0" applyFont="1" applyFill="1" applyAlignment="1"/>
    <xf numFmtId="0" fontId="8" fillId="9" borderId="3" xfId="0" applyFont="1" applyFill="1" applyBorder="1" applyAlignment="1">
      <alignment horizontal="center" vertical="center"/>
    </xf>
    <xf numFmtId="0" fontId="8" fillId="11" borderId="5" xfId="0" applyFont="1" applyFill="1" applyBorder="1"/>
    <xf numFmtId="0" fontId="8" fillId="11" borderId="7" xfId="0" applyFont="1" applyFill="1" applyBorder="1" applyAlignment="1"/>
    <xf numFmtId="165" fontId="5" fillId="11" borderId="0" xfId="0" applyNumberFormat="1" applyFont="1" applyFill="1" applyBorder="1" applyAlignment="1">
      <alignment horizontal="center"/>
    </xf>
    <xf numFmtId="0" fontId="38" fillId="12" borderId="8" xfId="0" applyFont="1" applyFill="1" applyBorder="1"/>
    <xf numFmtId="165" fontId="5" fillId="12" borderId="0" xfId="0" applyNumberFormat="1" applyFont="1" applyFill="1" applyBorder="1" applyAlignment="1">
      <alignment horizontal="center"/>
    </xf>
    <xf numFmtId="0" fontId="5" fillId="12" borderId="0" xfId="0" applyFont="1" applyFill="1" applyBorder="1" applyAlignment="1">
      <alignment horizontal="center"/>
    </xf>
    <xf numFmtId="165" fontId="5" fillId="13" borderId="0" xfId="0" applyNumberFormat="1" applyFont="1" applyFill="1" applyBorder="1" applyAlignment="1">
      <alignment horizontal="center"/>
    </xf>
    <xf numFmtId="0" fontId="8" fillId="13" borderId="0" xfId="0" applyFont="1" applyFill="1" applyBorder="1" applyAlignment="1"/>
    <xf numFmtId="0" fontId="46" fillId="14" borderId="8" xfId="0" applyFont="1" applyFill="1" applyBorder="1"/>
    <xf numFmtId="165" fontId="47" fillId="14" borderId="0" xfId="0" applyNumberFormat="1" applyFont="1" applyFill="1" applyBorder="1" applyAlignment="1">
      <alignment horizontal="center"/>
    </xf>
    <xf numFmtId="0" fontId="48" fillId="15" borderId="8" xfId="0" applyFont="1" applyFill="1" applyBorder="1"/>
    <xf numFmtId="165" fontId="47" fillId="15" borderId="0" xfId="0" applyNumberFormat="1" applyFont="1" applyFill="1" applyBorder="1" applyAlignment="1">
      <alignment horizontal="center"/>
    </xf>
    <xf numFmtId="0" fontId="48" fillId="16" borderId="8" xfId="0" applyFont="1" applyFill="1" applyBorder="1"/>
    <xf numFmtId="2" fontId="47" fillId="16" borderId="0" xfId="0" applyNumberFormat="1" applyFont="1" applyFill="1" applyBorder="1" applyAlignment="1">
      <alignment horizontal="center"/>
    </xf>
    <xf numFmtId="0" fontId="8" fillId="13" borderId="8" xfId="0" applyFont="1" applyFill="1" applyBorder="1"/>
    <xf numFmtId="3" fontId="5" fillId="12" borderId="0" xfId="0" applyNumberFormat="1" applyFont="1" applyFill="1" applyBorder="1" applyAlignment="1">
      <alignment horizontal="center"/>
    </xf>
    <xf numFmtId="2" fontId="5" fillId="13" borderId="0" xfId="0" applyNumberFormat="1" applyFont="1" applyFill="1" applyBorder="1" applyAlignment="1">
      <alignment horizontal="center"/>
    </xf>
    <xf numFmtId="3" fontId="5" fillId="13" borderId="0" xfId="0" applyNumberFormat="1" applyFont="1" applyFill="1" applyBorder="1" applyAlignment="1">
      <alignment horizontal="center"/>
    </xf>
    <xf numFmtId="165" fontId="5" fillId="13" borderId="0" xfId="0" applyNumberFormat="1" applyFont="1" applyFill="1" applyBorder="1" applyAlignment="1">
      <alignment horizontal="center" vertical="center"/>
    </xf>
    <xf numFmtId="0" fontId="5" fillId="13" borderId="0" xfId="0" applyFont="1" applyFill="1" applyBorder="1"/>
    <xf numFmtId="0" fontId="8" fillId="13" borderId="9" xfId="0" applyFont="1" applyFill="1" applyBorder="1" applyAlignment="1"/>
    <xf numFmtId="0" fontId="5" fillId="13" borderId="9" xfId="0" applyFont="1" applyFill="1" applyBorder="1"/>
    <xf numFmtId="0" fontId="14" fillId="8" borderId="0" xfId="0" applyFont="1" applyFill="1"/>
    <xf numFmtId="0" fontId="8" fillId="11" borderId="6" xfId="0" applyFont="1" applyFill="1" applyBorder="1" applyAlignment="1"/>
    <xf numFmtId="0" fontId="0" fillId="9" borderId="8" xfId="0" applyFill="1" applyBorder="1"/>
    <xf numFmtId="0" fontId="25" fillId="9" borderId="11" xfId="7" applyFont="1" applyFill="1" applyBorder="1"/>
    <xf numFmtId="166" fontId="4" fillId="9" borderId="11" xfId="9" applyNumberFormat="1" applyFont="1" applyFill="1" applyBorder="1" applyAlignment="1">
      <alignment horizontal="center" vertical="center"/>
    </xf>
    <xf numFmtId="0" fontId="6" fillId="8" borderId="0" xfId="0" applyFont="1" applyFill="1" applyBorder="1"/>
    <xf numFmtId="2" fontId="6" fillId="0" borderId="11" xfId="0" applyNumberFormat="1" applyFont="1" applyBorder="1" applyAlignment="1">
      <alignment horizontal="center"/>
    </xf>
    <xf numFmtId="0" fontId="4" fillId="9" borderId="12" xfId="0" applyFont="1" applyFill="1" applyBorder="1" applyAlignment="1">
      <alignment vertical="center"/>
    </xf>
    <xf numFmtId="166" fontId="4" fillId="9" borderId="13" xfId="0" applyNumberFormat="1" applyFont="1" applyFill="1" applyBorder="1" applyAlignment="1">
      <alignment horizontal="center" vertical="center"/>
    </xf>
    <xf numFmtId="0" fontId="0" fillId="9" borderId="0" xfId="0" applyFill="1"/>
    <xf numFmtId="0" fontId="0" fillId="9" borderId="1" xfId="0" applyFill="1" applyBorder="1"/>
    <xf numFmtId="0" fontId="6" fillId="9" borderId="0" xfId="0" applyFont="1" applyFill="1"/>
    <xf numFmtId="0" fontId="0" fillId="18" borderId="18" xfId="0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 wrapText="1"/>
    </xf>
    <xf numFmtId="0" fontId="0" fillId="18" borderId="22" xfId="0" applyFill="1" applyBorder="1" applyAlignment="1">
      <alignment horizontal="center" vertical="center" wrapText="1"/>
    </xf>
    <xf numFmtId="0" fontId="0" fillId="18" borderId="23" xfId="0" applyFill="1" applyBorder="1" applyAlignment="1">
      <alignment horizontal="center" vertical="center" wrapText="1"/>
    </xf>
    <xf numFmtId="0" fontId="6" fillId="18" borderId="23" xfId="0" applyFont="1" applyFill="1" applyBorder="1" applyAlignment="1">
      <alignment horizontal="center" vertical="center" wrapText="1"/>
    </xf>
    <xf numFmtId="0" fontId="0" fillId="18" borderId="10" xfId="0" applyFill="1" applyBorder="1" applyAlignment="1">
      <alignment horizontal="center" vertical="center" wrapText="1"/>
    </xf>
    <xf numFmtId="0" fontId="0" fillId="18" borderId="3" xfId="0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10" xfId="0" applyFont="1" applyFill="1" applyBorder="1" applyAlignment="1">
      <alignment horizontal="center" vertical="center" wrapText="1"/>
    </xf>
    <xf numFmtId="49" fontId="25" fillId="9" borderId="0" xfId="7" applyNumberFormat="1" applyFont="1" applyFill="1" applyBorder="1" applyAlignment="1">
      <alignment horizontal="left" vertical="center" indent="1"/>
    </xf>
    <xf numFmtId="171" fontId="25" fillId="9" borderId="0" xfId="8" applyNumberFormat="1" applyFont="1" applyFill="1" applyBorder="1" applyAlignment="1">
      <alignment horizontal="right" vertical="center"/>
    </xf>
    <xf numFmtId="2" fontId="0" fillId="9" borderId="0" xfId="0" applyNumberFormat="1" applyFill="1" applyBorder="1"/>
    <xf numFmtId="49" fontId="27" fillId="9" borderId="0" xfId="7" applyNumberFormat="1" applyFont="1" applyFill="1" applyBorder="1" applyAlignment="1">
      <alignment horizontal="left" vertical="center" indent="1"/>
    </xf>
    <xf numFmtId="172" fontId="27" fillId="9" borderId="0" xfId="7" applyNumberFormat="1" applyFont="1" applyFill="1" applyBorder="1" applyAlignment="1">
      <alignment vertical="center"/>
    </xf>
    <xf numFmtId="0" fontId="4" fillId="9" borderId="0" xfId="0" applyFont="1" applyFill="1"/>
    <xf numFmtId="0" fontId="5" fillId="7" borderId="9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168" fontId="8" fillId="7" borderId="17" xfId="9" applyNumberFormat="1" applyFont="1" applyFill="1" applyBorder="1"/>
    <xf numFmtId="168" fontId="8" fillId="7" borderId="29" xfId="9" applyNumberFormat="1" applyFont="1" applyFill="1" applyBorder="1"/>
    <xf numFmtId="166" fontId="8" fillId="7" borderId="0" xfId="9" applyNumberFormat="1" applyFont="1" applyFill="1" applyBorder="1"/>
    <xf numFmtId="0" fontId="8" fillId="7" borderId="24" xfId="0" applyFont="1" applyFill="1" applyBorder="1" applyAlignment="1">
      <alignment horizontal="center"/>
    </xf>
    <xf numFmtId="168" fontId="8" fillId="7" borderId="25" xfId="9" applyNumberFormat="1" applyFont="1" applyFill="1" applyBorder="1"/>
    <xf numFmtId="0" fontId="8" fillId="13" borderId="24" xfId="0" applyFont="1" applyFill="1" applyBorder="1" applyAlignment="1">
      <alignment horizontal="center"/>
    </xf>
    <xf numFmtId="168" fontId="8" fillId="13" borderId="25" xfId="9" applyNumberFormat="1" applyFont="1" applyFill="1" applyBorder="1"/>
    <xf numFmtId="16" fontId="16" fillId="9" borderId="17" xfId="0" quotePrefix="1" applyNumberFormat="1" applyFont="1" applyFill="1" applyBorder="1" applyAlignment="1">
      <alignment horizontal="center"/>
    </xf>
    <xf numFmtId="166" fontId="8" fillId="7" borderId="9" xfId="9" applyNumberFormat="1" applyFont="1" applyFill="1" applyBorder="1"/>
    <xf numFmtId="166" fontId="8" fillId="7" borderId="24" xfId="9" applyNumberFormat="1" applyFont="1" applyFill="1" applyBorder="1"/>
    <xf numFmtId="166" fontId="5" fillId="7" borderId="9" xfId="9" applyNumberFormat="1" applyFont="1" applyFill="1" applyBorder="1"/>
    <xf numFmtId="166" fontId="5" fillId="7" borderId="24" xfId="9" applyNumberFormat="1" applyFont="1" applyFill="1" applyBorder="1"/>
    <xf numFmtId="166" fontId="8" fillId="13" borderId="2" xfId="9" applyNumberFormat="1" applyFont="1" applyFill="1" applyBorder="1"/>
    <xf numFmtId="166" fontId="5" fillId="7" borderId="8" xfId="9" applyNumberFormat="1" applyFont="1" applyFill="1" applyBorder="1"/>
    <xf numFmtId="166" fontId="8" fillId="13" borderId="19" xfId="9" applyNumberFormat="1" applyFont="1" applyFill="1" applyBorder="1"/>
    <xf numFmtId="166" fontId="5" fillId="7" borderId="0" xfId="9" applyNumberFormat="1" applyFont="1" applyFill="1" applyBorder="1"/>
    <xf numFmtId="168" fontId="5" fillId="7" borderId="17" xfId="9" applyNumberFormat="1" applyFont="1" applyFill="1" applyBorder="1"/>
    <xf numFmtId="168" fontId="8" fillId="13" borderId="18" xfId="9" applyNumberFormat="1" applyFont="1" applyFill="1" applyBorder="1"/>
    <xf numFmtId="169" fontId="40" fillId="9" borderId="11" xfId="0" applyNumberFormat="1" applyFont="1" applyFill="1" applyBorder="1" applyAlignment="1">
      <alignment horizontal="left"/>
    </xf>
    <xf numFmtId="0" fontId="16" fillId="9" borderId="7" xfId="0" applyFont="1" applyFill="1" applyBorder="1"/>
    <xf numFmtId="164" fontId="15" fillId="9" borderId="13" xfId="9" applyFont="1" applyFill="1" applyBorder="1" applyAlignment="1">
      <alignment vertical="center"/>
    </xf>
    <xf numFmtId="164" fontId="6" fillId="0" borderId="0" xfId="9" applyFont="1" applyFill="1" applyBorder="1" applyAlignment="1">
      <alignment horizontal="center"/>
    </xf>
    <xf numFmtId="164" fontId="0" fillId="0" borderId="0" xfId="9" applyFont="1"/>
    <xf numFmtId="164" fontId="0" fillId="0" borderId="11" xfId="9" applyFont="1" applyBorder="1"/>
    <xf numFmtId="1" fontId="9" fillId="19" borderId="3" xfId="0" applyNumberFormat="1" applyFont="1" applyFill="1" applyBorder="1" applyAlignment="1">
      <alignment horizontal="center" vertical="center"/>
    </xf>
    <xf numFmtId="168" fontId="6" fillId="0" borderId="13" xfId="9" applyNumberFormat="1" applyFont="1" applyBorder="1" applyAlignment="1">
      <alignment horizontal="left" vertical="center"/>
    </xf>
    <xf numFmtId="0" fontId="6" fillId="3" borderId="24" xfId="0" applyFont="1" applyFill="1" applyBorder="1" applyAlignment="1">
      <alignment horizontal="center"/>
    </xf>
    <xf numFmtId="2" fontId="9" fillId="19" borderId="26" xfId="0" applyNumberFormat="1" applyFont="1" applyFill="1" applyBorder="1" applyAlignment="1">
      <alignment horizontal="center" vertical="center"/>
    </xf>
    <xf numFmtId="0" fontId="9" fillId="19" borderId="28" xfId="0" applyFont="1" applyFill="1" applyBorder="1" applyAlignment="1">
      <alignment horizontal="center" vertical="center"/>
    </xf>
    <xf numFmtId="168" fontId="6" fillId="0" borderId="27" xfId="9" applyNumberFormat="1" applyFont="1" applyBorder="1" applyAlignment="1">
      <alignment horizontal="left" vertical="center"/>
    </xf>
    <xf numFmtId="168" fontId="9" fillId="4" borderId="3" xfId="9" applyNumberFormat="1" applyFont="1" applyFill="1" applyBorder="1" applyAlignment="1">
      <alignment horizontal="right" vertical="center"/>
    </xf>
    <xf numFmtId="1" fontId="9" fillId="4" borderId="3" xfId="0" applyNumberFormat="1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3" fillId="0" borderId="0" xfId="0" applyFont="1"/>
    <xf numFmtId="2" fontId="9" fillId="4" borderId="3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vertical="top" wrapText="1"/>
    </xf>
    <xf numFmtId="3" fontId="9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Border="1"/>
    <xf numFmtId="3" fontId="9" fillId="0" borderId="0" xfId="0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3" fontId="9" fillId="4" borderId="10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3" fontId="9" fillId="4" borderId="13" xfId="0" applyNumberFormat="1" applyFont="1" applyFill="1" applyBorder="1" applyAlignment="1">
      <alignment horizontal="center"/>
    </xf>
    <xf numFmtId="3" fontId="9" fillId="4" borderId="15" xfId="0" applyNumberFormat="1" applyFont="1" applyFill="1" applyBorder="1" applyAlignment="1">
      <alignment horizontal="center"/>
    </xf>
    <xf numFmtId="2" fontId="9" fillId="4" borderId="15" xfId="0" applyNumberFormat="1" applyFont="1" applyFill="1" applyBorder="1" applyAlignment="1">
      <alignment horizontal="center"/>
    </xf>
    <xf numFmtId="1" fontId="9" fillId="4" borderId="15" xfId="0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168" fontId="9" fillId="2" borderId="10" xfId="9" applyNumberFormat="1" applyFont="1" applyFill="1" applyBorder="1"/>
    <xf numFmtId="168" fontId="9" fillId="2" borderId="3" xfId="9" applyNumberFormat="1" applyFont="1" applyFill="1" applyBorder="1"/>
    <xf numFmtId="168" fontId="9" fillId="2" borderId="3" xfId="9" quotePrefix="1" applyNumberFormat="1" applyFont="1" applyFill="1" applyBorder="1" applyAlignment="1">
      <alignment horizontal="right"/>
    </xf>
    <xf numFmtId="0" fontId="9" fillId="4" borderId="10" xfId="0" applyFont="1" applyFill="1" applyBorder="1" applyAlignment="1">
      <alignment horizontal="center"/>
    </xf>
    <xf numFmtId="168" fontId="9" fillId="4" borderId="10" xfId="9" applyNumberFormat="1" applyFont="1" applyFill="1" applyBorder="1" applyAlignment="1">
      <alignment horizontal="right" vertical="center"/>
    </xf>
    <xf numFmtId="168" fontId="9" fillId="4" borderId="3" xfId="9" quotePrefix="1" applyNumberFormat="1" applyFont="1" applyFill="1" applyBorder="1" applyAlignment="1">
      <alignment horizontal="right"/>
    </xf>
    <xf numFmtId="0" fontId="9" fillId="2" borderId="10" xfId="0" applyFont="1" applyFill="1" applyBorder="1"/>
    <xf numFmtId="3" fontId="9" fillId="0" borderId="0" xfId="0" applyNumberFormat="1" applyFont="1" applyFill="1" applyBorder="1" applyAlignment="1">
      <alignment horizontal="center"/>
    </xf>
    <xf numFmtId="0" fontId="19" fillId="9" borderId="5" xfId="0" applyFont="1" applyFill="1" applyBorder="1" applyAlignment="1">
      <alignment horizontal="center"/>
    </xf>
    <xf numFmtId="0" fontId="19" fillId="9" borderId="7" xfId="0" applyFont="1" applyFill="1" applyBorder="1" applyAlignment="1">
      <alignment horizontal="center"/>
    </xf>
    <xf numFmtId="0" fontId="19" fillId="9" borderId="6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center" vertical="center"/>
    </xf>
    <xf numFmtId="164" fontId="16" fillId="9" borderId="13" xfId="9" applyFont="1" applyFill="1" applyBorder="1" applyAlignment="1">
      <alignment horizontal="center" vertical="center"/>
    </xf>
    <xf numFmtId="0" fontId="16" fillId="9" borderId="16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vertical="center"/>
    </xf>
    <xf numFmtId="0" fontId="15" fillId="9" borderId="12" xfId="0" applyFont="1" applyFill="1" applyBorder="1" applyAlignment="1">
      <alignment vertical="center"/>
    </xf>
    <xf numFmtId="164" fontId="16" fillId="9" borderId="13" xfId="9" applyFont="1" applyFill="1" applyBorder="1" applyAlignment="1">
      <alignment vertical="center"/>
    </xf>
    <xf numFmtId="164" fontId="16" fillId="9" borderId="11" xfId="9" applyFont="1" applyFill="1" applyBorder="1" applyAlignment="1">
      <alignment horizontal="center" vertical="center"/>
    </xf>
    <xf numFmtId="0" fontId="5" fillId="7" borderId="0" xfId="0" applyFont="1" applyFill="1" applyBorder="1"/>
    <xf numFmtId="166" fontId="5" fillId="7" borderId="17" xfId="9" applyNumberFormat="1" applyFont="1" applyFill="1" applyBorder="1"/>
    <xf numFmtId="0" fontId="5" fillId="7" borderId="9" xfId="0" applyFont="1" applyFill="1" applyBorder="1"/>
    <xf numFmtId="166" fontId="5" fillId="7" borderId="17" xfId="9" applyNumberFormat="1" applyFont="1" applyFill="1" applyBorder="1" applyAlignment="1">
      <alignment horizontal="center"/>
    </xf>
    <xf numFmtId="0" fontId="5" fillId="7" borderId="24" xfId="0" applyFont="1" applyFill="1" applyBorder="1"/>
    <xf numFmtId="166" fontId="5" fillId="7" borderId="25" xfId="9" applyNumberFormat="1" applyFont="1" applyFill="1" applyBorder="1"/>
    <xf numFmtId="168" fontId="5" fillId="7" borderId="9" xfId="9" applyNumberFormat="1" applyFont="1" applyFill="1" applyBorder="1"/>
    <xf numFmtId="168" fontId="5" fillId="7" borderId="0" xfId="9" applyNumberFormat="1" applyFont="1" applyFill="1" applyBorder="1"/>
    <xf numFmtId="0" fontId="5" fillId="9" borderId="0" xfId="0" applyFont="1" applyFill="1" applyBorder="1" applyAlignment="1">
      <alignment horizontal="center"/>
    </xf>
    <xf numFmtId="168" fontId="5" fillId="9" borderId="0" xfId="9" applyNumberFormat="1" applyFont="1" applyFill="1" applyBorder="1"/>
    <xf numFmtId="169" fontId="41" fillId="9" borderId="11" xfId="0" applyNumberFormat="1" applyFont="1" applyFill="1" applyBorder="1" applyAlignment="1">
      <alignment horizontal="left"/>
    </xf>
    <xf numFmtId="0" fontId="10" fillId="8" borderId="0" xfId="0" applyFont="1" applyFill="1" applyBorder="1"/>
    <xf numFmtId="0" fontId="0" fillId="20" borderId="0" xfId="0" applyFill="1"/>
    <xf numFmtId="0" fontId="0" fillId="9" borderId="5" xfId="0" applyFill="1" applyBorder="1"/>
    <xf numFmtId="0" fontId="0" fillId="9" borderId="6" xfId="0" applyFill="1" applyBorder="1"/>
    <xf numFmtId="0" fontId="4" fillId="9" borderId="11" xfId="0" applyFont="1" applyFill="1" applyBorder="1"/>
    <xf numFmtId="0" fontId="4" fillId="9" borderId="8" xfId="0" applyFont="1" applyFill="1" applyBorder="1"/>
    <xf numFmtId="0" fontId="4" fillId="9" borderId="12" xfId="0" applyFont="1" applyFill="1" applyBorder="1"/>
    <xf numFmtId="164" fontId="16" fillId="9" borderId="6" xfId="9" applyFont="1" applyFill="1" applyBorder="1" applyAlignment="1">
      <alignment vertical="center"/>
    </xf>
    <xf numFmtId="0" fontId="16" fillId="9" borderId="7" xfId="0" applyFont="1" applyFill="1" applyBorder="1" applyAlignment="1">
      <alignment horizontal="left" vertical="center"/>
    </xf>
    <xf numFmtId="49" fontId="20" fillId="9" borderId="0" xfId="6" applyNumberFormat="1" applyFont="1" applyFill="1" applyBorder="1" applyAlignment="1">
      <alignment horizontal="center" vertical="center" wrapText="1"/>
    </xf>
    <xf numFmtId="164" fontId="16" fillId="9" borderId="17" xfId="9" applyNumberFormat="1" applyFont="1" applyFill="1" applyBorder="1" applyAlignment="1">
      <alignment horizontal="right"/>
    </xf>
    <xf numFmtId="168" fontId="6" fillId="9" borderId="11" xfId="9" applyNumberFormat="1" applyFont="1" applyFill="1" applyBorder="1"/>
    <xf numFmtId="0" fontId="9" fillId="4" borderId="13" xfId="4" applyFont="1" applyFill="1" applyBorder="1" applyAlignment="1">
      <alignment horizontal="center" vertical="center"/>
    </xf>
    <xf numFmtId="0" fontId="9" fillId="4" borderId="3" xfId="4" applyFont="1" applyFill="1" applyBorder="1" applyAlignment="1">
      <alignment horizontal="center" vertical="center"/>
    </xf>
    <xf numFmtId="0" fontId="9" fillId="4" borderId="10" xfId="4" applyFont="1" applyFill="1" applyBorder="1" applyAlignment="1">
      <alignment horizontal="center"/>
    </xf>
    <xf numFmtId="0" fontId="13" fillId="9" borderId="0" xfId="0" applyFont="1" applyFill="1" applyBorder="1" applyAlignment="1">
      <alignment horizontal="center"/>
    </xf>
    <xf numFmtId="2" fontId="9" fillId="17" borderId="14" xfId="0" applyNumberFormat="1" applyFont="1" applyFill="1" applyBorder="1" applyAlignment="1">
      <alignment horizontal="center"/>
    </xf>
    <xf numFmtId="2" fontId="9" fillId="17" borderId="10" xfId="0" applyNumberFormat="1" applyFont="1" applyFill="1" applyBorder="1" applyAlignment="1">
      <alignment horizontal="center"/>
    </xf>
    <xf numFmtId="2" fontId="13" fillId="9" borderId="0" xfId="0" applyNumberFormat="1" applyFont="1" applyFill="1" applyAlignment="1">
      <alignment horizontal="right"/>
    </xf>
    <xf numFmtId="2" fontId="13" fillId="9" borderId="0" xfId="0" applyNumberFormat="1" applyFont="1" applyFill="1" applyAlignment="1">
      <alignment horizontal="center"/>
    </xf>
    <xf numFmtId="2" fontId="13" fillId="9" borderId="11" xfId="0" applyNumberFormat="1" applyFont="1" applyFill="1" applyBorder="1" applyAlignment="1">
      <alignment horizontal="right"/>
    </xf>
    <xf numFmtId="2" fontId="13" fillId="9" borderId="11" xfId="0" applyNumberFormat="1" applyFont="1" applyFill="1" applyBorder="1" applyAlignment="1">
      <alignment horizontal="center"/>
    </xf>
    <xf numFmtId="0" fontId="9" fillId="12" borderId="0" xfId="0" applyFont="1" applyFill="1" applyBorder="1" applyAlignment="1"/>
    <xf numFmtId="0" fontId="9" fillId="12" borderId="9" xfId="0" applyFont="1" applyFill="1" applyBorder="1" applyAlignment="1"/>
    <xf numFmtId="0" fontId="13" fillId="9" borderId="11" xfId="2" applyFont="1" applyFill="1" applyBorder="1" applyAlignment="1" applyProtection="1">
      <alignment horizontal="left" vertical="center"/>
    </xf>
    <xf numFmtId="0" fontId="6" fillId="9" borderId="1" xfId="0" applyFont="1" applyFill="1" applyBorder="1"/>
    <xf numFmtId="0" fontId="9" fillId="17" borderId="2" xfId="0" applyFont="1" applyFill="1" applyBorder="1" applyAlignment="1">
      <alignment horizontal="center" vertical="center" wrapText="1"/>
    </xf>
    <xf numFmtId="0" fontId="13" fillId="9" borderId="0" xfId="0" applyFont="1" applyFill="1"/>
    <xf numFmtId="1" fontId="9" fillId="3" borderId="3" xfId="0" applyNumberFormat="1" applyFont="1" applyFill="1" applyBorder="1" applyAlignment="1">
      <alignment horizontal="center" vertical="center"/>
    </xf>
    <xf numFmtId="3" fontId="9" fillId="3" borderId="26" xfId="0" applyNumberFormat="1" applyFont="1" applyFill="1" applyBorder="1" applyAlignment="1">
      <alignment horizontal="center" vertical="center"/>
    </xf>
    <xf numFmtId="3" fontId="9" fillId="3" borderId="28" xfId="0" applyNumberFormat="1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 wrapText="1"/>
    </xf>
    <xf numFmtId="164" fontId="6" fillId="18" borderId="23" xfId="9" applyFont="1" applyFill="1" applyBorder="1" applyAlignment="1">
      <alignment horizontal="center" vertical="center" wrapText="1"/>
    </xf>
    <xf numFmtId="164" fontId="6" fillId="18" borderId="21" xfId="9" applyNumberFormat="1" applyFont="1" applyFill="1" applyBorder="1" applyAlignment="1">
      <alignment horizontal="center" vertical="center" wrapText="1"/>
    </xf>
    <xf numFmtId="164" fontId="6" fillId="18" borderId="3" xfId="9" applyFont="1" applyFill="1" applyBorder="1" applyAlignment="1">
      <alignment horizontal="center" vertical="center" wrapText="1"/>
    </xf>
    <xf numFmtId="164" fontId="6" fillId="18" borderId="14" xfId="9" applyNumberFormat="1" applyFont="1" applyFill="1" applyBorder="1" applyAlignment="1">
      <alignment horizontal="center" vertical="center" wrapText="1"/>
    </xf>
    <xf numFmtId="164" fontId="15" fillId="9" borderId="17" xfId="9" applyFont="1" applyFill="1" applyBorder="1"/>
    <xf numFmtId="168" fontId="9" fillId="4" borderId="18" xfId="9" applyNumberFormat="1" applyFont="1" applyFill="1" applyBorder="1" applyAlignment="1">
      <alignment horizontal="center" vertical="center"/>
    </xf>
    <xf numFmtId="168" fontId="8" fillId="7" borderId="0" xfId="9" applyNumberFormat="1" applyFont="1" applyFill="1" applyBorder="1"/>
    <xf numFmtId="168" fontId="8" fillId="7" borderId="1" xfId="9" applyNumberFormat="1" applyFont="1" applyFill="1" applyBorder="1"/>
    <xf numFmtId="168" fontId="8" fillId="13" borderId="31" xfId="9" applyNumberFormat="1" applyFont="1" applyFill="1" applyBorder="1"/>
    <xf numFmtId="168" fontId="8" fillId="7" borderId="30" xfId="9" applyNumberFormat="1" applyFont="1" applyFill="1" applyBorder="1"/>
    <xf numFmtId="168" fontId="8" fillId="7" borderId="9" xfId="9" applyNumberFormat="1" applyFont="1" applyFill="1" applyBorder="1"/>
    <xf numFmtId="168" fontId="8" fillId="7" borderId="24" xfId="9" applyNumberFormat="1" applyFont="1" applyFill="1" applyBorder="1"/>
    <xf numFmtId="168" fontId="8" fillId="13" borderId="24" xfId="9" applyNumberFormat="1" applyFont="1" applyFill="1" applyBorder="1"/>
    <xf numFmtId="166" fontId="8" fillId="7" borderId="34" xfId="9" applyNumberFormat="1" applyFont="1" applyFill="1" applyBorder="1"/>
    <xf numFmtId="166" fontId="8" fillId="7" borderId="8" xfId="9" applyNumberFormat="1" applyFont="1" applyFill="1" applyBorder="1"/>
    <xf numFmtId="166" fontId="8" fillId="7" borderId="31" xfId="9" applyNumberFormat="1" applyFont="1" applyFill="1" applyBorder="1"/>
    <xf numFmtId="168" fontId="9" fillId="13" borderId="2" xfId="9" applyNumberFormat="1" applyFont="1" applyFill="1" applyBorder="1"/>
    <xf numFmtId="166" fontId="9" fillId="13" borderId="25" xfId="9" applyNumberFormat="1" applyFont="1" applyFill="1" applyBorder="1"/>
    <xf numFmtId="168" fontId="9" fillId="13" borderId="20" xfId="9" applyNumberFormat="1" applyFont="1" applyFill="1" applyBorder="1"/>
    <xf numFmtId="0" fontId="9" fillId="13" borderId="2" xfId="0" applyFont="1" applyFill="1" applyBorder="1" applyAlignment="1">
      <alignment vertical="center"/>
    </xf>
    <xf numFmtId="166" fontId="9" fillId="13" borderId="18" xfId="9" applyNumberFormat="1" applyFont="1" applyFill="1" applyBorder="1" applyAlignment="1">
      <alignment horizontal="center" vertical="center"/>
    </xf>
    <xf numFmtId="166" fontId="9" fillId="13" borderId="18" xfId="0" applyNumberFormat="1" applyFont="1" applyFill="1" applyBorder="1" applyAlignment="1">
      <alignment horizontal="center" vertical="center"/>
    </xf>
    <xf numFmtId="166" fontId="9" fillId="13" borderId="2" xfId="9" applyNumberFormat="1" applyFont="1" applyFill="1" applyBorder="1" applyAlignment="1">
      <alignment horizontal="center" vertical="center"/>
    </xf>
    <xf numFmtId="168" fontId="9" fillId="13" borderId="25" xfId="9" applyNumberFormat="1" applyFont="1" applyFill="1" applyBorder="1"/>
    <xf numFmtId="0" fontId="9" fillId="0" borderId="7" xfId="0" applyFont="1" applyFill="1" applyBorder="1"/>
    <xf numFmtId="0" fontId="9" fillId="0" borderId="9" xfId="0" applyFont="1" applyFill="1" applyBorder="1"/>
    <xf numFmtId="0" fontId="9" fillId="0" borderId="0" xfId="0" applyFont="1" applyFill="1" applyBorder="1"/>
    <xf numFmtId="0" fontId="9" fillId="4" borderId="10" xfId="0" applyFont="1" applyFill="1" applyBorder="1" applyAlignment="1">
      <alignment horizontal="center" vertical="center"/>
    </xf>
    <xf numFmtId="168" fontId="9" fillId="4" borderId="3" xfId="9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0" fontId="9" fillId="0" borderId="6" xfId="0" applyFont="1" applyFill="1" applyBorder="1"/>
    <xf numFmtId="0" fontId="9" fillId="0" borderId="13" xfId="0" applyFont="1" applyFill="1" applyBorder="1"/>
    <xf numFmtId="0" fontId="9" fillId="4" borderId="1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68" fontId="9" fillId="0" borderId="0" xfId="9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8" fontId="9" fillId="4" borderId="10" xfId="9" applyNumberFormat="1" applyFont="1" applyFill="1" applyBorder="1" applyAlignment="1">
      <alignment horizontal="center" vertical="center"/>
    </xf>
    <xf numFmtId="0" fontId="4" fillId="0" borderId="0" xfId="0" applyFont="1" applyFill="1"/>
    <xf numFmtId="0" fontId="6" fillId="8" borderId="0" xfId="0" applyFont="1" applyFill="1" applyAlignment="1">
      <alignment horizontal="right"/>
    </xf>
    <xf numFmtId="169" fontId="40" fillId="21" borderId="0" xfId="0" applyNumberFormat="1" applyFont="1" applyFill="1" applyBorder="1" applyAlignment="1">
      <alignment horizontal="left"/>
    </xf>
    <xf numFmtId="0" fontId="19" fillId="9" borderId="8" xfId="0" applyFont="1" applyFill="1" applyBorder="1" applyAlignment="1">
      <alignment horizontal="center"/>
    </xf>
    <xf numFmtId="0" fontId="19" fillId="9" borderId="0" xfId="0" applyFont="1" applyFill="1" applyBorder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9" fillId="9" borderId="0" xfId="4" applyFont="1" applyFill="1" applyBorder="1" applyAlignment="1">
      <alignment horizontal="center"/>
    </xf>
    <xf numFmtId="17" fontId="20" fillId="13" borderId="18" xfId="0" applyNumberFormat="1" applyFont="1" applyFill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center" vertical="center" wrapText="1"/>
    </xf>
    <xf numFmtId="17" fontId="20" fillId="13" borderId="2" xfId="0" applyNumberFormat="1" applyFont="1" applyFill="1" applyBorder="1" applyAlignment="1">
      <alignment horizontal="center" vertical="center" wrapText="1"/>
    </xf>
    <xf numFmtId="0" fontId="20" fillId="13" borderId="18" xfId="0" applyFont="1" applyFill="1" applyBorder="1" applyAlignment="1">
      <alignment horizontal="center" vertical="center" wrapText="1"/>
    </xf>
    <xf numFmtId="0" fontId="20" fillId="13" borderId="2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/>
    </xf>
    <xf numFmtId="0" fontId="20" fillId="13" borderId="1" xfId="0" applyFont="1" applyFill="1" applyBorder="1" applyAlignment="1">
      <alignment horizontal="center" vertical="center" wrapText="1"/>
    </xf>
    <xf numFmtId="0" fontId="19" fillId="9" borderId="16" xfId="0" applyFont="1" applyFill="1" applyBorder="1" applyAlignment="1">
      <alignment horizontal="center"/>
    </xf>
    <xf numFmtId="0" fontId="19" fillId="9" borderId="17" xfId="0" applyFont="1" applyFill="1" applyBorder="1" applyAlignment="1">
      <alignment horizontal="center"/>
    </xf>
    <xf numFmtId="0" fontId="2" fillId="9" borderId="15" xfId="0" applyFont="1" applyFill="1" applyBorder="1"/>
    <xf numFmtId="0" fontId="9" fillId="9" borderId="17" xfId="0" applyFont="1" applyFill="1" applyBorder="1" applyAlignment="1">
      <alignment horizontal="center"/>
    </xf>
    <xf numFmtId="0" fontId="32" fillId="9" borderId="17" xfId="0" applyFont="1" applyFill="1" applyBorder="1" applyAlignment="1">
      <alignment horizontal="center" vertical="center"/>
    </xf>
    <xf numFmtId="0" fontId="32" fillId="9" borderId="17" xfId="5" applyFont="1" applyFill="1" applyBorder="1" applyAlignment="1">
      <alignment horizontal="center" vertical="center"/>
    </xf>
    <xf numFmtId="0" fontId="6" fillId="9" borderId="17" xfId="3" applyFont="1" applyFill="1" applyBorder="1" applyAlignment="1">
      <alignment horizontal="center"/>
    </xf>
    <xf numFmtId="0" fontId="28" fillId="9" borderId="17" xfId="1" applyFont="1" applyFill="1" applyBorder="1" applyAlignment="1" applyProtection="1">
      <alignment horizontal="center"/>
    </xf>
    <xf numFmtId="0" fontId="6" fillId="13" borderId="30" xfId="0" applyFont="1" applyFill="1" applyBorder="1" applyAlignment="1">
      <alignment horizontal="center"/>
    </xf>
    <xf numFmtId="0" fontId="6" fillId="13" borderId="29" xfId="0" applyFont="1" applyFill="1" applyBorder="1" applyAlignment="1">
      <alignment horizontal="center"/>
    </xf>
    <xf numFmtId="0" fontId="6" fillId="13" borderId="24" xfId="0" applyFont="1" applyFill="1" applyBorder="1" applyAlignment="1">
      <alignment horizontal="center"/>
    </xf>
    <xf numFmtId="0" fontId="6" fillId="13" borderId="26" xfId="0" applyFont="1" applyFill="1" applyBorder="1" applyAlignment="1">
      <alignment horizontal="center"/>
    </xf>
    <xf numFmtId="0" fontId="6" fillId="13" borderId="32" xfId="0" applyFont="1" applyFill="1" applyBorder="1" applyAlignment="1">
      <alignment horizontal="center"/>
    </xf>
    <xf numFmtId="0" fontId="6" fillId="13" borderId="25" xfId="0" applyFont="1" applyFill="1" applyBorder="1" applyAlignment="1">
      <alignment horizontal="center"/>
    </xf>
    <xf numFmtId="0" fontId="6" fillId="13" borderId="27" xfId="0" applyFont="1" applyFill="1" applyBorder="1" applyAlignment="1">
      <alignment horizontal="center"/>
    </xf>
    <xf numFmtId="0" fontId="6" fillId="13" borderId="31" xfId="0" applyFont="1" applyFill="1" applyBorder="1" applyAlignment="1">
      <alignment horizontal="center"/>
    </xf>
    <xf numFmtId="0" fontId="19" fillId="9" borderId="8" xfId="0" applyFont="1" applyFill="1" applyBorder="1"/>
    <xf numFmtId="0" fontId="4" fillId="9" borderId="8" xfId="0" applyFont="1" applyFill="1" applyBorder="1" applyAlignment="1">
      <alignment vertical="center"/>
    </xf>
    <xf numFmtId="0" fontId="0" fillId="9" borderId="7" xfId="0" applyFill="1" applyBorder="1"/>
    <xf numFmtId="0" fontId="42" fillId="0" borderId="0" xfId="0" applyFont="1"/>
    <xf numFmtId="1" fontId="42" fillId="0" borderId="0" xfId="0" applyNumberFormat="1" applyFont="1"/>
    <xf numFmtId="0" fontId="42" fillId="0" borderId="0" xfId="0" applyFont="1" applyBorder="1"/>
    <xf numFmtId="1" fontId="42" fillId="0" borderId="0" xfId="0" applyNumberFormat="1" applyFont="1" applyBorder="1"/>
    <xf numFmtId="0" fontId="6" fillId="9" borderId="12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right"/>
    </xf>
    <xf numFmtId="0" fontId="6" fillId="9" borderId="12" xfId="0" applyFont="1" applyFill="1" applyBorder="1" applyAlignment="1">
      <alignment horizontal="right"/>
    </xf>
    <xf numFmtId="0" fontId="6" fillId="9" borderId="11" xfId="0" applyFont="1" applyFill="1" applyBorder="1" applyAlignment="1">
      <alignment horizontal="right"/>
    </xf>
    <xf numFmtId="168" fontId="6" fillId="9" borderId="0" xfId="9" applyNumberFormat="1" applyFont="1" applyFill="1" applyBorder="1" applyAlignment="1">
      <alignment horizontal="right"/>
    </xf>
    <xf numFmtId="168" fontId="6" fillId="9" borderId="11" xfId="9" applyNumberFormat="1" applyFont="1" applyFill="1" applyBorder="1" applyAlignment="1">
      <alignment horizontal="right"/>
    </xf>
    <xf numFmtId="168" fontId="6" fillId="9" borderId="6" xfId="9" applyNumberFormat="1" applyFont="1" applyFill="1" applyBorder="1" applyAlignment="1">
      <alignment horizontal="center"/>
    </xf>
    <xf numFmtId="168" fontId="6" fillId="9" borderId="12" xfId="9" applyNumberFormat="1" applyFont="1" applyFill="1" applyBorder="1" applyAlignment="1">
      <alignment horizontal="right"/>
    </xf>
    <xf numFmtId="168" fontId="6" fillId="9" borderId="13" xfId="9" applyNumberFormat="1" applyFont="1" applyFill="1" applyBorder="1" applyAlignment="1">
      <alignment horizontal="center"/>
    </xf>
    <xf numFmtId="168" fontId="6" fillId="9" borderId="10" xfId="9" applyNumberFormat="1" applyFont="1" applyFill="1" applyBorder="1" applyAlignment="1">
      <alignment horizontal="center"/>
    </xf>
    <xf numFmtId="0" fontId="13" fillId="9" borderId="0" xfId="0" applyFont="1" applyFill="1" applyBorder="1"/>
    <xf numFmtId="0" fontId="5" fillId="20" borderId="0" xfId="0" applyFont="1" applyFill="1"/>
    <xf numFmtId="3" fontId="5" fillId="20" borderId="0" xfId="0" applyNumberFormat="1" applyFont="1" applyFill="1"/>
    <xf numFmtId="0" fontId="6" fillId="20" borderId="0" xfId="0" applyFont="1" applyFill="1"/>
    <xf numFmtId="0" fontId="5" fillId="9" borderId="0" xfId="0" applyFont="1" applyFill="1" applyBorder="1" applyAlignment="1">
      <alignment horizontal="centerContinuous"/>
    </xf>
    <xf numFmtId="0" fontId="30" fillId="9" borderId="0" xfId="0" applyFont="1" applyFill="1" applyBorder="1" applyAlignment="1">
      <alignment horizontal="centerContinuous"/>
    </xf>
    <xf numFmtId="0" fontId="5" fillId="9" borderId="9" xfId="0" applyFont="1" applyFill="1" applyBorder="1" applyAlignment="1">
      <alignment horizontal="centerContinuous"/>
    </xf>
    <xf numFmtId="0" fontId="6" fillId="9" borderId="16" xfId="0" applyFont="1" applyFill="1" applyBorder="1" applyAlignment="1">
      <alignment horizontal="centerContinuous"/>
    </xf>
    <xf numFmtId="0" fontId="6" fillId="9" borderId="12" xfId="0" applyFont="1" applyFill="1" applyBorder="1" applyAlignment="1">
      <alignment horizontal="centerContinuous"/>
    </xf>
    <xf numFmtId="0" fontId="6" fillId="9" borderId="13" xfId="0" applyFont="1" applyFill="1" applyBorder="1" applyAlignment="1">
      <alignment horizontal="center"/>
    </xf>
    <xf numFmtId="168" fontId="42" fillId="9" borderId="0" xfId="9" applyNumberFormat="1" applyFont="1" applyFill="1" applyBorder="1"/>
    <xf numFmtId="168" fontId="6" fillId="9" borderId="9" xfId="9" applyNumberFormat="1" applyFont="1" applyFill="1" applyBorder="1" applyAlignment="1">
      <alignment horizontal="right"/>
    </xf>
    <xf numFmtId="168" fontId="6" fillId="9" borderId="13" xfId="9" applyNumberFormat="1" applyFont="1" applyFill="1" applyBorder="1" applyAlignment="1">
      <alignment horizontal="right"/>
    </xf>
    <xf numFmtId="0" fontId="6" fillId="9" borderId="3" xfId="0" applyFont="1" applyFill="1" applyBorder="1"/>
    <xf numFmtId="168" fontId="6" fillId="9" borderId="13" xfId="9" applyNumberFormat="1" applyFont="1" applyFill="1" applyBorder="1"/>
    <xf numFmtId="0" fontId="13" fillId="9" borderId="8" xfId="0" applyFont="1" applyFill="1" applyBorder="1"/>
    <xf numFmtId="0" fontId="23" fillId="9" borderId="0" xfId="0" applyFont="1" applyFill="1" applyBorder="1"/>
    <xf numFmtId="3" fontId="6" fillId="9" borderId="0" xfId="0" applyNumberFormat="1" applyFont="1" applyFill="1" applyBorder="1"/>
    <xf numFmtId="0" fontId="23" fillId="9" borderId="8" xfId="0" applyFont="1" applyFill="1" applyBorder="1"/>
    <xf numFmtId="0" fontId="6" fillId="9" borderId="12" xfId="0" applyFont="1" applyFill="1" applyBorder="1"/>
    <xf numFmtId="0" fontId="6" fillId="9" borderId="13" xfId="0" applyFont="1" applyFill="1" applyBorder="1"/>
    <xf numFmtId="168" fontId="6" fillId="9" borderId="9" xfId="9" applyNumberFormat="1" applyFont="1" applyFill="1" applyBorder="1" applyAlignment="1">
      <alignment horizontal="center"/>
    </xf>
    <xf numFmtId="16" fontId="16" fillId="9" borderId="9" xfId="0" applyNumberFormat="1" applyFont="1" applyFill="1" applyBorder="1" applyAlignment="1">
      <alignment horizontal="center"/>
    </xf>
    <xf numFmtId="168" fontId="6" fillId="0" borderId="15" xfId="9" applyNumberFormat="1" applyFont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168" fontId="9" fillId="17" borderId="18" xfId="9" applyNumberFormat="1" applyFont="1" applyFill="1" applyBorder="1" applyAlignment="1">
      <alignment horizontal="right" vertical="center"/>
    </xf>
    <xf numFmtId="168" fontId="9" fillId="17" borderId="19" xfId="9" applyNumberFormat="1" applyFont="1" applyFill="1" applyBorder="1" applyAlignment="1">
      <alignment horizontal="right" vertical="center"/>
    </xf>
    <xf numFmtId="0" fontId="13" fillId="9" borderId="11" xfId="0" applyFont="1" applyFill="1" applyBorder="1"/>
    <xf numFmtId="49" fontId="27" fillId="9" borderId="11" xfId="7" applyNumberFormat="1" applyFont="1" applyFill="1" applyBorder="1" applyAlignment="1">
      <alignment horizontal="left" vertical="center" indent="1"/>
    </xf>
    <xf numFmtId="171" fontId="25" fillId="9" borderId="11" xfId="8" applyNumberFormat="1" applyFont="1" applyFill="1" applyBorder="1" applyAlignment="1">
      <alignment horizontal="right" vertical="center"/>
    </xf>
    <xf numFmtId="2" fontId="0" fillId="9" borderId="11" xfId="0" applyNumberFormat="1" applyFill="1" applyBorder="1"/>
    <xf numFmtId="175" fontId="9" fillId="0" borderId="4" xfId="9" applyNumberFormat="1" applyFont="1" applyFill="1" applyBorder="1" applyAlignment="1" applyProtection="1">
      <alignment horizontal="center" vertical="center"/>
    </xf>
    <xf numFmtId="175" fontId="9" fillId="0" borderId="12" xfId="9" applyNumberFormat="1" applyFont="1" applyFill="1" applyBorder="1" applyAlignment="1" applyProtection="1">
      <alignment horizontal="center" vertical="center"/>
    </xf>
    <xf numFmtId="0" fontId="4" fillId="8" borderId="0" xfId="0" applyFont="1" applyFill="1"/>
    <xf numFmtId="0" fontId="6" fillId="8" borderId="0" xfId="0" applyFont="1" applyFill="1" applyAlignment="1">
      <alignment vertical="center"/>
    </xf>
    <xf numFmtId="0" fontId="6" fillId="9" borderId="0" xfId="0" applyFont="1" applyFill="1" applyAlignment="1">
      <alignment vertical="center"/>
    </xf>
    <xf numFmtId="0" fontId="9" fillId="9" borderId="8" xfId="0" applyFont="1" applyFill="1" applyBorder="1" applyAlignment="1">
      <alignment horizontal="center"/>
    </xf>
    <xf numFmtId="0" fontId="39" fillId="9" borderId="8" xfId="3" applyFont="1" applyFill="1" applyBorder="1" applyAlignment="1">
      <alignment horizontal="center" vertical="center"/>
    </xf>
    <xf numFmtId="0" fontId="32" fillId="9" borderId="8" xfId="0" applyFont="1" applyFill="1" applyBorder="1" applyAlignment="1">
      <alignment vertical="center"/>
    </xf>
    <xf numFmtId="49" fontId="6" fillId="9" borderId="8" xfId="0" applyNumberFormat="1" applyFont="1" applyFill="1" applyBorder="1" applyAlignment="1">
      <alignment vertical="center"/>
    </xf>
    <xf numFmtId="0" fontId="6" fillId="9" borderId="8" xfId="3" applyFont="1" applyFill="1" applyBorder="1"/>
    <xf numFmtId="0" fontId="6" fillId="9" borderId="8" xfId="3" applyFont="1" applyFill="1" applyBorder="1" applyAlignment="1">
      <alignment horizontal="center"/>
    </xf>
    <xf numFmtId="0" fontId="39" fillId="9" borderId="0" xfId="3" applyFont="1" applyFill="1" applyBorder="1" applyAlignment="1">
      <alignment horizontal="center" vertical="center"/>
    </xf>
    <xf numFmtId="0" fontId="10" fillId="20" borderId="0" xfId="0" applyFont="1" applyFill="1"/>
    <xf numFmtId="0" fontId="0" fillId="20" borderId="0" xfId="0" applyFill="1" applyBorder="1"/>
    <xf numFmtId="0" fontId="0" fillId="0" borderId="1" xfId="0" applyBorder="1"/>
    <xf numFmtId="0" fontId="9" fillId="0" borderId="0" xfId="0" applyFont="1"/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167" fontId="9" fillId="0" borderId="18" xfId="9" applyNumberFormat="1" applyFont="1" applyFill="1" applyBorder="1" applyAlignment="1">
      <alignment vertical="center"/>
    </xf>
    <xf numFmtId="167" fontId="31" fillId="0" borderId="18" xfId="9" applyNumberFormat="1" applyFont="1" applyFill="1" applyBorder="1" applyAlignment="1">
      <alignment vertical="center"/>
    </xf>
    <xf numFmtId="167" fontId="9" fillId="0" borderId="18" xfId="0" applyNumberFormat="1" applyFont="1" applyFill="1" applyBorder="1" applyAlignment="1">
      <alignment horizontal="right" vertical="center"/>
    </xf>
    <xf numFmtId="176" fontId="9" fillId="0" borderId="18" xfId="0" applyNumberFormat="1" applyFont="1" applyFill="1" applyBorder="1" applyAlignment="1">
      <alignment vertical="center"/>
    </xf>
    <xf numFmtId="176" fontId="9" fillId="0" borderId="19" xfId="0" applyNumberFormat="1" applyFont="1" applyFill="1" applyBorder="1" applyAlignment="1">
      <alignment vertical="center"/>
    </xf>
    <xf numFmtId="0" fontId="9" fillId="0" borderId="2" xfId="0" applyFont="1" applyBorder="1"/>
    <xf numFmtId="167" fontId="9" fillId="0" borderId="18" xfId="0" applyNumberFormat="1" applyFont="1" applyBorder="1"/>
    <xf numFmtId="176" fontId="9" fillId="0" borderId="18" xfId="0" applyNumberFormat="1" applyFont="1" applyBorder="1"/>
    <xf numFmtId="0" fontId="2" fillId="9" borderId="0" xfId="0" applyFont="1" applyFill="1" applyBorder="1"/>
    <xf numFmtId="0" fontId="4" fillId="9" borderId="0" xfId="0" applyFont="1" applyFill="1" applyBorder="1" applyAlignment="1">
      <alignment horizontal="center"/>
    </xf>
    <xf numFmtId="168" fontId="4" fillId="9" borderId="0" xfId="9" applyNumberFormat="1" applyFont="1" applyFill="1" applyBorder="1"/>
    <xf numFmtId="0" fontId="2" fillId="9" borderId="0" xfId="0" applyFont="1" applyFill="1" applyBorder="1" applyAlignment="1">
      <alignment horizontal="center"/>
    </xf>
    <xf numFmtId="166" fontId="4" fillId="9" borderId="0" xfId="9" applyNumberFormat="1" applyFont="1" applyFill="1" applyBorder="1" applyAlignment="1">
      <alignment horizontal="center"/>
    </xf>
    <xf numFmtId="2" fontId="2" fillId="9" borderId="0" xfId="0" applyNumberFormat="1" applyFont="1" applyFill="1" applyBorder="1" applyAlignment="1">
      <alignment horizontal="center"/>
    </xf>
    <xf numFmtId="0" fontId="49" fillId="9" borderId="0" xfId="0" applyFont="1" applyFill="1" applyBorder="1"/>
    <xf numFmtId="177" fontId="49" fillId="9" borderId="0" xfId="0" applyNumberFormat="1" applyFont="1" applyFill="1" applyBorder="1"/>
    <xf numFmtId="0" fontId="11" fillId="9" borderId="0" xfId="0" applyFont="1" applyFill="1" applyBorder="1"/>
    <xf numFmtId="22" fontId="2" fillId="9" borderId="0" xfId="0" applyNumberFormat="1" applyFont="1" applyFill="1" applyBorder="1"/>
    <xf numFmtId="169" fontId="50" fillId="9" borderId="13" xfId="0" applyNumberFormat="1" applyFont="1" applyFill="1" applyBorder="1" applyAlignment="1">
      <alignment horizontal="left"/>
    </xf>
    <xf numFmtId="2" fontId="6" fillId="0" borderId="0" xfId="0" applyNumberFormat="1" applyFont="1" applyAlignment="1">
      <alignment horizontal="center"/>
    </xf>
    <xf numFmtId="175" fontId="6" fillId="0" borderId="12" xfId="9" applyNumberFormat="1" applyFont="1" applyFill="1" applyBorder="1" applyAlignment="1" applyProtection="1">
      <alignment horizontal="center" vertical="center"/>
    </xf>
    <xf numFmtId="173" fontId="6" fillId="0" borderId="15" xfId="9" applyNumberFormat="1" applyFont="1" applyBorder="1" applyAlignment="1">
      <alignment horizontal="right" vertical="center"/>
    </xf>
    <xf numFmtId="173" fontId="6" fillId="0" borderId="0" xfId="9" applyNumberFormat="1" applyFont="1" applyFill="1" applyBorder="1" applyAlignment="1" applyProtection="1">
      <alignment vertical="center"/>
    </xf>
    <xf numFmtId="0" fontId="4" fillId="0" borderId="0" xfId="0" applyFont="1" applyBorder="1"/>
    <xf numFmtId="0" fontId="4" fillId="9" borderId="0" xfId="0" applyFont="1" applyFill="1" applyBorder="1" applyAlignment="1">
      <alignment horizontal="center"/>
    </xf>
    <xf numFmtId="0" fontId="20" fillId="17" borderId="0" xfId="0" applyFont="1" applyFill="1" applyBorder="1" applyAlignment="1">
      <alignment horizontal="centerContinuous"/>
    </xf>
    <xf numFmtId="1" fontId="20" fillId="17" borderId="5" xfId="0" applyNumberFormat="1" applyFont="1" applyFill="1" applyBorder="1" applyAlignment="1">
      <alignment horizontal="center"/>
    </xf>
    <xf numFmtId="1" fontId="20" fillId="17" borderId="7" xfId="0" applyNumberFormat="1" applyFont="1" applyFill="1" applyBorder="1" applyAlignment="1">
      <alignment horizontal="center"/>
    </xf>
    <xf numFmtId="1" fontId="20" fillId="17" borderId="6" xfId="0" applyNumberFormat="1" applyFont="1" applyFill="1" applyBorder="1" applyAlignment="1">
      <alignment horizontal="center"/>
    </xf>
    <xf numFmtId="2" fontId="20" fillId="17" borderId="0" xfId="0" applyNumberFormat="1" applyFont="1" applyFill="1" applyBorder="1" applyAlignment="1">
      <alignment horizontal="centerContinuous"/>
    </xf>
    <xf numFmtId="2" fontId="20" fillId="17" borderId="8" xfId="0" applyNumberFormat="1" applyFont="1" applyFill="1" applyBorder="1" applyAlignment="1">
      <alignment horizontal="centerContinuous"/>
    </xf>
    <xf numFmtId="2" fontId="20" fillId="17" borderId="9" xfId="0" applyNumberFormat="1" applyFont="1" applyFill="1" applyBorder="1" applyAlignment="1">
      <alignment horizontal="centerContinuous"/>
    </xf>
    <xf numFmtId="0" fontId="20" fillId="17" borderId="8" xfId="0" applyFont="1" applyFill="1" applyBorder="1" applyAlignment="1">
      <alignment horizontal="centerContinuous"/>
    </xf>
    <xf numFmtId="0" fontId="20" fillId="17" borderId="9" xfId="0" applyFont="1" applyFill="1" applyBorder="1" applyAlignment="1">
      <alignment horizontal="centerContinuous"/>
    </xf>
    <xf numFmtId="0" fontId="6" fillId="17" borderId="6" xfId="0" applyFont="1" applyFill="1" applyBorder="1" applyAlignment="1">
      <alignment horizontal="left"/>
    </xf>
    <xf numFmtId="0" fontId="6" fillId="17" borderId="9" xfId="0" applyFont="1" applyFill="1" applyBorder="1" applyAlignment="1">
      <alignment horizontal="left"/>
    </xf>
    <xf numFmtId="0" fontId="9" fillId="17" borderId="10" xfId="0" applyFont="1" applyFill="1" applyBorder="1" applyAlignment="1">
      <alignment horizontal="center"/>
    </xf>
    <xf numFmtId="2" fontId="20" fillId="17" borderId="0" xfId="0" applyNumberFormat="1" applyFont="1" applyFill="1" applyBorder="1" applyAlignment="1">
      <alignment horizontal="center"/>
    </xf>
    <xf numFmtId="0" fontId="51" fillId="0" borderId="0" xfId="0" applyFont="1"/>
    <xf numFmtId="0" fontId="5" fillId="9" borderId="0" xfId="0" applyFont="1" applyFill="1"/>
    <xf numFmtId="168" fontId="1" fillId="0" borderId="3" xfId="9" applyNumberFormat="1" applyFont="1" applyBorder="1"/>
    <xf numFmtId="0" fontId="3" fillId="9" borderId="0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12" fillId="9" borderId="9" xfId="0" applyFont="1" applyFill="1" applyBorder="1" applyAlignment="1">
      <alignment horizontal="center"/>
    </xf>
    <xf numFmtId="168" fontId="1" fillId="9" borderId="0" xfId="9" applyNumberFormat="1" applyFont="1" applyFill="1" applyBorder="1"/>
    <xf numFmtId="0" fontId="1" fillId="9" borderId="11" xfId="0" applyFont="1" applyFill="1" applyBorder="1"/>
    <xf numFmtId="168" fontId="1" fillId="9" borderId="21" xfId="9" applyNumberFormat="1" applyFont="1" applyFill="1" applyBorder="1"/>
    <xf numFmtId="168" fontId="1" fillId="9" borderId="11" xfId="9" applyNumberFormat="1" applyFont="1" applyFill="1" applyBorder="1"/>
    <xf numFmtId="0" fontId="19" fillId="0" borderId="0" xfId="0" applyFont="1"/>
    <xf numFmtId="0" fontId="6" fillId="9" borderId="16" xfId="0" applyFont="1" applyFill="1" applyBorder="1" applyAlignment="1"/>
    <xf numFmtId="0" fontId="1" fillId="9" borderId="16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Continuous"/>
    </xf>
    <xf numFmtId="0" fontId="30" fillId="9" borderId="1" xfId="0" applyFont="1" applyFill="1" applyBorder="1" applyAlignment="1">
      <alignment horizontal="centerContinuous"/>
    </xf>
    <xf numFmtId="0" fontId="30" fillId="9" borderId="24" xfId="0" applyFont="1" applyFill="1" applyBorder="1" applyAlignment="1">
      <alignment horizontal="centerContinuous"/>
    </xf>
    <xf numFmtId="0" fontId="1" fillId="9" borderId="25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26" xfId="0" applyFont="1" applyFill="1" applyBorder="1" applyAlignment="1">
      <alignment horizontal="center"/>
    </xf>
    <xf numFmtId="0" fontId="1" fillId="9" borderId="25" xfId="0" applyFont="1" applyFill="1" applyBorder="1" applyAlignment="1"/>
    <xf numFmtId="0" fontId="45" fillId="9" borderId="22" xfId="0" applyFont="1" applyFill="1" applyBorder="1" applyAlignment="1">
      <alignment horizontal="center"/>
    </xf>
    <xf numFmtId="0" fontId="53" fillId="9" borderId="9" xfId="0" applyFont="1" applyFill="1" applyBorder="1" applyAlignment="1"/>
    <xf numFmtId="0" fontId="52" fillId="9" borderId="9" xfId="0" applyFont="1" applyFill="1" applyBorder="1" applyAlignment="1">
      <alignment horizontal="center"/>
    </xf>
    <xf numFmtId="0" fontId="51" fillId="9" borderId="9" xfId="0" applyFont="1" applyFill="1" applyBorder="1" applyAlignment="1">
      <alignment horizontal="center" vertical="center" wrapText="1"/>
    </xf>
    <xf numFmtId="164" fontId="1" fillId="0" borderId="0" xfId="9" applyFont="1"/>
    <xf numFmtId="0" fontId="5" fillId="20" borderId="8" xfId="0" applyFont="1" applyFill="1" applyBorder="1"/>
    <xf numFmtId="3" fontId="5" fillId="20" borderId="8" xfId="0" applyNumberFormat="1" applyFont="1" applyFill="1" applyBorder="1"/>
    <xf numFmtId="168" fontId="1" fillId="0" borderId="3" xfId="9" applyNumberFormat="1" applyFont="1" applyBorder="1" applyAlignment="1">
      <alignment horizontal="center" vertical="center"/>
    </xf>
    <xf numFmtId="164" fontId="1" fillId="2" borderId="3" xfId="9" quotePrefix="1" applyNumberFormat="1" applyFont="1" applyFill="1" applyBorder="1" applyAlignment="1">
      <alignment horizontal="center" vertical="center"/>
    </xf>
    <xf numFmtId="164" fontId="1" fillId="2" borderId="3" xfId="9" quotePrefix="1" applyFont="1" applyFill="1" applyBorder="1" applyAlignment="1">
      <alignment horizontal="center" vertical="center"/>
    </xf>
    <xf numFmtId="168" fontId="1" fillId="0" borderId="26" xfId="9" applyNumberFormat="1" applyFont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 wrapText="1"/>
    </xf>
    <xf numFmtId="164" fontId="9" fillId="4" borderId="18" xfId="9" quotePrefix="1" applyNumberFormat="1" applyFont="1" applyFill="1" applyBorder="1" applyAlignment="1">
      <alignment horizontal="center" vertical="center"/>
    </xf>
    <xf numFmtId="164" fontId="9" fillId="4" borderId="18" xfId="9" quotePrefix="1" applyFont="1" applyFill="1" applyBorder="1" applyAlignment="1">
      <alignment horizontal="center" vertical="center"/>
    </xf>
    <xf numFmtId="0" fontId="1" fillId="8" borderId="0" xfId="0" applyFont="1" applyFill="1"/>
    <xf numFmtId="168" fontId="1" fillId="0" borderId="10" xfId="9" applyNumberFormat="1" applyFont="1" applyBorder="1"/>
    <xf numFmtId="168" fontId="1" fillId="0" borderId="10" xfId="9" applyNumberFormat="1" applyFont="1" applyBorder="1" applyAlignment="1">
      <alignment horizontal="left" vertical="center"/>
    </xf>
    <xf numFmtId="168" fontId="1" fillId="0" borderId="4" xfId="9" applyNumberFormat="1" applyFont="1" applyBorder="1" applyAlignment="1">
      <alignment horizontal="center" vertical="center"/>
    </xf>
    <xf numFmtId="168" fontId="1" fillId="7" borderId="3" xfId="9" applyNumberFormat="1" applyFont="1" applyFill="1" applyBorder="1" applyAlignment="1">
      <alignment horizontal="right" vertical="center"/>
    </xf>
    <xf numFmtId="168" fontId="1" fillId="7" borderId="4" xfId="9" applyNumberFormat="1" applyFont="1" applyFill="1" applyBorder="1" applyAlignment="1">
      <alignment horizontal="center" vertical="center"/>
    </xf>
    <xf numFmtId="168" fontId="1" fillId="0" borderId="13" xfId="9" applyNumberFormat="1" applyFont="1" applyBorder="1" applyAlignment="1">
      <alignment horizontal="left" vertical="center"/>
    </xf>
    <xf numFmtId="168" fontId="1" fillId="0" borderId="15" xfId="9" applyNumberFormat="1" applyFont="1" applyBorder="1" applyAlignment="1">
      <alignment horizontal="center" vertical="center"/>
    </xf>
    <xf numFmtId="168" fontId="1" fillId="0" borderId="15" xfId="9" applyNumberFormat="1" applyFont="1" applyBorder="1" applyAlignment="1">
      <alignment horizontal="right" vertical="center"/>
    </xf>
    <xf numFmtId="168" fontId="1" fillId="0" borderId="12" xfId="9" applyNumberFormat="1" applyFont="1" applyBorder="1" applyAlignment="1">
      <alignment horizontal="center" vertical="center"/>
    </xf>
    <xf numFmtId="168" fontId="1" fillId="0" borderId="26" xfId="9" applyNumberFormat="1" applyFont="1" applyBorder="1" applyAlignment="1">
      <alignment horizontal="right" vertical="center"/>
    </xf>
    <xf numFmtId="168" fontId="1" fillId="0" borderId="28" xfId="9" applyNumberFormat="1" applyFont="1" applyBorder="1" applyAlignment="1">
      <alignment horizontal="center" vertical="center"/>
    </xf>
    <xf numFmtId="168" fontId="9" fillId="4" borderId="25" xfId="9" applyNumberFormat="1" applyFont="1" applyFill="1" applyBorder="1" applyAlignment="1">
      <alignment horizontal="center" vertical="center"/>
    </xf>
    <xf numFmtId="168" fontId="9" fillId="17" borderId="25" xfId="9" applyNumberFormat="1" applyFont="1" applyFill="1" applyBorder="1" applyAlignment="1">
      <alignment horizontal="right" vertical="center"/>
    </xf>
    <xf numFmtId="168" fontId="9" fillId="17" borderId="31" xfId="9" applyNumberFormat="1" applyFont="1" applyFill="1" applyBorder="1" applyAlignment="1">
      <alignment horizontal="center" vertical="center"/>
    </xf>
    <xf numFmtId="0" fontId="0" fillId="0" borderId="9" xfId="0" applyBorder="1"/>
    <xf numFmtId="168" fontId="9" fillId="21" borderId="18" xfId="9" applyNumberFormat="1" applyFont="1" applyFill="1" applyBorder="1"/>
    <xf numFmtId="0" fontId="1" fillId="0" borderId="0" xfId="0" applyFont="1"/>
    <xf numFmtId="168" fontId="54" fillId="0" borderId="18" xfId="9" applyNumberFormat="1" applyFont="1" applyBorder="1"/>
    <xf numFmtId="166" fontId="9" fillId="0" borderId="18" xfId="9" applyNumberFormat="1" applyFont="1" applyBorder="1"/>
    <xf numFmtId="168" fontId="1" fillId="9" borderId="9" xfId="9" applyNumberFormat="1" applyFont="1" applyFill="1" applyBorder="1"/>
    <xf numFmtId="164" fontId="1" fillId="9" borderId="29" xfId="9" applyNumberFormat="1" applyFont="1" applyFill="1" applyBorder="1"/>
    <xf numFmtId="164" fontId="1" fillId="9" borderId="17" xfId="9" applyNumberFormat="1" applyFont="1" applyFill="1" applyBorder="1"/>
    <xf numFmtId="166" fontId="1" fillId="9" borderId="0" xfId="9" applyNumberFormat="1" applyFont="1" applyFill="1" applyBorder="1" applyAlignment="1">
      <alignment horizontal="center" vertical="center"/>
    </xf>
    <xf numFmtId="166" fontId="1" fillId="9" borderId="17" xfId="9" applyNumberFormat="1" applyFont="1" applyFill="1" applyBorder="1"/>
    <xf numFmtId="168" fontId="1" fillId="9" borderId="15" xfId="9" applyNumberFormat="1" applyFont="1" applyFill="1" applyBorder="1"/>
    <xf numFmtId="164" fontId="1" fillId="9" borderId="15" xfId="9" applyNumberFormat="1" applyFont="1" applyFill="1" applyBorder="1"/>
    <xf numFmtId="166" fontId="1" fillId="9" borderId="15" xfId="9" applyNumberFormat="1" applyFont="1" applyFill="1" applyBorder="1"/>
    <xf numFmtId="166" fontId="1" fillId="9" borderId="11" xfId="9" applyNumberFormat="1" applyFont="1" applyFill="1" applyBorder="1" applyAlignment="1">
      <alignment horizontal="center" vertical="center"/>
    </xf>
    <xf numFmtId="168" fontId="1" fillId="9" borderId="13" xfId="9" applyNumberFormat="1" applyFont="1" applyFill="1" applyBorder="1"/>
    <xf numFmtId="0" fontId="51" fillId="0" borderId="0" xfId="0" applyFont="1" applyBorder="1"/>
    <xf numFmtId="164" fontId="9" fillId="7" borderId="26" xfId="9" applyFont="1" applyFill="1" applyBorder="1"/>
    <xf numFmtId="164" fontId="9" fillId="7" borderId="28" xfId="9" applyFont="1" applyFill="1" applyBorder="1"/>
    <xf numFmtId="39" fontId="9" fillId="0" borderId="0" xfId="0" applyNumberFormat="1" applyFont="1" applyBorder="1" applyAlignment="1" applyProtection="1">
      <alignment vertical="center"/>
    </xf>
    <xf numFmtId="168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55" fillId="7" borderId="2" xfId="0" applyFont="1" applyFill="1" applyBorder="1" applyAlignment="1">
      <alignment horizontal="center"/>
    </xf>
    <xf numFmtId="164" fontId="56" fillId="0" borderId="18" xfId="9" applyNumberFormat="1" applyFont="1" applyBorder="1"/>
    <xf numFmtId="168" fontId="56" fillId="0" borderId="18" xfId="9" applyNumberFormat="1" applyFont="1" applyBorder="1"/>
    <xf numFmtId="166" fontId="56" fillId="0" borderId="25" xfId="9" applyNumberFormat="1" applyFont="1" applyBorder="1"/>
    <xf numFmtId="166" fontId="56" fillId="0" borderId="18" xfId="9" applyNumberFormat="1" applyFont="1" applyBorder="1"/>
    <xf numFmtId="0" fontId="55" fillId="0" borderId="2" xfId="0" applyFont="1" applyBorder="1" applyAlignment="1">
      <alignment horizontal="center" vertical="center" wrapText="1"/>
    </xf>
    <xf numFmtId="164" fontId="56" fillId="0" borderId="18" xfId="9" applyFont="1" applyBorder="1"/>
    <xf numFmtId="164" fontId="56" fillId="0" borderId="18" xfId="9" applyNumberFormat="1" applyFont="1" applyBorder="1" applyAlignment="1">
      <alignment vertical="center"/>
    </xf>
    <xf numFmtId="0" fontId="1" fillId="9" borderId="9" xfId="0" applyFont="1" applyFill="1" applyBorder="1" applyAlignment="1">
      <alignment vertical="center" wrapText="1"/>
    </xf>
    <xf numFmtId="164" fontId="0" fillId="0" borderId="0" xfId="9" applyNumberFormat="1" applyFont="1" applyFill="1" applyBorder="1"/>
    <xf numFmtId="164" fontId="9" fillId="7" borderId="29" xfId="9" applyFont="1" applyFill="1" applyBorder="1"/>
    <xf numFmtId="164" fontId="9" fillId="7" borderId="19" xfId="9" applyFont="1" applyFill="1" applyBorder="1"/>
    <xf numFmtId="0" fontId="9" fillId="22" borderId="10" xfId="0" applyFont="1" applyFill="1" applyBorder="1" applyAlignment="1">
      <alignment horizontal="left" vertical="center" wrapText="1"/>
    </xf>
    <xf numFmtId="164" fontId="9" fillId="22" borderId="3" xfId="9" applyFont="1" applyFill="1" applyBorder="1" applyAlignment="1" applyProtection="1">
      <alignment vertical="center"/>
    </xf>
    <xf numFmtId="168" fontId="9" fillId="22" borderId="3" xfId="9" applyNumberFormat="1" applyFont="1" applyFill="1" applyBorder="1" applyAlignment="1" applyProtection="1">
      <alignment vertical="center"/>
    </xf>
    <xf numFmtId="166" fontId="9" fillId="22" borderId="3" xfId="9" applyNumberFormat="1" applyFont="1" applyFill="1" applyBorder="1"/>
    <xf numFmtId="164" fontId="9" fillId="22" borderId="3" xfId="9" applyNumberFormat="1" applyFont="1" applyFill="1" applyBorder="1"/>
    <xf numFmtId="164" fontId="9" fillId="22" borderId="3" xfId="9" applyFont="1" applyFill="1" applyBorder="1"/>
    <xf numFmtId="164" fontId="9" fillId="22" borderId="4" xfId="9" applyFont="1" applyFill="1" applyBorder="1"/>
    <xf numFmtId="164" fontId="1" fillId="22" borderId="17" xfId="9" applyFont="1" applyFill="1" applyBorder="1" applyAlignment="1" applyProtection="1">
      <alignment vertical="center"/>
    </xf>
    <xf numFmtId="164" fontId="1" fillId="22" borderId="9" xfId="9" applyFont="1" applyFill="1" applyBorder="1" applyAlignment="1" applyProtection="1">
      <alignment vertical="center"/>
    </xf>
    <xf numFmtId="168" fontId="1" fillId="22" borderId="9" xfId="9" applyNumberFormat="1" applyFont="1" applyFill="1" applyBorder="1" applyAlignment="1">
      <alignment horizontal="center" vertical="center"/>
    </xf>
    <xf numFmtId="168" fontId="1" fillId="22" borderId="17" xfId="9" applyNumberFormat="1" applyFont="1" applyFill="1" applyBorder="1" applyAlignment="1" applyProtection="1">
      <alignment horizontal="center" vertical="center"/>
    </xf>
    <xf numFmtId="164" fontId="1" fillId="22" borderId="17" xfId="9" applyFont="1" applyFill="1" applyBorder="1" applyAlignment="1">
      <alignment horizontal="center" vertical="center"/>
    </xf>
    <xf numFmtId="166" fontId="1" fillId="22" borderId="17" xfId="9" applyNumberFormat="1" applyFont="1" applyFill="1" applyBorder="1" applyAlignment="1">
      <alignment horizontal="center" vertical="center"/>
    </xf>
    <xf numFmtId="164" fontId="1" fillId="22" borderId="9" xfId="9" applyFont="1" applyFill="1" applyBorder="1" applyAlignment="1">
      <alignment horizontal="center" vertical="center"/>
    </xf>
    <xf numFmtId="166" fontId="1" fillId="22" borderId="0" xfId="9" applyNumberFormat="1" applyFont="1" applyFill="1" applyBorder="1" applyAlignment="1">
      <alignment horizontal="center" vertical="center"/>
    </xf>
    <xf numFmtId="168" fontId="1" fillId="22" borderId="17" xfId="9" applyNumberFormat="1" applyFont="1" applyFill="1" applyBorder="1" applyAlignment="1">
      <alignment vertical="center"/>
    </xf>
    <xf numFmtId="168" fontId="1" fillId="22" borderId="17" xfId="9" applyNumberFormat="1" applyFont="1" applyFill="1" applyBorder="1" applyAlignment="1" applyProtection="1">
      <alignment vertical="center"/>
    </xf>
    <xf numFmtId="164" fontId="1" fillId="22" borderId="17" xfId="9" applyFont="1" applyFill="1" applyBorder="1" applyAlignment="1">
      <alignment vertical="center"/>
    </xf>
    <xf numFmtId="164" fontId="1" fillId="22" borderId="9" xfId="9" applyNumberFormat="1" applyFont="1" applyFill="1" applyBorder="1" applyAlignment="1">
      <alignment horizontal="center" vertical="center"/>
    </xf>
    <xf numFmtId="164" fontId="1" fillId="22" borderId="17" xfId="9" applyNumberFormat="1" applyFont="1" applyFill="1" applyBorder="1" applyAlignment="1">
      <alignment horizontal="center" vertical="center"/>
    </xf>
    <xf numFmtId="168" fontId="1" fillId="22" borderId="9" xfId="9" applyNumberFormat="1" applyFont="1" applyFill="1" applyBorder="1"/>
    <xf numFmtId="168" fontId="1" fillId="22" borderId="17" xfId="9" applyNumberFormat="1" applyFont="1" applyFill="1" applyBorder="1"/>
    <xf numFmtId="164" fontId="1" fillId="22" borderId="17" xfId="9" applyNumberFormat="1" applyFont="1" applyFill="1" applyBorder="1"/>
    <xf numFmtId="166" fontId="1" fillId="22" borderId="9" xfId="9" applyNumberFormat="1" applyFont="1" applyFill="1" applyBorder="1"/>
    <xf numFmtId="166" fontId="1" fillId="22" borderId="17" xfId="9" applyNumberFormat="1" applyFont="1" applyFill="1" applyBorder="1"/>
    <xf numFmtId="164" fontId="1" fillId="22" borderId="9" xfId="9" applyNumberFormat="1" applyFont="1" applyFill="1" applyBorder="1"/>
    <xf numFmtId="0" fontId="1" fillId="22" borderId="13" xfId="0" applyFont="1" applyFill="1" applyBorder="1" applyAlignment="1">
      <alignment horizontal="left" vertical="center" wrapText="1"/>
    </xf>
    <xf numFmtId="164" fontId="1" fillId="22" borderId="15" xfId="9" applyFont="1" applyFill="1" applyBorder="1" applyAlignment="1" applyProtection="1">
      <alignment vertical="center"/>
    </xf>
    <xf numFmtId="168" fontId="1" fillId="22" borderId="15" xfId="9" applyNumberFormat="1" applyFont="1" applyFill="1" applyBorder="1"/>
    <xf numFmtId="164" fontId="1" fillId="22" borderId="15" xfId="9" applyNumberFormat="1" applyFont="1" applyFill="1" applyBorder="1"/>
    <xf numFmtId="166" fontId="1" fillId="22" borderId="15" xfId="9" applyNumberFormat="1" applyFont="1" applyFill="1" applyBorder="1"/>
    <xf numFmtId="166" fontId="1" fillId="22" borderId="11" xfId="9" applyNumberFormat="1" applyFont="1" applyFill="1" applyBorder="1" applyAlignment="1">
      <alignment horizontal="center" vertical="center"/>
    </xf>
    <xf numFmtId="164" fontId="9" fillId="22" borderId="3" xfId="9" applyNumberFormat="1" applyFont="1" applyFill="1" applyBorder="1" applyAlignment="1">
      <alignment vertical="center"/>
    </xf>
    <xf numFmtId="164" fontId="1" fillId="22" borderId="3" xfId="9" applyFont="1" applyFill="1" applyBorder="1" applyAlignment="1" applyProtection="1">
      <alignment vertical="center"/>
    </xf>
    <xf numFmtId="164" fontId="1" fillId="22" borderId="10" xfId="9" applyFont="1" applyFill="1" applyBorder="1" applyAlignment="1" applyProtection="1">
      <alignment vertical="center"/>
    </xf>
    <xf numFmtId="168" fontId="1" fillId="22" borderId="10" xfId="9" applyNumberFormat="1" applyFont="1" applyFill="1" applyBorder="1"/>
    <xf numFmtId="168" fontId="1" fillId="22" borderId="3" xfId="9" applyNumberFormat="1" applyFont="1" applyFill="1" applyBorder="1"/>
    <xf numFmtId="164" fontId="1" fillId="22" borderId="3" xfId="9" applyFont="1" applyFill="1" applyBorder="1"/>
    <xf numFmtId="166" fontId="1" fillId="22" borderId="3" xfId="9" applyNumberFormat="1" applyFont="1" applyFill="1" applyBorder="1"/>
    <xf numFmtId="164" fontId="1" fillId="22" borderId="3" xfId="9" applyNumberFormat="1" applyFont="1" applyFill="1" applyBorder="1"/>
    <xf numFmtId="166" fontId="1" fillId="22" borderId="14" xfId="9" applyNumberFormat="1" applyFont="1" applyFill="1" applyBorder="1" applyAlignment="1">
      <alignment horizontal="center" vertical="center"/>
    </xf>
    <xf numFmtId="164" fontId="1" fillId="22" borderId="13" xfId="9" applyFont="1" applyFill="1" applyBorder="1" applyAlignment="1" applyProtection="1">
      <alignment vertical="center"/>
    </xf>
    <xf numFmtId="168" fontId="1" fillId="22" borderId="13" xfId="9" applyNumberFormat="1" applyFont="1" applyFill="1" applyBorder="1"/>
    <xf numFmtId="0" fontId="9" fillId="22" borderId="24" xfId="0" applyFont="1" applyFill="1" applyBorder="1" applyAlignment="1">
      <alignment horizontal="left" vertical="center" wrapText="1"/>
    </xf>
    <xf numFmtId="164" fontId="9" fillId="22" borderId="25" xfId="9" applyFont="1" applyFill="1" applyBorder="1" applyAlignment="1" applyProtection="1">
      <alignment vertical="center"/>
    </xf>
    <xf numFmtId="168" fontId="9" fillId="22" borderId="25" xfId="9" applyNumberFormat="1" applyFont="1" applyFill="1" applyBorder="1" applyAlignment="1" applyProtection="1">
      <alignment vertical="center"/>
    </xf>
    <xf numFmtId="166" fontId="9" fillId="22" borderId="15" xfId="9" applyNumberFormat="1" applyFont="1" applyFill="1" applyBorder="1"/>
    <xf numFmtId="165" fontId="9" fillId="22" borderId="25" xfId="9" applyNumberFormat="1" applyFont="1" applyFill="1" applyBorder="1"/>
    <xf numFmtId="164" fontId="9" fillId="22" borderId="15" xfId="9" applyNumberFormat="1" applyFont="1" applyFill="1" applyBorder="1" applyAlignment="1">
      <alignment vertical="center"/>
    </xf>
    <xf numFmtId="164" fontId="9" fillId="22" borderId="25" xfId="9" applyFont="1" applyFill="1" applyBorder="1"/>
    <xf numFmtId="164" fontId="9" fillId="22" borderId="31" xfId="9" applyFont="1" applyFill="1" applyBorder="1"/>
    <xf numFmtId="164" fontId="1" fillId="22" borderId="23" xfId="9" applyNumberFormat="1" applyFont="1" applyFill="1" applyBorder="1" applyAlignment="1" applyProtection="1">
      <alignment vertical="center"/>
    </xf>
    <xf numFmtId="168" fontId="1" fillId="22" borderId="23" xfId="9" applyNumberFormat="1" applyFont="1" applyFill="1" applyBorder="1" applyAlignment="1" applyProtection="1">
      <alignment vertical="center"/>
    </xf>
    <xf numFmtId="166" fontId="1" fillId="22" borderId="23" xfId="9" applyNumberFormat="1" applyFont="1" applyFill="1" applyBorder="1"/>
    <xf numFmtId="164" fontId="1" fillId="22" borderId="23" xfId="9" applyNumberFormat="1" applyFont="1" applyFill="1" applyBorder="1"/>
    <xf numFmtId="166" fontId="1" fillId="22" borderId="21" xfId="9" applyNumberFormat="1" applyFont="1" applyFill="1" applyBorder="1" applyAlignment="1">
      <alignment horizontal="center" vertical="center"/>
    </xf>
    <xf numFmtId="164" fontId="9" fillId="22" borderId="25" xfId="9" applyNumberFormat="1" applyFont="1" applyFill="1" applyBorder="1" applyAlignment="1" applyProtection="1">
      <alignment vertical="center"/>
    </xf>
    <xf numFmtId="166" fontId="9" fillId="22" borderId="25" xfId="9" applyNumberFormat="1" applyFont="1" applyFill="1" applyBorder="1"/>
    <xf numFmtId="166" fontId="9" fillId="22" borderId="26" xfId="9" applyNumberFormat="1" applyFont="1" applyFill="1" applyBorder="1"/>
    <xf numFmtId="164" fontId="9" fillId="22" borderId="25" xfId="9" applyNumberFormat="1" applyFont="1" applyFill="1" applyBorder="1"/>
    <xf numFmtId="164" fontId="9" fillId="22" borderId="26" xfId="9" applyFont="1" applyFill="1" applyBorder="1"/>
    <xf numFmtId="164" fontId="9" fillId="22" borderId="28" xfId="9" applyFont="1" applyFill="1" applyBorder="1"/>
    <xf numFmtId="164" fontId="1" fillId="22" borderId="29" xfId="9" applyFont="1" applyFill="1" applyBorder="1" applyAlignment="1" applyProtection="1">
      <alignment vertical="center"/>
    </xf>
    <xf numFmtId="168" fontId="1" fillId="22" borderId="29" xfId="0" applyNumberFormat="1" applyFont="1" applyFill="1" applyBorder="1"/>
    <xf numFmtId="166" fontId="1" fillId="22" borderId="29" xfId="9" applyNumberFormat="1" applyFont="1" applyFill="1" applyBorder="1"/>
    <xf numFmtId="164" fontId="1" fillId="22" borderId="29" xfId="9" applyFont="1" applyFill="1" applyBorder="1"/>
    <xf numFmtId="164" fontId="1" fillId="22" borderId="0" xfId="9" applyFont="1" applyFill="1" applyBorder="1"/>
    <xf numFmtId="0" fontId="14" fillId="22" borderId="9" xfId="0" applyFont="1" applyFill="1" applyBorder="1" applyAlignment="1">
      <alignment horizontal="left" vertical="center" wrapText="1" indent="2"/>
    </xf>
    <xf numFmtId="166" fontId="51" fillId="22" borderId="17" xfId="9" applyNumberFormat="1" applyFont="1" applyFill="1" applyBorder="1"/>
    <xf numFmtId="164" fontId="1" fillId="22" borderId="17" xfId="9" applyFont="1" applyFill="1" applyBorder="1"/>
    <xf numFmtId="0" fontId="9" fillId="22" borderId="27" xfId="0" applyFont="1" applyFill="1" applyBorder="1" applyAlignment="1">
      <alignment horizontal="left" vertical="center" wrapText="1"/>
    </xf>
    <xf numFmtId="164" fontId="9" fillId="22" borderId="26" xfId="0" applyNumberFormat="1" applyFont="1" applyFill="1" applyBorder="1"/>
    <xf numFmtId="168" fontId="9" fillId="22" borderId="26" xfId="0" applyNumberFormat="1" applyFont="1" applyFill="1" applyBorder="1"/>
    <xf numFmtId="168" fontId="1" fillId="9" borderId="23" xfId="9" applyNumberFormat="1" applyFont="1" applyFill="1" applyBorder="1"/>
    <xf numFmtId="166" fontId="1" fillId="9" borderId="23" xfId="9" applyNumberFormat="1" applyFont="1" applyFill="1" applyBorder="1"/>
    <xf numFmtId="164" fontId="1" fillId="9" borderId="23" xfId="9" applyFont="1" applyFill="1" applyBorder="1"/>
    <xf numFmtId="166" fontId="1" fillId="9" borderId="21" xfId="9" applyNumberFormat="1" applyFont="1" applyFill="1" applyBorder="1" applyAlignment="1">
      <alignment horizontal="center" vertical="center"/>
    </xf>
    <xf numFmtId="0" fontId="9" fillId="9" borderId="24" xfId="0" applyFont="1" applyFill="1" applyBorder="1" applyAlignment="1">
      <alignment horizontal="left" vertical="center" wrapText="1"/>
    </xf>
    <xf numFmtId="164" fontId="9" fillId="9" borderId="25" xfId="9" applyFont="1" applyFill="1" applyBorder="1" applyAlignment="1" applyProtection="1">
      <alignment vertical="center"/>
    </xf>
    <xf numFmtId="168" fontId="9" fillId="9" borderId="25" xfId="9" applyNumberFormat="1" applyFont="1" applyFill="1" applyBorder="1" applyAlignment="1" applyProtection="1">
      <alignment vertical="center"/>
    </xf>
    <xf numFmtId="166" fontId="9" fillId="9" borderId="25" xfId="9" applyNumberFormat="1" applyFont="1" applyFill="1" applyBorder="1"/>
    <xf numFmtId="166" fontId="9" fillId="9" borderId="26" xfId="9" applyNumberFormat="1" applyFont="1" applyFill="1" applyBorder="1"/>
    <xf numFmtId="164" fontId="9" fillId="9" borderId="25" xfId="9" applyNumberFormat="1" applyFont="1" applyFill="1" applyBorder="1"/>
    <xf numFmtId="164" fontId="9" fillId="9" borderId="26" xfId="9" applyFont="1" applyFill="1" applyBorder="1"/>
    <xf numFmtId="164" fontId="9" fillId="9" borderId="28" xfId="9" applyFont="1" applyFill="1" applyBorder="1"/>
    <xf numFmtId="164" fontId="1" fillId="9" borderId="23" xfId="9" applyNumberFormat="1" applyFont="1" applyFill="1" applyBorder="1" applyAlignment="1" applyProtection="1">
      <alignment vertical="center"/>
    </xf>
    <xf numFmtId="164" fontId="1" fillId="9" borderId="22" xfId="9" applyNumberFormat="1" applyFont="1" applyFill="1" applyBorder="1" applyAlignment="1" applyProtection="1">
      <alignment vertical="center"/>
    </xf>
    <xf numFmtId="168" fontId="1" fillId="9" borderId="22" xfId="9" applyNumberFormat="1" applyFont="1" applyFill="1" applyBorder="1"/>
    <xf numFmtId="164" fontId="1" fillId="9" borderId="23" xfId="9" applyNumberFormat="1" applyFont="1" applyFill="1" applyBorder="1"/>
    <xf numFmtId="164" fontId="9" fillId="9" borderId="25" xfId="9" applyNumberFormat="1" applyFont="1" applyFill="1" applyBorder="1" applyAlignment="1" applyProtection="1">
      <alignment vertical="center"/>
    </xf>
    <xf numFmtId="164" fontId="1" fillId="9" borderId="17" xfId="9" applyNumberFormat="1" applyFont="1" applyFill="1" applyBorder="1" applyAlignment="1" applyProtection="1">
      <alignment vertical="center"/>
    </xf>
    <xf numFmtId="164" fontId="1" fillId="9" borderId="9" xfId="9" applyNumberFormat="1" applyFont="1" applyFill="1" applyBorder="1" applyAlignment="1" applyProtection="1">
      <alignment vertical="center"/>
    </xf>
    <xf numFmtId="166" fontId="51" fillId="9" borderId="17" xfId="9" applyNumberFormat="1" applyFont="1" applyFill="1" applyBorder="1"/>
    <xf numFmtId="166" fontId="1" fillId="9" borderId="33" xfId="9" applyNumberFormat="1" applyFont="1" applyFill="1" applyBorder="1" applyAlignment="1">
      <alignment horizontal="center" vertical="center"/>
    </xf>
    <xf numFmtId="164" fontId="1" fillId="9" borderId="15" xfId="9" applyNumberFormat="1" applyFont="1" applyFill="1" applyBorder="1" applyAlignment="1" applyProtection="1">
      <alignment vertical="center"/>
    </xf>
    <xf numFmtId="164" fontId="1" fillId="9" borderId="15" xfId="9" applyNumberFormat="1" applyFont="1" applyFill="1" applyBorder="1" applyAlignment="1">
      <alignment vertical="center"/>
    </xf>
    <xf numFmtId="166" fontId="51" fillId="9" borderId="15" xfId="9" applyNumberFormat="1" applyFont="1" applyFill="1" applyBorder="1"/>
    <xf numFmtId="168" fontId="9" fillId="9" borderId="25" xfId="9" applyNumberFormat="1" applyFont="1" applyFill="1" applyBorder="1"/>
    <xf numFmtId="168" fontId="9" fillId="22" borderId="25" xfId="9" applyNumberFormat="1" applyFont="1" applyFill="1" applyBorder="1"/>
    <xf numFmtId="168" fontId="9" fillId="22" borderId="24" xfId="9" applyNumberFormat="1" applyFont="1" applyFill="1" applyBorder="1"/>
    <xf numFmtId="173" fontId="9" fillId="0" borderId="3" xfId="9" applyNumberFormat="1" applyFont="1" applyFill="1" applyBorder="1" applyAlignment="1" applyProtection="1">
      <alignment vertical="center"/>
      <protection locked="0"/>
    </xf>
    <xf numFmtId="0" fontId="9" fillId="9" borderId="0" xfId="0" applyFont="1" applyFill="1" applyBorder="1" applyAlignment="1">
      <alignment horizontal="center" vertical="center"/>
    </xf>
    <xf numFmtId="173" fontId="9" fillId="0" borderId="3" xfId="9" applyNumberFormat="1" applyFont="1" applyFill="1" applyBorder="1" applyAlignment="1" applyProtection="1">
      <alignment horizontal="center" vertical="center"/>
    </xf>
    <xf numFmtId="173" fontId="9" fillId="0" borderId="15" xfId="9" applyNumberFormat="1" applyFont="1" applyFill="1" applyBorder="1" applyAlignment="1" applyProtection="1">
      <alignment vertical="center"/>
      <protection locked="0"/>
    </xf>
    <xf numFmtId="173" fontId="6" fillId="0" borderId="46" xfId="9" applyNumberFormat="1" applyFont="1" applyFill="1" applyBorder="1" applyAlignment="1" applyProtection="1">
      <alignment vertical="center"/>
      <protection locked="0"/>
    </xf>
    <xf numFmtId="173" fontId="9" fillId="0" borderId="47" xfId="9" applyNumberFormat="1" applyFont="1" applyFill="1" applyBorder="1" applyAlignment="1" applyProtection="1">
      <alignment vertical="center"/>
      <protection locked="0"/>
    </xf>
    <xf numFmtId="173" fontId="9" fillId="0" borderId="48" xfId="9" applyNumberFormat="1" applyFont="1" applyFill="1" applyBorder="1" applyAlignment="1" applyProtection="1">
      <alignment vertical="center"/>
      <protection locked="0"/>
    </xf>
    <xf numFmtId="175" fontId="9" fillId="0" borderId="49" xfId="9" applyNumberFormat="1" applyFont="1" applyFill="1" applyBorder="1" applyAlignment="1" applyProtection="1">
      <alignment horizontal="center" vertical="center"/>
    </xf>
    <xf numFmtId="173" fontId="9" fillId="0" borderId="48" xfId="9" applyNumberFormat="1" applyFont="1" applyFill="1" applyBorder="1" applyAlignment="1" applyProtection="1">
      <alignment horizontal="center" vertical="center"/>
    </xf>
    <xf numFmtId="173" fontId="6" fillId="0" borderId="51" xfId="9" applyNumberFormat="1" applyFont="1" applyFill="1" applyBorder="1" applyAlignment="1" applyProtection="1">
      <alignment vertical="center"/>
    </xf>
    <xf numFmtId="173" fontId="6" fillId="0" borderId="46" xfId="9" applyNumberFormat="1" applyFont="1" applyFill="1" applyBorder="1" applyAlignment="1" applyProtection="1">
      <alignment vertical="center"/>
    </xf>
    <xf numFmtId="173" fontId="9" fillId="0" borderId="47" xfId="9" applyNumberFormat="1" applyFont="1" applyBorder="1" applyAlignment="1">
      <alignment horizontal="right" vertical="center"/>
    </xf>
    <xf numFmtId="173" fontId="9" fillId="0" borderId="48" xfId="9" applyNumberFormat="1" applyFont="1" applyFill="1" applyBorder="1" applyAlignment="1" applyProtection="1">
      <alignment vertical="center"/>
    </xf>
    <xf numFmtId="173" fontId="9" fillId="0" borderId="14" xfId="9" applyNumberFormat="1" applyFont="1" applyFill="1" applyBorder="1" applyAlignment="1" applyProtection="1">
      <alignment vertical="center"/>
    </xf>
    <xf numFmtId="173" fontId="9" fillId="0" borderId="10" xfId="9" applyNumberFormat="1" applyFont="1" applyFill="1" applyBorder="1" applyAlignment="1" applyProtection="1">
      <alignment vertical="center"/>
    </xf>
    <xf numFmtId="167" fontId="20" fillId="0" borderId="38" xfId="9" applyNumberFormat="1" applyFont="1" applyFill="1" applyBorder="1" applyAlignment="1" applyProtection="1">
      <alignment horizontal="left" vertical="center"/>
    </xf>
    <xf numFmtId="178" fontId="1" fillId="0" borderId="48" xfId="9" applyNumberFormat="1" applyFont="1" applyFill="1" applyBorder="1" applyAlignment="1">
      <alignment vertical="center"/>
    </xf>
    <xf numFmtId="178" fontId="9" fillId="0" borderId="52" xfId="9" applyNumberFormat="1" applyFont="1" applyFill="1" applyBorder="1" applyAlignment="1">
      <alignment vertical="center"/>
    </xf>
    <xf numFmtId="178" fontId="9" fillId="0" borderId="48" xfId="9" applyNumberFormat="1" applyFont="1" applyFill="1" applyBorder="1" applyAlignment="1">
      <alignment vertical="center"/>
    </xf>
    <xf numFmtId="173" fontId="9" fillId="0" borderId="3" xfId="9" applyNumberFormat="1" applyFont="1" applyFill="1" applyBorder="1" applyAlignment="1" applyProtection="1">
      <alignment vertical="center"/>
    </xf>
    <xf numFmtId="173" fontId="9" fillId="0" borderId="23" xfId="9" applyNumberFormat="1" applyFont="1" applyFill="1" applyBorder="1" applyAlignment="1" applyProtection="1">
      <alignment horizontal="center" vertical="center"/>
    </xf>
    <xf numFmtId="173" fontId="9" fillId="0" borderId="21" xfId="9" applyNumberFormat="1" applyFont="1" applyFill="1" applyBorder="1" applyAlignment="1" applyProtection="1">
      <alignment vertical="center"/>
    </xf>
    <xf numFmtId="175" fontId="9" fillId="0" borderId="35" xfId="9" applyNumberFormat="1" applyFont="1" applyFill="1" applyBorder="1" applyAlignment="1" applyProtection="1">
      <alignment horizontal="center" vertical="center"/>
    </xf>
    <xf numFmtId="173" fontId="9" fillId="0" borderId="47" xfId="9" applyNumberFormat="1" applyFont="1" applyFill="1" applyBorder="1" applyAlignment="1" applyProtection="1">
      <alignment vertical="center"/>
    </xf>
    <xf numFmtId="173" fontId="9" fillId="0" borderId="15" xfId="9" applyNumberFormat="1" applyFont="1" applyFill="1" applyBorder="1" applyAlignment="1" applyProtection="1">
      <alignment horizontal="center" vertical="center"/>
    </xf>
    <xf numFmtId="173" fontId="9" fillId="0" borderId="46" xfId="9" applyNumberFormat="1" applyFont="1" applyFill="1" applyBorder="1" applyAlignment="1" applyProtection="1">
      <alignment vertical="center"/>
      <protection locked="0"/>
    </xf>
    <xf numFmtId="173" fontId="9" fillId="0" borderId="52" xfId="9" applyNumberFormat="1" applyFont="1" applyFill="1" applyBorder="1" applyAlignment="1" applyProtection="1">
      <alignment vertical="center"/>
      <protection locked="0"/>
    </xf>
    <xf numFmtId="173" fontId="9" fillId="0" borderId="23" xfId="9" applyNumberFormat="1" applyFont="1" applyFill="1" applyBorder="1" applyAlignment="1" applyProtection="1">
      <alignment vertical="center"/>
      <protection locked="0"/>
    </xf>
    <xf numFmtId="175" fontId="9" fillId="0" borderId="55" xfId="9" applyNumberFormat="1" applyFont="1" applyFill="1" applyBorder="1" applyAlignment="1" applyProtection="1">
      <alignment horizontal="center" vertical="center"/>
    </xf>
    <xf numFmtId="173" fontId="9" fillId="0" borderId="23" xfId="9" applyNumberFormat="1" applyFont="1" applyBorder="1" applyAlignment="1">
      <alignment horizontal="right" vertical="center"/>
    </xf>
    <xf numFmtId="173" fontId="9" fillId="0" borderId="3" xfId="9" applyNumberFormat="1" applyFont="1" applyBorder="1" applyAlignment="1">
      <alignment horizontal="right" vertical="center"/>
    </xf>
    <xf numFmtId="173" fontId="1" fillId="0" borderId="52" xfId="9" applyNumberFormat="1" applyFont="1" applyBorder="1" applyAlignment="1">
      <alignment horizontal="right" vertical="center"/>
    </xf>
    <xf numFmtId="173" fontId="1" fillId="0" borderId="23" xfId="9" applyNumberFormat="1" applyFont="1" applyBorder="1" applyAlignment="1">
      <alignment horizontal="right" vertical="center"/>
    </xf>
    <xf numFmtId="175" fontId="1" fillId="0" borderId="55" xfId="9" applyNumberFormat="1" applyFont="1" applyFill="1" applyBorder="1" applyAlignment="1" applyProtection="1">
      <alignment horizontal="center" vertical="center"/>
    </xf>
    <xf numFmtId="178" fontId="1" fillId="0" borderId="52" xfId="9" applyNumberFormat="1" applyFont="1" applyFill="1" applyBorder="1" applyAlignment="1">
      <alignment vertical="center"/>
    </xf>
    <xf numFmtId="173" fontId="1" fillId="0" borderId="23" xfId="9" applyNumberFormat="1" applyFont="1" applyFill="1" applyBorder="1" applyAlignment="1" applyProtection="1">
      <alignment horizontal="center" vertical="center"/>
    </xf>
    <xf numFmtId="173" fontId="1" fillId="0" borderId="48" xfId="9" applyNumberFormat="1" applyFont="1" applyBorder="1" applyAlignment="1">
      <alignment horizontal="right" vertical="center"/>
    </xf>
    <xf numFmtId="173" fontId="1" fillId="0" borderId="3" xfId="9" applyNumberFormat="1" applyFont="1" applyBorder="1" applyAlignment="1">
      <alignment horizontal="right" vertical="center"/>
    </xf>
    <xf numFmtId="175" fontId="1" fillId="0" borderId="49" xfId="9" applyNumberFormat="1" applyFont="1" applyFill="1" applyBorder="1" applyAlignment="1" applyProtection="1">
      <alignment horizontal="center" vertical="center"/>
    </xf>
    <xf numFmtId="178" fontId="1" fillId="0" borderId="47" xfId="9" applyNumberFormat="1" applyFont="1" applyFill="1" applyBorder="1" applyAlignment="1">
      <alignment vertical="center"/>
    </xf>
    <xf numFmtId="173" fontId="1" fillId="0" borderId="47" xfId="9" applyNumberFormat="1" applyFont="1" applyBorder="1" applyAlignment="1">
      <alignment horizontal="right" vertical="center"/>
    </xf>
    <xf numFmtId="173" fontId="1" fillId="0" borderId="15" xfId="9" applyNumberFormat="1" applyFont="1" applyBorder="1" applyAlignment="1">
      <alignment horizontal="right" vertical="center"/>
    </xf>
    <xf numFmtId="175" fontId="1" fillId="0" borderId="45" xfId="9" applyNumberFormat="1" applyFont="1" applyFill="1" applyBorder="1" applyAlignment="1" applyProtection="1">
      <alignment horizontal="center" vertical="center"/>
    </xf>
    <xf numFmtId="173" fontId="1" fillId="0" borderId="46" xfId="9" applyNumberFormat="1" applyFont="1" applyFill="1" applyBorder="1" applyAlignment="1" applyProtection="1">
      <alignment vertical="center"/>
    </xf>
    <xf numFmtId="173" fontId="1" fillId="0" borderId="48" xfId="9" applyNumberFormat="1" applyFont="1" applyFill="1" applyBorder="1" applyAlignment="1" applyProtection="1">
      <alignment vertical="center"/>
    </xf>
    <xf numFmtId="173" fontId="1" fillId="0" borderId="15" xfId="9" applyNumberFormat="1" applyFont="1" applyFill="1" applyBorder="1" applyAlignment="1" applyProtection="1">
      <alignment horizontal="center" vertical="center"/>
    </xf>
    <xf numFmtId="173" fontId="1" fillId="0" borderId="11" xfId="9" applyNumberFormat="1" applyFont="1" applyBorder="1" applyAlignment="1">
      <alignment horizontal="right" vertical="center"/>
    </xf>
    <xf numFmtId="173" fontId="1" fillId="0" borderId="13" xfId="9" applyNumberFormat="1" applyFont="1" applyFill="1" applyBorder="1" applyAlignment="1" applyProtection="1">
      <alignment horizontal="center" vertical="center"/>
    </xf>
    <xf numFmtId="3" fontId="5" fillId="20" borderId="0" xfId="0" applyNumberFormat="1" applyFont="1" applyFill="1" applyBorder="1"/>
    <xf numFmtId="168" fontId="1" fillId="2" borderId="3" xfId="9" quotePrefix="1" applyNumberFormat="1" applyFont="1" applyFill="1" applyBorder="1" applyAlignment="1">
      <alignment horizontal="right"/>
    </xf>
    <xf numFmtId="168" fontId="1" fillId="0" borderId="9" xfId="9" applyNumberFormat="1" applyFont="1" applyFill="1" applyBorder="1"/>
    <xf numFmtId="0" fontId="1" fillId="9" borderId="16" xfId="0" applyFont="1" applyFill="1" applyBorder="1"/>
    <xf numFmtId="168" fontId="1" fillId="9" borderId="0" xfId="9" applyNumberFormat="1" applyFont="1" applyFill="1" applyBorder="1" applyAlignment="1">
      <alignment horizontal="right"/>
    </xf>
    <xf numFmtId="168" fontId="1" fillId="9" borderId="6" xfId="9" applyNumberFormat="1" applyFont="1" applyFill="1" applyBorder="1" applyAlignment="1">
      <alignment horizontal="center"/>
    </xf>
    <xf numFmtId="0" fontId="1" fillId="9" borderId="17" xfId="0" applyFont="1" applyFill="1" applyBorder="1"/>
    <xf numFmtId="168" fontId="1" fillId="9" borderId="9" xfId="9" applyNumberFormat="1" applyFont="1" applyFill="1" applyBorder="1" applyAlignment="1">
      <alignment horizontal="center"/>
    </xf>
    <xf numFmtId="168" fontId="1" fillId="9" borderId="9" xfId="9" applyNumberFormat="1" applyFont="1" applyFill="1" applyBorder="1" applyAlignment="1">
      <alignment horizontal="right"/>
    </xf>
    <xf numFmtId="168" fontId="1" fillId="9" borderId="0" xfId="9" applyNumberFormat="1" applyFont="1" applyFill="1"/>
    <xf numFmtId="168" fontId="1" fillId="9" borderId="12" xfId="9" applyNumberFormat="1" applyFont="1" applyFill="1" applyBorder="1" applyAlignment="1">
      <alignment horizontal="right"/>
    </xf>
    <xf numFmtId="168" fontId="1" fillId="9" borderId="11" xfId="9" applyNumberFormat="1" applyFont="1" applyFill="1" applyBorder="1" applyAlignment="1">
      <alignment horizontal="right"/>
    </xf>
    <xf numFmtId="0" fontId="1" fillId="9" borderId="3" xfId="0" applyFont="1" applyFill="1" applyBorder="1"/>
    <xf numFmtId="168" fontId="1" fillId="9" borderId="10" xfId="9" applyNumberFormat="1" applyFont="1" applyFill="1" applyBorder="1" applyAlignment="1">
      <alignment horizontal="center"/>
    </xf>
    <xf numFmtId="168" fontId="1" fillId="9" borderId="13" xfId="9" applyNumberFormat="1" applyFont="1" applyFill="1" applyBorder="1" applyAlignment="1">
      <alignment horizontal="center"/>
    </xf>
    <xf numFmtId="168" fontId="1" fillId="9" borderId="0" xfId="9" applyNumberFormat="1" applyFont="1" applyFill="1" applyAlignment="1">
      <alignment horizontal="right"/>
    </xf>
    <xf numFmtId="168" fontId="1" fillId="9" borderId="11" xfId="9" applyNumberFormat="1" applyFont="1" applyFill="1" applyBorder="1" applyAlignment="1">
      <alignment horizontal="center"/>
    </xf>
    <xf numFmtId="168" fontId="1" fillId="9" borderId="17" xfId="9" applyNumberFormat="1" applyFont="1" applyFill="1" applyBorder="1"/>
    <xf numFmtId="0" fontId="1" fillId="9" borderId="9" xfId="0" quotePrefix="1" applyFont="1" applyFill="1" applyBorder="1" applyAlignment="1">
      <alignment horizontal="center"/>
    </xf>
    <xf numFmtId="166" fontId="1" fillId="9" borderId="9" xfId="9" applyNumberFormat="1" applyFont="1" applyFill="1" applyBorder="1" applyAlignment="1">
      <alignment horizontal="center"/>
    </xf>
    <xf numFmtId="168" fontId="1" fillId="9" borderId="9" xfId="9" applyNumberFormat="1" applyFont="1" applyFill="1" applyBorder="1" applyAlignment="1">
      <alignment vertical="center"/>
    </xf>
    <xf numFmtId="0" fontId="1" fillId="9" borderId="29" xfId="0" quotePrefix="1" applyFont="1" applyFill="1" applyBorder="1" applyAlignment="1">
      <alignment horizontal="center"/>
    </xf>
    <xf numFmtId="168" fontId="1" fillId="9" borderId="29" xfId="9" applyNumberFormat="1" applyFont="1" applyFill="1" applyBorder="1"/>
    <xf numFmtId="166" fontId="1" fillId="9" borderId="17" xfId="9" applyNumberFormat="1" applyFont="1" applyFill="1" applyBorder="1" applyAlignment="1">
      <alignment horizontal="center"/>
    </xf>
    <xf numFmtId="168" fontId="1" fillId="9" borderId="17" xfId="9" applyNumberFormat="1" applyFont="1" applyFill="1" applyBorder="1" applyAlignment="1">
      <alignment vertical="center"/>
    </xf>
    <xf numFmtId="168" fontId="1" fillId="9" borderId="17" xfId="9" applyNumberFormat="1" applyFont="1" applyFill="1" applyBorder="1" applyAlignment="1">
      <alignment horizontal="right"/>
    </xf>
    <xf numFmtId="168" fontId="1" fillId="9" borderId="17" xfId="9" applyNumberFormat="1" applyFont="1" applyFill="1" applyBorder="1" applyAlignment="1">
      <alignment horizontal="center"/>
    </xf>
    <xf numFmtId="166" fontId="1" fillId="9" borderId="15" xfId="9" applyNumberFormat="1" applyFont="1" applyFill="1" applyBorder="1" applyAlignment="1">
      <alignment horizontal="center"/>
    </xf>
    <xf numFmtId="168" fontId="1" fillId="9" borderId="15" xfId="9" applyNumberFormat="1" applyFont="1" applyFill="1" applyBorder="1" applyAlignment="1">
      <alignment vertical="center"/>
    </xf>
    <xf numFmtId="168" fontId="1" fillId="9" borderId="3" xfId="9" applyNumberFormat="1" applyFont="1" applyFill="1" applyBorder="1" applyAlignment="1">
      <alignment horizontal="right"/>
    </xf>
    <xf numFmtId="168" fontId="1" fillId="0" borderId="27" xfId="9" applyNumberFormat="1" applyFont="1" applyBorder="1" applyAlignment="1">
      <alignment horizontal="left" vertical="center"/>
    </xf>
    <xf numFmtId="0" fontId="1" fillId="8" borderId="0" xfId="0" applyFont="1" applyFill="1" applyAlignment="1"/>
    <xf numFmtId="173" fontId="9" fillId="0" borderId="15" xfId="9" applyNumberFormat="1" applyFont="1" applyBorder="1" applyAlignment="1">
      <alignment horizontal="right" vertical="center"/>
    </xf>
    <xf numFmtId="176" fontId="9" fillId="0" borderId="19" xfId="0" applyNumberFormat="1" applyFont="1" applyBorder="1"/>
    <xf numFmtId="49" fontId="20" fillId="9" borderId="0" xfId="7" applyNumberFormat="1" applyFont="1" applyFill="1" applyBorder="1" applyAlignment="1">
      <alignment horizontal="center" vertical="center"/>
    </xf>
    <xf numFmtId="49" fontId="20" fillId="9" borderId="9" xfId="7" applyNumberFormat="1" applyFont="1" applyFill="1" applyBorder="1" applyAlignment="1">
      <alignment horizontal="center" vertical="center"/>
    </xf>
    <xf numFmtId="168" fontId="6" fillId="9" borderId="3" xfId="9" applyNumberFormat="1" applyFont="1" applyFill="1" applyBorder="1" applyAlignment="1">
      <alignment horizontal="right"/>
    </xf>
    <xf numFmtId="4" fontId="9" fillId="9" borderId="0" xfId="0" applyNumberFormat="1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165" fontId="5" fillId="12" borderId="9" xfId="0" applyNumberFormat="1" applyFont="1" applyFill="1" applyBorder="1" applyAlignment="1">
      <alignment horizontal="center"/>
    </xf>
    <xf numFmtId="0" fontId="5" fillId="12" borderId="9" xfId="0" applyFont="1" applyFill="1" applyBorder="1" applyAlignment="1">
      <alignment horizontal="center"/>
    </xf>
    <xf numFmtId="166" fontId="9" fillId="9" borderId="3" xfId="9" applyNumberFormat="1" applyFont="1" applyFill="1" applyBorder="1" applyAlignment="1">
      <alignment horizontal="center"/>
    </xf>
    <xf numFmtId="168" fontId="9" fillId="9" borderId="12" xfId="9" applyNumberFormat="1" applyFont="1" applyFill="1" applyBorder="1" applyAlignment="1">
      <alignment horizontal="right"/>
    </xf>
    <xf numFmtId="166" fontId="9" fillId="9" borderId="15" xfId="9" applyNumberFormat="1" applyFont="1" applyFill="1" applyBorder="1" applyAlignment="1">
      <alignment horizontal="center"/>
    </xf>
    <xf numFmtId="168" fontId="9" fillId="9" borderId="11" xfId="9" applyNumberFormat="1" applyFont="1" applyFill="1" applyBorder="1" applyAlignment="1">
      <alignment horizontal="right"/>
    </xf>
    <xf numFmtId="168" fontId="9" fillId="9" borderId="15" xfId="9" applyNumberFormat="1" applyFont="1" applyFill="1" applyBorder="1" applyAlignment="1">
      <alignment horizontal="center"/>
    </xf>
    <xf numFmtId="168" fontId="9" fillId="9" borderId="3" xfId="9" applyNumberFormat="1" applyFont="1" applyFill="1" applyBorder="1" applyAlignment="1">
      <alignment horizontal="right"/>
    </xf>
    <xf numFmtId="168" fontId="9" fillId="9" borderId="10" xfId="9" applyNumberFormat="1" applyFont="1" applyFill="1" applyBorder="1" applyAlignment="1">
      <alignment horizontal="right"/>
    </xf>
    <xf numFmtId="164" fontId="9" fillId="9" borderId="13" xfId="9" applyNumberFormat="1" applyFont="1" applyFill="1" applyBorder="1" applyAlignment="1">
      <alignment vertical="center"/>
    </xf>
    <xf numFmtId="165" fontId="5" fillId="13" borderId="9" xfId="0" applyNumberFormat="1" applyFont="1" applyFill="1" applyBorder="1" applyAlignment="1">
      <alignment horizontal="center"/>
    </xf>
    <xf numFmtId="2" fontId="5" fillId="13" borderId="9" xfId="0" applyNumberFormat="1" applyFont="1" applyFill="1" applyBorder="1" applyAlignment="1">
      <alignment horizontal="center"/>
    </xf>
    <xf numFmtId="3" fontId="5" fillId="13" borderId="9" xfId="0" applyNumberFormat="1" applyFont="1" applyFill="1" applyBorder="1" applyAlignment="1">
      <alignment horizontal="center"/>
    </xf>
    <xf numFmtId="3" fontId="5" fillId="12" borderId="9" xfId="0" applyNumberFormat="1" applyFont="1" applyFill="1" applyBorder="1" applyAlignment="1">
      <alignment horizontal="center"/>
    </xf>
    <xf numFmtId="0" fontId="5" fillId="13" borderId="9" xfId="0" applyFont="1" applyFill="1" applyBorder="1" applyAlignment="1">
      <alignment horizontal="center"/>
    </xf>
    <xf numFmtId="164" fontId="9" fillId="9" borderId="10" xfId="9" applyNumberFormat="1" applyFont="1" applyFill="1" applyBorder="1" applyAlignment="1">
      <alignment horizontal="center"/>
    </xf>
    <xf numFmtId="0" fontId="10" fillId="9" borderId="5" xfId="0" applyFont="1" applyFill="1" applyBorder="1"/>
    <xf numFmtId="0" fontId="10" fillId="9" borderId="7" xfId="0" applyFont="1" applyFill="1" applyBorder="1"/>
    <xf numFmtId="0" fontId="10" fillId="9" borderId="6" xfId="0" applyFont="1" applyFill="1" applyBorder="1"/>
    <xf numFmtId="0" fontId="1" fillId="9" borderId="17" xfId="0" applyFont="1" applyFill="1" applyBorder="1" applyAlignment="1">
      <alignment horizontal="center" vertical="center"/>
    </xf>
    <xf numFmtId="0" fontId="57" fillId="9" borderId="0" xfId="0" applyFont="1" applyFill="1" applyBorder="1" applyAlignment="1">
      <alignment horizontal="center"/>
    </xf>
    <xf numFmtId="166" fontId="5" fillId="7" borderId="31" xfId="9" applyNumberFormat="1" applyFont="1" applyFill="1" applyBorder="1"/>
    <xf numFmtId="166" fontId="9" fillId="21" borderId="19" xfId="9" applyNumberFormat="1" applyFont="1" applyFill="1" applyBorder="1"/>
    <xf numFmtId="16" fontId="16" fillId="9" borderId="17" xfId="0" applyNumberFormat="1" applyFont="1" applyFill="1" applyBorder="1" applyAlignment="1">
      <alignment horizontal="center"/>
    </xf>
    <xf numFmtId="0" fontId="8" fillId="9" borderId="0" xfId="0" applyFont="1" applyFill="1" applyBorder="1"/>
    <xf numFmtId="164" fontId="0" fillId="0" borderId="0" xfId="9" applyFont="1" applyBorder="1"/>
    <xf numFmtId="164" fontId="1" fillId="0" borderId="0" xfId="9" applyFont="1" applyBorder="1"/>
    <xf numFmtId="0" fontId="0" fillId="0" borderId="6" xfId="0" applyBorder="1"/>
    <xf numFmtId="2" fontId="13" fillId="9" borderId="0" xfId="0" applyNumberFormat="1" applyFont="1" applyFill="1" applyAlignment="1">
      <alignment horizontal="left"/>
    </xf>
    <xf numFmtId="0" fontId="14" fillId="9" borderId="11" xfId="0" applyFont="1" applyFill="1" applyBorder="1" applyAlignment="1">
      <alignment vertical="center"/>
    </xf>
    <xf numFmtId="2" fontId="0" fillId="0" borderId="6" xfId="0" applyNumberFormat="1" applyBorder="1"/>
    <xf numFmtId="0" fontId="1" fillId="9" borderId="0" xfId="0" applyFont="1" applyFill="1"/>
    <xf numFmtId="0" fontId="5" fillId="20" borderId="0" xfId="0" applyFont="1" applyFill="1" applyBorder="1"/>
    <xf numFmtId="168" fontId="0" fillId="0" borderId="15" xfId="9" applyNumberFormat="1" applyFont="1" applyBorder="1"/>
    <xf numFmtId="168" fontId="0" fillId="0" borderId="3" xfId="9" applyNumberFormat="1" applyFont="1" applyBorder="1"/>
    <xf numFmtId="168" fontId="0" fillId="0" borderId="26" xfId="9" applyNumberFormat="1" applyFont="1" applyBorder="1"/>
    <xf numFmtId="168" fontId="0" fillId="0" borderId="17" xfId="9" applyNumberFormat="1" applyFont="1" applyBorder="1"/>
    <xf numFmtId="171" fontId="26" fillId="17" borderId="10" xfId="8" applyNumberFormat="1" applyFont="1" applyFill="1" applyBorder="1" applyAlignment="1">
      <alignment horizontal="right" vertical="center"/>
    </xf>
    <xf numFmtId="171" fontId="26" fillId="17" borderId="3" xfId="8" applyNumberFormat="1" applyFont="1" applyFill="1" applyBorder="1" applyAlignment="1">
      <alignment horizontal="right" vertical="center"/>
    </xf>
    <xf numFmtId="165" fontId="9" fillId="17" borderId="14" xfId="0" applyNumberFormat="1" applyFont="1" applyFill="1" applyBorder="1"/>
    <xf numFmtId="165" fontId="5" fillId="13" borderId="9" xfId="0" applyNumberFormat="1" applyFont="1" applyFill="1" applyBorder="1" applyAlignment="1">
      <alignment horizontal="center" vertical="center" wrapText="1"/>
    </xf>
    <xf numFmtId="2" fontId="5" fillId="12" borderId="9" xfId="0" applyNumberFormat="1" applyFont="1" applyFill="1" applyBorder="1" applyAlignment="1">
      <alignment horizontal="center"/>
    </xf>
    <xf numFmtId="2" fontId="5" fillId="12" borderId="0" xfId="0" applyNumberFormat="1" applyFont="1" applyFill="1" applyBorder="1" applyAlignment="1">
      <alignment horizontal="center"/>
    </xf>
    <xf numFmtId="2" fontId="0" fillId="0" borderId="0" xfId="0" applyNumberFormat="1"/>
    <xf numFmtId="0" fontId="9" fillId="7" borderId="0" xfId="0" applyFont="1" applyFill="1" applyBorder="1" applyAlignment="1">
      <alignment horizontal="left"/>
    </xf>
    <xf numFmtId="2" fontId="0" fillId="0" borderId="0" xfId="0" applyNumberFormat="1" applyBorder="1"/>
    <xf numFmtId="0" fontId="5" fillId="9" borderId="20" xfId="0" applyFont="1" applyFill="1" applyBorder="1" applyAlignment="1">
      <alignment horizontal="center"/>
    </xf>
    <xf numFmtId="168" fontId="1" fillId="9" borderId="20" xfId="9" applyNumberFormat="1" applyFont="1" applyFill="1" applyBorder="1"/>
    <xf numFmtId="168" fontId="5" fillId="9" borderId="20" xfId="9" applyNumberFormat="1" applyFont="1" applyFill="1" applyBorder="1"/>
    <xf numFmtId="166" fontId="5" fillId="9" borderId="20" xfId="9" applyNumberFormat="1" applyFont="1" applyFill="1" applyBorder="1"/>
    <xf numFmtId="0" fontId="1" fillId="13" borderId="20" xfId="0" applyFont="1" applyFill="1" applyBorder="1" applyAlignment="1">
      <alignment horizontal="center"/>
    </xf>
    <xf numFmtId="2" fontId="0" fillId="0" borderId="1" xfId="0" applyNumberFormat="1" applyBorder="1"/>
    <xf numFmtId="0" fontId="9" fillId="2" borderId="1" xfId="0" applyFont="1" applyFill="1" applyBorder="1" applyAlignment="1"/>
    <xf numFmtId="0" fontId="9" fillId="13" borderId="1" xfId="0" applyFont="1" applyFill="1" applyBorder="1" applyAlignment="1">
      <alignment horizontal="left"/>
    </xf>
    <xf numFmtId="168" fontId="0" fillId="0" borderId="9" xfId="9" applyNumberFormat="1" applyFont="1" applyBorder="1"/>
    <xf numFmtId="168" fontId="0" fillId="2" borderId="24" xfId="9" applyNumberFormat="1" applyFont="1" applyFill="1" applyBorder="1"/>
    <xf numFmtId="0" fontId="0" fillId="13" borderId="18" xfId="0" applyFill="1" applyBorder="1" applyAlignment="1">
      <alignment horizontal="center"/>
    </xf>
    <xf numFmtId="168" fontId="0" fillId="0" borderId="17" xfId="9" applyNumberFormat="1" applyFont="1" applyBorder="1" applyAlignment="1"/>
    <xf numFmtId="168" fontId="0" fillId="0" borderId="17" xfId="9" applyNumberFormat="1" applyFont="1" applyBorder="1" applyAlignment="1">
      <alignment horizontal="center"/>
    </xf>
    <xf numFmtId="168" fontId="0" fillId="2" borderId="25" xfId="9" applyNumberFormat="1" applyFont="1" applyFill="1" applyBorder="1"/>
    <xf numFmtId="170" fontId="0" fillId="0" borderId="17" xfId="9" applyNumberFormat="1" applyFont="1" applyBorder="1"/>
    <xf numFmtId="168" fontId="9" fillId="13" borderId="24" xfId="9" applyNumberFormat="1" applyFont="1" applyFill="1" applyBorder="1"/>
    <xf numFmtId="170" fontId="9" fillId="13" borderId="25" xfId="0" applyNumberFormat="1" applyFont="1" applyFill="1" applyBorder="1"/>
    <xf numFmtId="2" fontId="9" fillId="13" borderId="1" xfId="0" applyNumberFormat="1" applyFont="1" applyFill="1" applyBorder="1"/>
    <xf numFmtId="0" fontId="1" fillId="13" borderId="18" xfId="0" applyFont="1" applyFill="1" applyBorder="1" applyAlignment="1">
      <alignment horizontal="center"/>
    </xf>
    <xf numFmtId="0" fontId="6" fillId="9" borderId="15" xfId="0" applyFont="1" applyFill="1" applyBorder="1"/>
    <xf numFmtId="168" fontId="42" fillId="9" borderId="14" xfId="9" applyNumberFormat="1" applyFont="1" applyFill="1" applyBorder="1"/>
    <xf numFmtId="0" fontId="6" fillId="9" borderId="9" xfId="0" applyFont="1" applyFill="1" applyBorder="1" applyAlignment="1">
      <alignment horizontal="right"/>
    </xf>
    <xf numFmtId="0" fontId="5" fillId="20" borderId="9" xfId="0" applyFont="1" applyFill="1" applyBorder="1"/>
    <xf numFmtId="3" fontId="9" fillId="7" borderId="0" xfId="0" applyNumberFormat="1" applyFont="1" applyFill="1" applyBorder="1" applyAlignment="1">
      <alignment horizontal="right" vertical="top" wrapText="1"/>
    </xf>
    <xf numFmtId="164" fontId="9" fillId="7" borderId="0" xfId="9" quotePrefix="1" applyNumberFormat="1" applyFont="1" applyFill="1" applyBorder="1" applyAlignment="1">
      <alignment horizontal="right"/>
    </xf>
    <xf numFmtId="4" fontId="9" fillId="7" borderId="0" xfId="0" applyNumberFormat="1" applyFont="1" applyFill="1" applyBorder="1"/>
    <xf numFmtId="4" fontId="51" fillId="7" borderId="0" xfId="0" applyNumberFormat="1" applyFont="1" applyFill="1" applyBorder="1"/>
    <xf numFmtId="164" fontId="9" fillId="9" borderId="15" xfId="9" applyNumberFormat="1" applyFont="1" applyFill="1" applyBorder="1" applyAlignment="1">
      <alignment horizontal="center"/>
    </xf>
    <xf numFmtId="4" fontId="1" fillId="0" borderId="0" xfId="0" applyNumberFormat="1" applyFont="1" applyFill="1" applyBorder="1"/>
    <xf numFmtId="0" fontId="1" fillId="0" borderId="30" xfId="0" applyFont="1" applyBorder="1"/>
    <xf numFmtId="168" fontId="5" fillId="0" borderId="0" xfId="9" applyNumberFormat="1" applyFont="1"/>
    <xf numFmtId="0" fontId="1" fillId="0" borderId="9" xfId="0" applyFont="1" applyBorder="1"/>
    <xf numFmtId="168" fontId="5" fillId="0" borderId="24" xfId="9" applyNumberFormat="1" applyFont="1" applyBorder="1"/>
    <xf numFmtId="166" fontId="9" fillId="21" borderId="25" xfId="9" applyNumberFormat="1" applyFont="1" applyFill="1" applyBorder="1"/>
    <xf numFmtId="167" fontId="6" fillId="0" borderId="3" xfId="0" applyNumberFormat="1" applyFont="1" applyBorder="1"/>
    <xf numFmtId="167" fontId="6" fillId="0" borderId="4" xfId="0" applyNumberFormat="1" applyFont="1" applyBorder="1"/>
    <xf numFmtId="167" fontId="1" fillId="0" borderId="3" xfId="0" applyNumberFormat="1" applyFont="1" applyBorder="1"/>
    <xf numFmtId="167" fontId="1" fillId="0" borderId="4" xfId="0" applyNumberFormat="1" applyFont="1" applyBorder="1"/>
    <xf numFmtId="167" fontId="9" fillId="4" borderId="3" xfId="0" applyNumberFormat="1" applyFont="1" applyFill="1" applyBorder="1"/>
    <xf numFmtId="167" fontId="1" fillId="17" borderId="3" xfId="0" applyNumberFormat="1" applyFont="1" applyFill="1" applyBorder="1"/>
    <xf numFmtId="167" fontId="9" fillId="17" borderId="4" xfId="0" applyNumberFormat="1" applyFont="1" applyFill="1" applyBorder="1"/>
    <xf numFmtId="167" fontId="9" fillId="0" borderId="3" xfId="0" applyNumberFormat="1" applyFont="1" applyBorder="1"/>
    <xf numFmtId="167" fontId="9" fillId="0" borderId="4" xfId="0" applyNumberFormat="1" applyFont="1" applyBorder="1"/>
    <xf numFmtId="167" fontId="9" fillId="4" borderId="4" xfId="0" applyNumberFormat="1" applyFont="1" applyFill="1" applyBorder="1"/>
    <xf numFmtId="167" fontId="6" fillId="2" borderId="3" xfId="9" quotePrefix="1" applyNumberFormat="1" applyFont="1" applyFill="1" applyBorder="1" applyAlignment="1">
      <alignment horizontal="right"/>
    </xf>
    <xf numFmtId="167" fontId="6" fillId="2" borderId="4" xfId="9" quotePrefix="1" applyNumberFormat="1" applyFont="1" applyFill="1" applyBorder="1" applyAlignment="1">
      <alignment horizontal="right"/>
    </xf>
    <xf numFmtId="168" fontId="9" fillId="17" borderId="3" xfId="9" quotePrefix="1" applyNumberFormat="1" applyFont="1" applyFill="1" applyBorder="1" applyAlignment="1">
      <alignment horizontal="right"/>
    </xf>
    <xf numFmtId="167" fontId="1" fillId="0" borderId="3" xfId="0" applyNumberFormat="1" applyFont="1" applyBorder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/>
    </xf>
    <xf numFmtId="167" fontId="9" fillId="4" borderId="18" xfId="0" applyNumberFormat="1" applyFont="1" applyFill="1" applyBorder="1" applyAlignment="1">
      <alignment horizontal="center" vertical="center"/>
    </xf>
    <xf numFmtId="167" fontId="9" fillId="4" borderId="19" xfId="9" quotePrefix="1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9" fillId="4" borderId="18" xfId="0" applyNumberFormat="1" applyFont="1" applyFill="1" applyBorder="1" applyAlignment="1">
      <alignment horizontal="center" vertical="center"/>
    </xf>
    <xf numFmtId="0" fontId="31" fillId="7" borderId="22" xfId="12" applyFont="1" applyFill="1" applyBorder="1" applyAlignment="1">
      <alignment horizontal="center" vertical="center"/>
    </xf>
    <xf numFmtId="167" fontId="9" fillId="7" borderId="13" xfId="9" applyNumberFormat="1" applyFont="1" applyFill="1" applyBorder="1" applyAlignment="1" applyProtection="1">
      <alignment horizontal="center" vertical="center"/>
    </xf>
    <xf numFmtId="167" fontId="9" fillId="7" borderId="10" xfId="9" applyNumberFormat="1" applyFont="1" applyFill="1" applyBorder="1" applyAlignment="1" applyProtection="1">
      <alignment horizontal="center" vertical="center"/>
    </xf>
    <xf numFmtId="0" fontId="31" fillId="7" borderId="10" xfId="12" applyFont="1" applyFill="1" applyBorder="1" applyAlignment="1">
      <alignment horizontal="center" vertical="center" wrapText="1"/>
    </xf>
    <xf numFmtId="0" fontId="31" fillId="0" borderId="13" xfId="12" applyFont="1" applyBorder="1" applyAlignment="1">
      <alignment horizontal="center" vertical="center" wrapText="1"/>
    </xf>
    <xf numFmtId="167" fontId="9" fillId="0" borderId="9" xfId="9" applyNumberFormat="1" applyFont="1" applyFill="1" applyBorder="1" applyAlignment="1" applyProtection="1">
      <alignment horizontal="center" vertical="center"/>
    </xf>
    <xf numFmtId="0" fontId="31" fillId="0" borderId="10" xfId="12" applyFont="1" applyBorder="1" applyAlignment="1">
      <alignment horizontal="center" vertical="center" wrapText="1"/>
    </xf>
    <xf numFmtId="0" fontId="9" fillId="23" borderId="42" xfId="0" applyFont="1" applyFill="1" applyBorder="1" applyAlignment="1">
      <alignment horizontal="center" vertical="center"/>
    </xf>
    <xf numFmtId="0" fontId="9" fillId="23" borderId="25" xfId="0" applyFont="1" applyFill="1" applyBorder="1" applyAlignment="1">
      <alignment horizontal="center" vertical="center"/>
    </xf>
    <xf numFmtId="0" fontId="9" fillId="23" borderId="43" xfId="0" applyFont="1" applyFill="1" applyBorder="1" applyAlignment="1">
      <alignment horizontal="center" vertical="center"/>
    </xf>
    <xf numFmtId="0" fontId="9" fillId="23" borderId="24" xfId="0" applyFont="1" applyFill="1" applyBorder="1" applyAlignment="1">
      <alignment horizontal="center" vertical="center"/>
    </xf>
    <xf numFmtId="0" fontId="9" fillId="23" borderId="31" xfId="0" applyFont="1" applyFill="1" applyBorder="1" applyAlignment="1">
      <alignment horizontal="center" vertical="center"/>
    </xf>
    <xf numFmtId="0" fontId="9" fillId="23" borderId="36" xfId="0" applyFont="1" applyFill="1" applyBorder="1" applyAlignment="1">
      <alignment horizontal="left" vertical="center"/>
    </xf>
    <xf numFmtId="173" fontId="9" fillId="23" borderId="42" xfId="9" applyNumberFormat="1" applyFont="1" applyFill="1" applyBorder="1" applyAlignment="1" applyProtection="1">
      <alignment horizontal="center" vertical="center"/>
    </xf>
    <xf numFmtId="173" fontId="9" fillId="23" borderId="1" xfId="9" applyNumberFormat="1" applyFont="1" applyFill="1" applyBorder="1" applyAlignment="1" applyProtection="1">
      <alignment horizontal="center" vertical="center"/>
    </xf>
    <xf numFmtId="173" fontId="9" fillId="23" borderId="24" xfId="9" applyNumberFormat="1" applyFont="1" applyFill="1" applyBorder="1" applyAlignment="1" applyProtection="1">
      <alignment horizontal="center" vertical="center"/>
    </xf>
    <xf numFmtId="175" fontId="9" fillId="23" borderId="31" xfId="9" applyNumberFormat="1" applyFont="1" applyFill="1" applyBorder="1" applyAlignment="1" applyProtection="1">
      <alignment horizontal="center" vertical="center"/>
    </xf>
    <xf numFmtId="173" fontId="9" fillId="7" borderId="22" xfId="9" applyNumberFormat="1" applyFont="1" applyFill="1" applyBorder="1" applyAlignment="1" applyProtection="1">
      <alignment vertical="center"/>
      <protection locked="0"/>
    </xf>
    <xf numFmtId="173" fontId="9" fillId="7" borderId="23" xfId="9" applyNumberFormat="1" applyFont="1" applyFill="1" applyBorder="1" applyAlignment="1">
      <alignment horizontal="right" vertical="center"/>
    </xf>
    <xf numFmtId="175" fontId="9" fillId="7" borderId="55" xfId="9" applyNumberFormat="1" applyFont="1" applyFill="1" applyBorder="1" applyAlignment="1" applyProtection="1">
      <alignment horizontal="center" vertical="center"/>
    </xf>
    <xf numFmtId="178" fontId="9" fillId="7" borderId="52" xfId="9" applyNumberFormat="1" applyFont="1" applyFill="1" applyBorder="1" applyAlignment="1">
      <alignment vertical="center"/>
    </xf>
    <xf numFmtId="173" fontId="9" fillId="7" borderId="23" xfId="9" applyNumberFormat="1" applyFont="1" applyFill="1" applyBorder="1" applyAlignment="1" applyProtection="1">
      <alignment horizontal="center" vertical="center"/>
    </xf>
    <xf numFmtId="173" fontId="9" fillId="7" borderId="21" xfId="9" applyNumberFormat="1" applyFont="1" applyFill="1" applyBorder="1" applyAlignment="1" applyProtection="1">
      <alignment vertical="center"/>
    </xf>
    <xf numFmtId="175" fontId="9" fillId="7" borderId="35" xfId="9" applyNumberFormat="1" applyFont="1" applyFill="1" applyBorder="1" applyAlignment="1" applyProtection="1">
      <alignment horizontal="center" vertical="center"/>
    </xf>
    <xf numFmtId="173" fontId="9" fillId="7" borderId="3" xfId="9" applyNumberFormat="1" applyFont="1" applyFill="1" applyBorder="1" applyAlignment="1" applyProtection="1">
      <alignment vertical="center"/>
      <protection locked="0"/>
    </xf>
    <xf numFmtId="173" fontId="9" fillId="7" borderId="10" xfId="9" applyNumberFormat="1" applyFont="1" applyFill="1" applyBorder="1" applyAlignment="1" applyProtection="1">
      <alignment vertical="center"/>
      <protection locked="0"/>
    </xf>
    <xf numFmtId="173" fontId="9" fillId="7" borderId="3" xfId="9" applyNumberFormat="1" applyFont="1" applyFill="1" applyBorder="1" applyAlignment="1">
      <alignment horizontal="right" vertical="center"/>
    </xf>
    <xf numFmtId="175" fontId="9" fillId="7" borderId="49" xfId="9" applyNumberFormat="1" applyFont="1" applyFill="1" applyBorder="1" applyAlignment="1" applyProtection="1">
      <alignment horizontal="center" vertical="center"/>
    </xf>
    <xf numFmtId="178" fontId="9" fillId="7" borderId="48" xfId="9" applyNumberFormat="1" applyFont="1" applyFill="1" applyBorder="1" applyAlignment="1">
      <alignment vertical="center"/>
    </xf>
    <xf numFmtId="173" fontId="9" fillId="7" borderId="15" xfId="9" applyNumberFormat="1" applyFont="1" applyFill="1" applyBorder="1" applyAlignment="1" applyProtection="1">
      <alignment horizontal="center" vertical="center"/>
    </xf>
    <xf numFmtId="173" fontId="9" fillId="7" borderId="47" xfId="9" applyNumberFormat="1" applyFont="1" applyFill="1" applyBorder="1" applyAlignment="1" applyProtection="1">
      <alignment vertical="center"/>
    </xf>
    <xf numFmtId="175" fontId="9" fillId="7" borderId="12" xfId="9" applyNumberFormat="1" applyFont="1" applyFill="1" applyBorder="1" applyAlignment="1" applyProtection="1">
      <alignment horizontal="center" vertical="center"/>
    </xf>
    <xf numFmtId="173" fontId="1" fillId="7" borderId="47" xfId="9" applyNumberFormat="1" applyFont="1" applyFill="1" applyBorder="1" applyAlignment="1">
      <alignment horizontal="right" vertical="center"/>
    </xf>
    <xf numFmtId="173" fontId="1" fillId="7" borderId="15" xfId="9" applyNumberFormat="1" applyFont="1" applyFill="1" applyBorder="1" applyAlignment="1">
      <alignment horizontal="right" vertical="center"/>
    </xf>
    <xf numFmtId="175" fontId="1" fillId="7" borderId="45" xfId="9" applyNumberFormat="1" applyFont="1" applyFill="1" applyBorder="1" applyAlignment="1" applyProtection="1">
      <alignment horizontal="center" vertical="center"/>
    </xf>
    <xf numFmtId="178" fontId="1" fillId="7" borderId="47" xfId="9" applyNumberFormat="1" applyFont="1" applyFill="1" applyBorder="1" applyAlignment="1">
      <alignment vertical="center"/>
    </xf>
    <xf numFmtId="173" fontId="1" fillId="7" borderId="13" xfId="9" applyNumberFormat="1" applyFont="1" applyFill="1" applyBorder="1" applyAlignment="1" applyProtection="1">
      <alignment horizontal="center" vertical="center"/>
    </xf>
    <xf numFmtId="173" fontId="6" fillId="7" borderId="46" xfId="9" applyNumberFormat="1" applyFont="1" applyFill="1" applyBorder="1" applyAlignment="1" applyProtection="1">
      <alignment vertical="center"/>
    </xf>
    <xf numFmtId="175" fontId="6" fillId="7" borderId="12" xfId="9" applyNumberFormat="1" applyFont="1" applyFill="1" applyBorder="1" applyAlignment="1" applyProtection="1">
      <alignment horizontal="center" vertical="center"/>
    </xf>
    <xf numFmtId="173" fontId="9" fillId="7" borderId="48" xfId="9" applyNumberFormat="1" applyFont="1" applyFill="1" applyBorder="1" applyAlignment="1" applyProtection="1">
      <alignment vertical="center"/>
    </xf>
    <xf numFmtId="173" fontId="9" fillId="7" borderId="14" xfId="9" applyNumberFormat="1" applyFont="1" applyFill="1" applyBorder="1" applyAlignment="1" applyProtection="1">
      <alignment vertical="center"/>
    </xf>
    <xf numFmtId="178" fontId="9" fillId="7" borderId="10" xfId="9" applyNumberFormat="1" applyFont="1" applyFill="1" applyBorder="1" applyAlignment="1">
      <alignment vertical="center"/>
    </xf>
    <xf numFmtId="175" fontId="9" fillId="7" borderId="4" xfId="9" applyNumberFormat="1" applyFont="1" applyFill="1" applyBorder="1" applyAlignment="1" applyProtection="1">
      <alignment horizontal="center" vertical="center"/>
    </xf>
    <xf numFmtId="173" fontId="9" fillId="7" borderId="3" xfId="9" applyNumberFormat="1" applyFont="1" applyFill="1" applyBorder="1" applyAlignment="1" applyProtection="1">
      <alignment horizontal="center" vertical="center"/>
    </xf>
    <xf numFmtId="173" fontId="1" fillId="7" borderId="11" xfId="9" applyNumberFormat="1" applyFont="1" applyFill="1" applyBorder="1" applyAlignment="1">
      <alignment horizontal="right" vertical="center"/>
    </xf>
    <xf numFmtId="173" fontId="9" fillId="7" borderId="3" xfId="9" applyNumberFormat="1" applyFont="1" applyFill="1" applyBorder="1" applyAlignment="1" applyProtection="1">
      <alignment vertical="center"/>
    </xf>
    <xf numFmtId="173" fontId="1" fillId="7" borderId="12" xfId="9" applyNumberFormat="1" applyFont="1" applyFill="1" applyBorder="1" applyAlignment="1">
      <alignment horizontal="right" vertical="center"/>
    </xf>
    <xf numFmtId="173" fontId="9" fillId="7" borderId="13" xfId="9" applyNumberFormat="1" applyFont="1" applyFill="1" applyBorder="1" applyAlignment="1" applyProtection="1">
      <alignment vertical="center"/>
      <protection locked="0"/>
    </xf>
    <xf numFmtId="175" fontId="9" fillId="7" borderId="45" xfId="9" applyNumberFormat="1" applyFont="1" applyFill="1" applyBorder="1" applyAlignment="1" applyProtection="1">
      <alignment horizontal="center" vertical="center"/>
    </xf>
    <xf numFmtId="173" fontId="9" fillId="7" borderId="11" xfId="9" applyNumberFormat="1" applyFont="1" applyFill="1" applyBorder="1" applyAlignment="1">
      <alignment horizontal="right" vertical="center"/>
    </xf>
    <xf numFmtId="173" fontId="1" fillId="7" borderId="15" xfId="9" applyNumberFormat="1" applyFont="1" applyFill="1" applyBorder="1" applyAlignment="1" applyProtection="1">
      <alignment horizontal="center" vertical="center"/>
    </xf>
    <xf numFmtId="0" fontId="32" fillId="0" borderId="11" xfId="12" applyFont="1" applyBorder="1" applyAlignment="1">
      <alignment horizontal="left" vertical="center" wrapText="1"/>
    </xf>
    <xf numFmtId="173" fontId="6" fillId="0" borderId="17" xfId="9" applyNumberFormat="1" applyFont="1" applyFill="1" applyBorder="1" applyAlignment="1" applyProtection="1">
      <alignment vertical="center"/>
      <protection locked="0"/>
    </xf>
    <xf numFmtId="0" fontId="31" fillId="0" borderId="22" xfId="12" applyFont="1" applyBorder="1" applyAlignment="1">
      <alignment horizontal="center" vertical="center"/>
    </xf>
    <xf numFmtId="178" fontId="1" fillId="0" borderId="46" xfId="9" applyNumberFormat="1" applyFont="1" applyFill="1" applyBorder="1" applyAlignment="1">
      <alignment vertical="center"/>
    </xf>
    <xf numFmtId="173" fontId="6" fillId="0" borderId="15" xfId="9" applyNumberFormat="1" applyFont="1" applyFill="1" applyBorder="1" applyAlignment="1" applyProtection="1">
      <alignment vertical="center"/>
      <protection locked="0"/>
    </xf>
    <xf numFmtId="0" fontId="31" fillId="0" borderId="11" xfId="12" applyFont="1" applyBorder="1" applyAlignment="1">
      <alignment horizontal="left" vertical="center" wrapText="1"/>
    </xf>
    <xf numFmtId="167" fontId="14" fillId="0" borderId="11" xfId="9" applyNumberFormat="1" applyFont="1" applyFill="1" applyBorder="1" applyAlignment="1" applyProtection="1">
      <alignment horizontal="left" vertical="center"/>
    </xf>
    <xf numFmtId="173" fontId="6" fillId="0" borderId="47" xfId="9" applyNumberFormat="1" applyFont="1" applyFill="1" applyBorder="1" applyAlignment="1" applyProtection="1">
      <alignment vertical="center"/>
      <protection locked="0"/>
    </xf>
    <xf numFmtId="178" fontId="1" fillId="7" borderId="46" xfId="9" applyNumberFormat="1" applyFont="1" applyFill="1" applyBorder="1" applyAlignment="1">
      <alignment vertical="center"/>
    </xf>
    <xf numFmtId="178" fontId="9" fillId="7" borderId="47" xfId="9" applyNumberFormat="1" applyFont="1" applyFill="1" applyBorder="1" applyAlignment="1">
      <alignment vertical="center"/>
    </xf>
    <xf numFmtId="173" fontId="9" fillId="7" borderId="47" xfId="9" applyNumberFormat="1" applyFont="1" applyFill="1" applyBorder="1" applyAlignment="1" applyProtection="1">
      <alignment horizontal="center" vertical="center"/>
    </xf>
    <xf numFmtId="173" fontId="9" fillId="7" borderId="11" xfId="9" applyNumberFormat="1" applyFont="1" applyFill="1" applyBorder="1" applyAlignment="1" applyProtection="1">
      <alignment horizontal="center" vertical="center"/>
    </xf>
    <xf numFmtId="175" fontId="1" fillId="7" borderId="0" xfId="9" applyNumberFormat="1" applyFont="1" applyFill="1" applyBorder="1" applyAlignment="1" applyProtection="1">
      <alignment horizontal="center" vertical="center"/>
    </xf>
    <xf numFmtId="0" fontId="31" fillId="7" borderId="11" xfId="12" applyFont="1" applyFill="1" applyBorder="1" applyAlignment="1">
      <alignment horizontal="left" vertical="center" wrapText="1"/>
    </xf>
    <xf numFmtId="173" fontId="9" fillId="7" borderId="22" xfId="9" applyNumberFormat="1" applyFont="1" applyFill="1" applyBorder="1" applyAlignment="1">
      <alignment horizontal="right" vertical="center"/>
    </xf>
    <xf numFmtId="173" fontId="9" fillId="7" borderId="10" xfId="9" applyNumberFormat="1" applyFont="1" applyFill="1" applyBorder="1" applyAlignment="1">
      <alignment horizontal="right" vertical="center"/>
    </xf>
    <xf numFmtId="173" fontId="1" fillId="7" borderId="13" xfId="9" applyNumberFormat="1" applyFont="1" applyFill="1" applyBorder="1" applyAlignment="1">
      <alignment horizontal="right" vertical="center"/>
    </xf>
    <xf numFmtId="173" fontId="9" fillId="7" borderId="52" xfId="9" applyNumberFormat="1" applyFont="1" applyFill="1" applyBorder="1" applyAlignment="1" applyProtection="1">
      <alignment vertical="center"/>
      <protection locked="0"/>
    </xf>
    <xf numFmtId="173" fontId="9" fillId="7" borderId="48" xfId="9" applyNumberFormat="1" applyFont="1" applyFill="1" applyBorder="1" applyAlignment="1" applyProtection="1">
      <alignment vertical="center"/>
      <protection locked="0"/>
    </xf>
    <xf numFmtId="173" fontId="9" fillId="7" borderId="47" xfId="9" applyNumberFormat="1" applyFont="1" applyFill="1" applyBorder="1" applyAlignment="1" applyProtection="1">
      <alignment vertical="center"/>
      <protection locked="0"/>
    </xf>
    <xf numFmtId="173" fontId="9" fillId="7" borderId="42" xfId="9" applyNumberFormat="1" applyFont="1" applyFill="1" applyBorder="1" applyAlignment="1" applyProtection="1">
      <alignment vertical="center"/>
      <protection locked="0"/>
    </xf>
    <xf numFmtId="173" fontId="9" fillId="7" borderId="10" xfId="9" applyNumberFormat="1" applyFont="1" applyFill="1" applyBorder="1" applyAlignment="1" applyProtection="1">
      <alignment vertical="center"/>
    </xf>
    <xf numFmtId="175" fontId="1" fillId="7" borderId="59" xfId="9" applyNumberFormat="1" applyFont="1" applyFill="1" applyBorder="1" applyAlignment="1" applyProtection="1">
      <alignment horizontal="center" vertical="center"/>
    </xf>
    <xf numFmtId="173" fontId="9" fillId="7" borderId="22" xfId="9" applyNumberFormat="1" applyFont="1" applyFill="1" applyBorder="1" applyAlignment="1" applyProtection="1">
      <alignment vertical="center"/>
    </xf>
    <xf numFmtId="173" fontId="6" fillId="7" borderId="9" xfId="9" applyNumberFormat="1" applyFont="1" applyFill="1" applyBorder="1" applyAlignment="1" applyProtection="1">
      <alignment vertical="center"/>
    </xf>
    <xf numFmtId="173" fontId="9" fillId="7" borderId="13" xfId="9" applyNumberFormat="1" applyFont="1" applyFill="1" applyBorder="1" applyAlignment="1">
      <alignment horizontal="right" vertical="center"/>
    </xf>
    <xf numFmtId="173" fontId="9" fillId="7" borderId="13" xfId="9" applyNumberFormat="1" applyFont="1" applyFill="1" applyBorder="1" applyAlignment="1" applyProtection="1">
      <alignment horizontal="center" vertical="center"/>
    </xf>
    <xf numFmtId="173" fontId="1" fillId="7" borderId="57" xfId="9" applyNumberFormat="1" applyFont="1" applyFill="1" applyBorder="1" applyAlignment="1" applyProtection="1">
      <alignment vertical="center"/>
      <protection locked="0"/>
    </xf>
    <xf numFmtId="173" fontId="1" fillId="7" borderId="16" xfId="9" applyNumberFormat="1" applyFont="1" applyFill="1" applyBorder="1" applyAlignment="1" applyProtection="1">
      <alignment vertical="center"/>
      <protection locked="0"/>
    </xf>
    <xf numFmtId="173" fontId="1" fillId="7" borderId="17" xfId="9" applyNumberFormat="1" applyFont="1" applyFill="1" applyBorder="1" applyAlignment="1" applyProtection="1">
      <alignment vertical="center"/>
      <protection locked="0"/>
    </xf>
    <xf numFmtId="173" fontId="9" fillId="7" borderId="25" xfId="9" applyNumberFormat="1" applyFont="1" applyFill="1" applyBorder="1" applyAlignment="1" applyProtection="1">
      <alignment vertical="center"/>
      <protection locked="0"/>
    </xf>
    <xf numFmtId="178" fontId="1" fillId="7" borderId="57" xfId="9" applyNumberFormat="1" applyFont="1" applyFill="1" applyBorder="1" applyAlignment="1">
      <alignment vertical="center"/>
    </xf>
    <xf numFmtId="173" fontId="1" fillId="7" borderId="46" xfId="9" applyNumberFormat="1" applyFont="1" applyFill="1" applyBorder="1" applyAlignment="1">
      <alignment horizontal="right" vertical="center"/>
    </xf>
    <xf numFmtId="173" fontId="1" fillId="7" borderId="16" xfId="9" applyNumberFormat="1" applyFont="1" applyFill="1" applyBorder="1" applyAlignment="1" applyProtection="1">
      <alignment vertical="center"/>
    </xf>
    <xf numFmtId="173" fontId="1" fillId="7" borderId="17" xfId="9" applyNumberFormat="1" applyFont="1" applyFill="1" applyBorder="1" applyAlignment="1">
      <alignment horizontal="right" vertical="center"/>
    </xf>
    <xf numFmtId="173" fontId="1" fillId="7" borderId="57" xfId="9" applyNumberFormat="1" applyFont="1" applyFill="1" applyBorder="1" applyAlignment="1" applyProtection="1">
      <alignment horizontal="center" vertical="center"/>
    </xf>
    <xf numFmtId="173" fontId="1" fillId="7" borderId="17" xfId="9" applyNumberFormat="1" applyFont="1" applyFill="1" applyBorder="1" applyAlignment="1" applyProtection="1">
      <alignment horizontal="center" vertical="center"/>
    </xf>
    <xf numFmtId="173" fontId="1" fillId="7" borderId="16" xfId="9" applyNumberFormat="1" applyFont="1" applyFill="1" applyBorder="1" applyAlignment="1">
      <alignment horizontal="right" vertical="center"/>
    </xf>
    <xf numFmtId="173" fontId="1" fillId="7" borderId="47" xfId="9" applyNumberFormat="1" applyFont="1" applyFill="1" applyBorder="1" applyAlignment="1" applyProtection="1">
      <alignment vertical="center"/>
      <protection locked="0"/>
    </xf>
    <xf numFmtId="173" fontId="1" fillId="7" borderId="15" xfId="9" applyNumberFormat="1" applyFont="1" applyFill="1" applyBorder="1" applyAlignment="1" applyProtection="1">
      <alignment vertical="center"/>
      <protection locked="0"/>
    </xf>
    <xf numFmtId="175" fontId="1" fillId="7" borderId="38" xfId="9" applyNumberFormat="1" applyFont="1" applyFill="1" applyBorder="1" applyAlignment="1" applyProtection="1">
      <alignment horizontal="center" vertical="center"/>
    </xf>
    <xf numFmtId="175" fontId="1" fillId="7" borderId="11" xfId="9" applyNumberFormat="1" applyFont="1" applyFill="1" applyBorder="1" applyAlignment="1" applyProtection="1">
      <alignment horizontal="center" vertical="center"/>
    </xf>
    <xf numFmtId="173" fontId="6" fillId="7" borderId="47" xfId="9" applyNumberFormat="1" applyFont="1" applyFill="1" applyBorder="1" applyAlignment="1" applyProtection="1">
      <alignment vertical="center"/>
      <protection locked="0"/>
    </xf>
    <xf numFmtId="173" fontId="6" fillId="7" borderId="13" xfId="9" applyNumberFormat="1" applyFont="1" applyFill="1" applyBorder="1" applyAlignment="1" applyProtection="1">
      <alignment vertical="center"/>
      <protection locked="0"/>
    </xf>
    <xf numFmtId="173" fontId="6" fillId="7" borderId="13" xfId="9" applyNumberFormat="1" applyFont="1" applyFill="1" applyBorder="1" applyAlignment="1" applyProtection="1">
      <alignment vertical="center"/>
    </xf>
    <xf numFmtId="173" fontId="6" fillId="7" borderId="11" xfId="9" applyNumberFormat="1" applyFont="1" applyFill="1" applyBorder="1" applyAlignment="1" applyProtection="1">
      <alignment vertical="center"/>
    </xf>
    <xf numFmtId="175" fontId="6" fillId="7" borderId="0" xfId="9" applyNumberFormat="1" applyFont="1" applyFill="1" applyBorder="1" applyAlignment="1" applyProtection="1">
      <alignment horizontal="center" vertical="center"/>
    </xf>
    <xf numFmtId="173" fontId="6" fillId="7" borderId="9" xfId="9" applyNumberFormat="1" applyFont="1" applyFill="1" applyBorder="1" applyAlignment="1" applyProtection="1">
      <alignment vertical="center"/>
      <protection locked="0"/>
    </xf>
    <xf numFmtId="173" fontId="6" fillId="7" borderId="17" xfId="9" applyNumberFormat="1" applyFont="1" applyFill="1" applyBorder="1" applyAlignment="1" applyProtection="1">
      <alignment vertical="center"/>
      <protection locked="0"/>
    </xf>
    <xf numFmtId="178" fontId="1" fillId="7" borderId="9" xfId="9" applyNumberFormat="1" applyFont="1" applyFill="1" applyBorder="1" applyAlignment="1">
      <alignment vertical="center"/>
    </xf>
    <xf numFmtId="173" fontId="1" fillId="7" borderId="17" xfId="9" applyNumberFormat="1" applyFont="1" applyFill="1" applyBorder="1" applyAlignment="1" applyProtection="1">
      <alignment vertical="center"/>
    </xf>
    <xf numFmtId="173" fontId="6" fillId="7" borderId="17" xfId="9" applyNumberFormat="1" applyFont="1" applyFill="1" applyBorder="1" applyAlignment="1" applyProtection="1">
      <alignment vertical="center"/>
    </xf>
    <xf numFmtId="167" fontId="14" fillId="7" borderId="0" xfId="9" applyNumberFormat="1" applyFont="1" applyFill="1" applyBorder="1" applyAlignment="1" applyProtection="1">
      <alignment horizontal="left" vertical="center"/>
    </xf>
    <xf numFmtId="167" fontId="14" fillId="7" borderId="0" xfId="9" applyNumberFormat="1" applyFont="1" applyFill="1" applyBorder="1" applyAlignment="1" applyProtection="1">
      <alignment horizontal="left" vertical="center" wrapText="1"/>
    </xf>
    <xf numFmtId="0" fontId="32" fillId="7" borderId="0" xfId="12" applyFont="1" applyFill="1" applyBorder="1" applyAlignment="1">
      <alignment horizontal="left" vertical="center" wrapText="1"/>
    </xf>
    <xf numFmtId="167" fontId="14" fillId="7" borderId="11" xfId="9" applyNumberFormat="1" applyFont="1" applyFill="1" applyBorder="1" applyAlignment="1" applyProtection="1">
      <alignment horizontal="left" vertical="center"/>
    </xf>
    <xf numFmtId="175" fontId="6" fillId="7" borderId="11" xfId="9" applyNumberFormat="1" applyFont="1" applyFill="1" applyBorder="1" applyAlignment="1" applyProtection="1">
      <alignment horizontal="center" vertical="center"/>
    </xf>
    <xf numFmtId="178" fontId="1" fillId="7" borderId="6" xfId="9" applyNumberFormat="1" applyFont="1" applyFill="1" applyBorder="1" applyAlignment="1">
      <alignment vertical="center"/>
    </xf>
    <xf numFmtId="173" fontId="6" fillId="7" borderId="46" xfId="9" applyNumberFormat="1" applyFont="1" applyFill="1" applyBorder="1" applyAlignment="1" applyProtection="1">
      <alignment vertical="center"/>
      <protection locked="0"/>
    </xf>
    <xf numFmtId="175" fontId="1" fillId="7" borderId="12" xfId="9" applyNumberFormat="1" applyFont="1" applyFill="1" applyBorder="1" applyAlignment="1" applyProtection="1">
      <alignment horizontal="center" vertical="center"/>
    </xf>
    <xf numFmtId="173" fontId="1" fillId="7" borderId="6" xfId="9" applyNumberFormat="1" applyFont="1" applyFill="1" applyBorder="1" applyAlignment="1">
      <alignment horizontal="right" vertical="center"/>
    </xf>
    <xf numFmtId="173" fontId="1" fillId="7" borderId="46" xfId="9" applyNumberFormat="1" applyFont="1" applyFill="1" applyBorder="1" applyAlignment="1" applyProtection="1">
      <alignment vertical="center"/>
    </xf>
    <xf numFmtId="0" fontId="31" fillId="7" borderId="14" xfId="12" applyFont="1" applyFill="1" applyBorder="1" applyAlignment="1">
      <alignment horizontal="left" vertical="center" wrapText="1"/>
    </xf>
    <xf numFmtId="173" fontId="6" fillId="7" borderId="57" xfId="9" applyNumberFormat="1" applyFont="1" applyFill="1" applyBorder="1" applyAlignment="1" applyProtection="1">
      <alignment vertical="center"/>
      <protection locked="0"/>
    </xf>
    <xf numFmtId="173" fontId="6" fillId="7" borderId="16" xfId="9" applyNumberFormat="1" applyFont="1" applyFill="1" applyBorder="1" applyAlignment="1" applyProtection="1">
      <alignment vertical="center"/>
      <protection locked="0"/>
    </xf>
    <xf numFmtId="173" fontId="9" fillId="7" borderId="15" xfId="9" applyNumberFormat="1" applyFont="1" applyFill="1" applyBorder="1" applyAlignment="1" applyProtection="1">
      <alignment vertical="center"/>
    </xf>
    <xf numFmtId="173" fontId="6" fillId="7" borderId="15" xfId="9" applyNumberFormat="1" applyFont="1" applyFill="1" applyBorder="1" applyAlignment="1" applyProtection="1">
      <alignment vertical="center"/>
      <protection locked="0"/>
    </xf>
    <xf numFmtId="175" fontId="9" fillId="7" borderId="11" xfId="9" applyNumberFormat="1" applyFont="1" applyFill="1" applyBorder="1" applyAlignment="1" applyProtection="1">
      <alignment horizontal="center" vertical="center"/>
    </xf>
    <xf numFmtId="175" fontId="9" fillId="7" borderId="14" xfId="9" applyNumberFormat="1" applyFont="1" applyFill="1" applyBorder="1" applyAlignment="1" applyProtection="1">
      <alignment horizontal="center" vertical="center"/>
    </xf>
    <xf numFmtId="178" fontId="9" fillId="7" borderId="15" xfId="9" applyNumberFormat="1" applyFont="1" applyFill="1" applyBorder="1" applyAlignment="1">
      <alignment vertical="center"/>
    </xf>
    <xf numFmtId="173" fontId="1" fillId="7" borderId="57" xfId="9" applyNumberFormat="1" applyFont="1" applyFill="1" applyBorder="1" applyAlignment="1" applyProtection="1">
      <alignment vertical="center"/>
    </xf>
    <xf numFmtId="175" fontId="9" fillId="7" borderId="38" xfId="9" applyNumberFormat="1" applyFont="1" applyFill="1" applyBorder="1" applyAlignment="1" applyProtection="1">
      <alignment horizontal="center" vertical="center"/>
    </xf>
    <xf numFmtId="175" fontId="9" fillId="7" borderId="39" xfId="9" applyNumberFormat="1" applyFont="1" applyFill="1" applyBorder="1" applyAlignment="1" applyProtection="1">
      <alignment horizontal="center" vertical="center"/>
    </xf>
    <xf numFmtId="173" fontId="6" fillId="7" borderId="57" xfId="9" applyNumberFormat="1" applyFont="1" applyFill="1" applyBorder="1" applyAlignment="1" applyProtection="1">
      <alignment vertical="center"/>
    </xf>
    <xf numFmtId="173" fontId="6" fillId="7" borderId="47" xfId="9" applyNumberFormat="1" applyFont="1" applyFill="1" applyBorder="1" applyAlignment="1" applyProtection="1">
      <alignment vertical="center"/>
    </xf>
    <xf numFmtId="173" fontId="6" fillId="7" borderId="16" xfId="9" applyNumberFormat="1" applyFont="1" applyFill="1" applyBorder="1" applyAlignment="1" applyProtection="1">
      <alignment vertical="center"/>
    </xf>
    <xf numFmtId="173" fontId="6" fillId="7" borderId="15" xfId="9" applyNumberFormat="1" applyFont="1" applyFill="1" applyBorder="1" applyAlignment="1" applyProtection="1">
      <alignment vertical="center"/>
    </xf>
    <xf numFmtId="167" fontId="14" fillId="7" borderId="21" xfId="9" applyNumberFormat="1" applyFont="1" applyFill="1" applyBorder="1" applyAlignment="1" applyProtection="1">
      <alignment horizontal="left" vertical="center"/>
    </xf>
    <xf numFmtId="167" fontId="14" fillId="7" borderId="4" xfId="9" applyNumberFormat="1" applyFont="1" applyFill="1" applyBorder="1" applyAlignment="1" applyProtection="1">
      <alignment horizontal="left" vertical="center"/>
    </xf>
    <xf numFmtId="0" fontId="1" fillId="7" borderId="0" xfId="0" applyFont="1" applyFill="1" applyBorder="1" applyAlignment="1">
      <alignment vertical="center"/>
    </xf>
    <xf numFmtId="0" fontId="1" fillId="7" borderId="14" xfId="0" applyFont="1" applyFill="1" applyBorder="1" applyAlignment="1">
      <alignment vertical="center"/>
    </xf>
    <xf numFmtId="167" fontId="14" fillId="7" borderId="12" xfId="9" applyNumberFormat="1" applyFont="1" applyFill="1" applyBorder="1" applyAlignment="1" applyProtection="1">
      <alignment horizontal="left" vertical="center"/>
    </xf>
    <xf numFmtId="0" fontId="32" fillId="7" borderId="12" xfId="12" applyFont="1" applyFill="1" applyBorder="1" applyAlignment="1">
      <alignment horizontal="left" vertical="center" wrapText="1"/>
    </xf>
    <xf numFmtId="0" fontId="1" fillId="0" borderId="14" xfId="0" applyFont="1" applyBorder="1" applyAlignment="1">
      <alignment vertical="center"/>
    </xf>
    <xf numFmtId="175" fontId="6" fillId="0" borderId="8" xfId="9" applyNumberFormat="1" applyFont="1" applyFill="1" applyBorder="1" applyAlignment="1" applyProtection="1">
      <alignment horizontal="center" vertical="center"/>
    </xf>
    <xf numFmtId="173" fontId="9" fillId="0" borderId="47" xfId="9" applyNumberFormat="1" applyFont="1" applyFill="1" applyBorder="1" applyAlignment="1" applyProtection="1">
      <alignment horizontal="center" vertical="center"/>
    </xf>
    <xf numFmtId="173" fontId="1" fillId="0" borderId="47" xfId="9" applyNumberFormat="1" applyFont="1" applyFill="1" applyBorder="1" applyAlignment="1" applyProtection="1">
      <alignment vertical="center"/>
      <protection locked="0"/>
    </xf>
    <xf numFmtId="178" fontId="1" fillId="0" borderId="57" xfId="9" applyNumberFormat="1" applyFont="1" applyFill="1" applyBorder="1" applyAlignment="1">
      <alignment vertical="center"/>
    </xf>
    <xf numFmtId="173" fontId="1" fillId="0" borderId="9" xfId="9" applyNumberFormat="1" applyFont="1" applyFill="1" applyBorder="1" applyAlignment="1" applyProtection="1">
      <alignment vertical="center"/>
      <protection locked="0"/>
    </xf>
    <xf numFmtId="175" fontId="1" fillId="0" borderId="60" xfId="9" applyNumberFormat="1" applyFont="1" applyFill="1" applyBorder="1" applyAlignment="1" applyProtection="1">
      <alignment horizontal="center" vertical="center"/>
    </xf>
    <xf numFmtId="173" fontId="6" fillId="0" borderId="17" xfId="9" applyNumberFormat="1" applyFont="1" applyBorder="1" applyAlignment="1">
      <alignment horizontal="right" vertical="center"/>
    </xf>
    <xf numFmtId="0" fontId="32" fillId="0" borderId="0" xfId="12" applyFont="1" applyBorder="1" applyAlignment="1">
      <alignment horizontal="left" vertical="center" wrapText="1"/>
    </xf>
    <xf numFmtId="175" fontId="6" fillId="0" borderId="0" xfId="9" applyNumberFormat="1" applyFont="1" applyFill="1" applyBorder="1" applyAlignment="1" applyProtection="1">
      <alignment horizontal="center" vertical="center"/>
    </xf>
    <xf numFmtId="175" fontId="1" fillId="0" borderId="0" xfId="9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173" fontId="1" fillId="0" borderId="57" xfId="9" applyNumberFormat="1" applyFont="1" applyFill="1" applyBorder="1" applyAlignment="1" applyProtection="1">
      <alignment vertical="center"/>
    </xf>
    <xf numFmtId="178" fontId="9" fillId="0" borderId="47" xfId="9" applyNumberFormat="1" applyFont="1" applyFill="1" applyBorder="1" applyAlignment="1">
      <alignment vertical="center"/>
    </xf>
    <xf numFmtId="173" fontId="9" fillId="0" borderId="13" xfId="9" applyNumberFormat="1" applyFont="1" applyFill="1" applyBorder="1" applyAlignment="1" applyProtection="1">
      <alignment horizontal="center" vertical="center"/>
    </xf>
    <xf numFmtId="167" fontId="14" fillId="0" borderId="0" xfId="9" applyNumberFormat="1" applyFont="1" applyFill="1" applyBorder="1" applyAlignment="1" applyProtection="1">
      <alignment horizontal="left" vertical="center"/>
    </xf>
    <xf numFmtId="173" fontId="1" fillId="0" borderId="9" xfId="9" applyNumberFormat="1" applyFont="1" applyFill="1" applyBorder="1" applyAlignment="1" applyProtection="1">
      <alignment vertical="center"/>
    </xf>
    <xf numFmtId="167" fontId="14" fillId="0" borderId="0" xfId="9" applyNumberFormat="1" applyFont="1" applyFill="1" applyBorder="1" applyAlignment="1" applyProtection="1">
      <alignment horizontal="left" vertical="center" wrapText="1"/>
    </xf>
    <xf numFmtId="173" fontId="9" fillId="0" borderId="57" xfId="9" applyNumberFormat="1" applyFont="1" applyFill="1" applyBorder="1" applyAlignment="1" applyProtection="1">
      <alignment vertical="center"/>
    </xf>
    <xf numFmtId="167" fontId="14" fillId="0" borderId="21" xfId="9" applyNumberFormat="1" applyFont="1" applyFill="1" applyBorder="1" applyAlignment="1" applyProtection="1">
      <alignment horizontal="left" vertical="center"/>
    </xf>
    <xf numFmtId="167" fontId="14" fillId="0" borderId="14" xfId="9" applyNumberFormat="1" applyFont="1" applyFill="1" applyBorder="1" applyAlignment="1" applyProtection="1">
      <alignment horizontal="left" vertical="center"/>
    </xf>
    <xf numFmtId="173" fontId="9" fillId="0" borderId="22" xfId="9" quotePrefix="1" applyNumberFormat="1" applyFont="1" applyBorder="1" applyAlignment="1">
      <alignment horizontal="right" vertical="center"/>
    </xf>
    <xf numFmtId="173" fontId="9" fillId="0" borderId="10" xfId="9" applyNumberFormat="1" applyFont="1" applyBorder="1" applyAlignment="1">
      <alignment horizontal="right" vertical="center"/>
    </xf>
    <xf numFmtId="175" fontId="6" fillId="0" borderId="59" xfId="9" applyNumberFormat="1" applyFont="1" applyFill="1" applyBorder="1" applyAlignment="1" applyProtection="1">
      <alignment horizontal="center" vertical="center"/>
    </xf>
    <xf numFmtId="175" fontId="1" fillId="0" borderId="59" xfId="9" applyNumberFormat="1" applyFont="1" applyFill="1" applyBorder="1" applyAlignment="1" applyProtection="1">
      <alignment horizontal="center" vertical="center"/>
    </xf>
    <xf numFmtId="173" fontId="9" fillId="0" borderId="26" xfId="9" applyNumberFormat="1" applyFont="1" applyFill="1" applyBorder="1" applyAlignment="1" applyProtection="1">
      <alignment horizontal="center" vertical="center"/>
    </xf>
    <xf numFmtId="173" fontId="1" fillId="0" borderId="46" xfId="9" applyNumberFormat="1" applyFont="1" applyFill="1" applyBorder="1" applyAlignment="1" applyProtection="1">
      <alignment vertical="center"/>
      <protection locked="0"/>
    </xf>
    <xf numFmtId="175" fontId="6" fillId="0" borderId="38" xfId="9" applyNumberFormat="1" applyFont="1" applyFill="1" applyBorder="1" applyAlignment="1" applyProtection="1">
      <alignment horizontal="center" vertical="center"/>
    </xf>
    <xf numFmtId="175" fontId="9" fillId="0" borderId="39" xfId="9" applyNumberFormat="1" applyFont="1" applyFill="1" applyBorder="1" applyAlignment="1" applyProtection="1">
      <alignment horizontal="center" vertical="center"/>
    </xf>
    <xf numFmtId="175" fontId="9" fillId="0" borderId="38" xfId="9" applyNumberFormat="1" applyFont="1" applyFill="1" applyBorder="1" applyAlignment="1" applyProtection="1">
      <alignment horizontal="center" vertical="center"/>
    </xf>
    <xf numFmtId="175" fontId="1" fillId="0" borderId="38" xfId="9" applyNumberFormat="1" applyFont="1" applyFill="1" applyBorder="1" applyAlignment="1" applyProtection="1">
      <alignment horizontal="center" vertical="center"/>
    </xf>
    <xf numFmtId="173" fontId="6" fillId="0" borderId="16" xfId="9" applyNumberFormat="1" applyFont="1" applyFill="1" applyBorder="1" applyAlignment="1" applyProtection="1">
      <alignment vertical="center"/>
      <protection locked="0"/>
    </xf>
    <xf numFmtId="173" fontId="1" fillId="0" borderId="17" xfId="9" applyNumberFormat="1" applyFont="1" applyFill="1" applyBorder="1" applyAlignment="1" applyProtection="1">
      <alignment vertical="center"/>
      <protection locked="0"/>
    </xf>
    <xf numFmtId="173" fontId="1" fillId="0" borderId="15" xfId="9" applyNumberFormat="1" applyFont="1" applyFill="1" applyBorder="1" applyAlignment="1" applyProtection="1">
      <alignment vertical="center"/>
      <protection locked="0"/>
    </xf>
    <xf numFmtId="173" fontId="9" fillId="0" borderId="25" xfId="9" applyNumberFormat="1" applyFont="1" applyFill="1" applyBorder="1" applyAlignment="1" applyProtection="1">
      <alignment vertical="center"/>
      <protection locked="0"/>
    </xf>
    <xf numFmtId="173" fontId="1" fillId="0" borderId="46" xfId="9" applyNumberFormat="1" applyFont="1" applyBorder="1" applyAlignment="1">
      <alignment horizontal="right" vertical="center"/>
    </xf>
    <xf numFmtId="175" fontId="9" fillId="0" borderId="14" xfId="9" applyNumberFormat="1" applyFont="1" applyFill="1" applyBorder="1" applyAlignment="1" applyProtection="1">
      <alignment horizontal="center" vertical="center"/>
    </xf>
    <xf numFmtId="175" fontId="1" fillId="0" borderId="7" xfId="9" applyNumberFormat="1" applyFont="1" applyFill="1" applyBorder="1" applyAlignment="1" applyProtection="1">
      <alignment horizontal="center" vertical="center"/>
    </xf>
    <xf numFmtId="175" fontId="1" fillId="0" borderId="11" xfId="9" applyNumberFormat="1" applyFont="1" applyFill="1" applyBorder="1" applyAlignment="1" applyProtection="1">
      <alignment horizontal="center" vertical="center"/>
    </xf>
    <xf numFmtId="175" fontId="9" fillId="0" borderId="11" xfId="9" applyNumberFormat="1" applyFont="1" applyFill="1" applyBorder="1" applyAlignment="1" applyProtection="1">
      <alignment horizontal="center" vertical="center"/>
    </xf>
    <xf numFmtId="173" fontId="1" fillId="0" borderId="16" xfId="9" applyNumberFormat="1" applyFont="1" applyFill="1" applyBorder="1" applyAlignment="1" applyProtection="1">
      <alignment vertical="center"/>
    </xf>
    <xf numFmtId="173" fontId="1" fillId="0" borderId="17" xfId="9" applyNumberFormat="1" applyFont="1" applyFill="1" applyBorder="1" applyAlignment="1" applyProtection="1">
      <alignment vertical="center"/>
    </xf>
    <xf numFmtId="178" fontId="9" fillId="0" borderId="3" xfId="9" applyNumberFormat="1" applyFont="1" applyFill="1" applyBorder="1" applyAlignment="1">
      <alignment vertical="center"/>
    </xf>
    <xf numFmtId="173" fontId="1" fillId="0" borderId="17" xfId="9" applyNumberFormat="1" applyFont="1" applyBorder="1" applyAlignment="1">
      <alignment horizontal="right" vertical="center"/>
    </xf>
    <xf numFmtId="178" fontId="9" fillId="0" borderId="15" xfId="9" applyNumberFormat="1" applyFont="1" applyFill="1" applyBorder="1" applyAlignment="1">
      <alignment vertical="center"/>
    </xf>
    <xf numFmtId="173" fontId="1" fillId="0" borderId="46" xfId="9" applyNumberFormat="1" applyFont="1" applyFill="1" applyBorder="1" applyAlignment="1" applyProtection="1">
      <alignment horizontal="center" vertical="center"/>
    </xf>
    <xf numFmtId="173" fontId="1" fillId="0" borderId="16" xfId="9" applyNumberFormat="1" applyFont="1" applyFill="1" applyBorder="1" applyAlignment="1" applyProtection="1">
      <alignment vertical="center"/>
      <protection locked="0"/>
    </xf>
    <xf numFmtId="173" fontId="1" fillId="0" borderId="17" xfId="9" applyNumberFormat="1" applyFont="1" applyFill="1" applyBorder="1" applyAlignment="1" applyProtection="1">
      <alignment horizontal="center" vertical="center"/>
    </xf>
    <xf numFmtId="173" fontId="6" fillId="0" borderId="57" xfId="9" applyNumberFormat="1" applyFont="1" applyFill="1" applyBorder="1" applyAlignment="1" applyProtection="1">
      <alignment vertical="center"/>
    </xf>
    <xf numFmtId="173" fontId="6" fillId="0" borderId="47" xfId="9" applyNumberFormat="1" applyFont="1" applyFill="1" applyBorder="1" applyAlignment="1" applyProtection="1">
      <alignment vertical="center"/>
    </xf>
    <xf numFmtId="173" fontId="1" fillId="0" borderId="47" xfId="9" applyNumberFormat="1" applyFont="1" applyFill="1" applyBorder="1" applyAlignment="1" applyProtection="1">
      <alignment horizontal="center" vertical="center"/>
    </xf>
    <xf numFmtId="175" fontId="6" fillId="0" borderId="11" xfId="9" applyNumberFormat="1" applyFont="1" applyFill="1" applyBorder="1" applyAlignment="1" applyProtection="1">
      <alignment horizontal="center" vertical="center"/>
    </xf>
    <xf numFmtId="173" fontId="6" fillId="0" borderId="16" xfId="9" applyNumberFormat="1" applyFont="1" applyBorder="1" applyAlignment="1">
      <alignment horizontal="right" vertical="center"/>
    </xf>
    <xf numFmtId="167" fontId="9" fillId="0" borderId="13" xfId="9" applyNumberFormat="1" applyFont="1" applyFill="1" applyBorder="1" applyAlignment="1" applyProtection="1">
      <alignment horizontal="center" vertical="center"/>
    </xf>
    <xf numFmtId="167" fontId="9" fillId="0" borderId="10" xfId="9" applyNumberFormat="1" applyFont="1" applyFill="1" applyBorder="1" applyAlignment="1" applyProtection="1">
      <alignment horizontal="center" vertical="center"/>
    </xf>
    <xf numFmtId="0" fontId="31" fillId="0" borderId="4" xfId="12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167" fontId="14" fillId="0" borderId="12" xfId="9" applyNumberFormat="1" applyFont="1" applyFill="1" applyBorder="1" applyAlignment="1" applyProtection="1">
      <alignment horizontal="left" vertical="center"/>
    </xf>
    <xf numFmtId="178" fontId="9" fillId="7" borderId="61" xfId="9" applyNumberFormat="1" applyFont="1" applyFill="1" applyBorder="1" applyAlignment="1">
      <alignment vertical="center"/>
    </xf>
    <xf numFmtId="173" fontId="9" fillId="7" borderId="32" xfId="9" applyNumberFormat="1" applyFont="1" applyFill="1" applyBorder="1" applyAlignment="1" applyProtection="1">
      <alignment vertical="center"/>
    </xf>
    <xf numFmtId="175" fontId="9" fillId="7" borderId="28" xfId="9" applyNumberFormat="1" applyFont="1" applyFill="1" applyBorder="1" applyAlignment="1" applyProtection="1">
      <alignment horizontal="center" vertical="center"/>
    </xf>
    <xf numFmtId="178" fontId="9" fillId="7" borderId="27" xfId="9" applyNumberFormat="1" applyFont="1" applyFill="1" applyBorder="1" applyAlignment="1">
      <alignment vertical="center"/>
    </xf>
    <xf numFmtId="175" fontId="9" fillId="7" borderId="62" xfId="9" applyNumberFormat="1" applyFont="1" applyFill="1" applyBorder="1" applyAlignment="1" applyProtection="1">
      <alignment horizontal="center" vertical="center"/>
    </xf>
    <xf numFmtId="178" fontId="1" fillId="0" borderId="61" xfId="9" applyNumberFormat="1" applyFont="1" applyFill="1" applyBorder="1" applyAlignment="1">
      <alignment vertical="center"/>
    </xf>
    <xf numFmtId="173" fontId="1" fillId="0" borderId="26" xfId="9" applyNumberFormat="1" applyFont="1" applyFill="1" applyBorder="1" applyAlignment="1" applyProtection="1">
      <alignment vertical="center"/>
    </xf>
    <xf numFmtId="175" fontId="1" fillId="0" borderId="32" xfId="9" applyNumberFormat="1" applyFont="1" applyFill="1" applyBorder="1" applyAlignment="1" applyProtection="1">
      <alignment horizontal="center" vertical="center"/>
    </xf>
    <xf numFmtId="178" fontId="1" fillId="0" borderId="27" xfId="9" applyNumberFormat="1" applyFont="1" applyFill="1" applyBorder="1" applyAlignment="1">
      <alignment vertical="center"/>
    </xf>
    <xf numFmtId="175" fontId="1" fillId="0" borderId="62" xfId="9" applyNumberFormat="1" applyFont="1" applyFill="1" applyBorder="1" applyAlignment="1" applyProtection="1">
      <alignment horizontal="center" vertical="center"/>
    </xf>
    <xf numFmtId="173" fontId="9" fillId="23" borderId="52" xfId="9" applyNumberFormat="1" applyFont="1" applyFill="1" applyBorder="1" applyAlignment="1" applyProtection="1">
      <alignment horizontal="center" vertical="center"/>
    </xf>
    <xf numFmtId="173" fontId="9" fillId="23" borderId="22" xfId="0" applyNumberFormat="1" applyFont="1" applyFill="1" applyBorder="1" applyAlignment="1">
      <alignment vertical="center"/>
    </xf>
    <xf numFmtId="173" fontId="9" fillId="23" borderId="22" xfId="9" applyNumberFormat="1" applyFont="1" applyFill="1" applyBorder="1" applyAlignment="1" applyProtection="1">
      <alignment horizontal="center" vertical="center"/>
    </xf>
    <xf numFmtId="175" fontId="9" fillId="23" borderId="35" xfId="9" applyNumberFormat="1" applyFont="1" applyFill="1" applyBorder="1" applyAlignment="1" applyProtection="1">
      <alignment horizontal="center" vertical="center"/>
    </xf>
    <xf numFmtId="167" fontId="20" fillId="0" borderId="1" xfId="9" applyNumberFormat="1" applyFont="1" applyFill="1" applyBorder="1" applyAlignment="1" applyProtection="1">
      <alignment horizontal="left" vertical="center"/>
    </xf>
    <xf numFmtId="173" fontId="6" fillId="0" borderId="57" xfId="9" applyNumberFormat="1" applyFont="1" applyFill="1" applyBorder="1" applyAlignment="1" applyProtection="1">
      <alignment vertical="center"/>
      <protection locked="0"/>
    </xf>
    <xf numFmtId="173" fontId="1" fillId="0" borderId="47" xfId="9" applyNumberFormat="1" applyFont="1" applyFill="1" applyBorder="1" applyAlignment="1" applyProtection="1">
      <alignment vertical="center"/>
    </xf>
    <xf numFmtId="175" fontId="9" fillId="0" borderId="41" xfId="9" applyNumberFormat="1" applyFont="1" applyFill="1" applyBorder="1" applyAlignment="1" applyProtection="1">
      <alignment horizontal="center" vertical="center"/>
    </xf>
    <xf numFmtId="175" fontId="6" fillId="0" borderId="58" xfId="9" applyNumberFormat="1" applyFont="1" applyFill="1" applyBorder="1" applyAlignment="1" applyProtection="1">
      <alignment horizontal="center" vertical="center"/>
    </xf>
    <xf numFmtId="175" fontId="9" fillId="0" borderId="59" xfId="9" applyNumberFormat="1" applyFont="1" applyFill="1" applyBorder="1" applyAlignment="1" applyProtection="1">
      <alignment horizontal="center" vertical="center"/>
    </xf>
    <xf numFmtId="175" fontId="9" fillId="0" borderId="37" xfId="9" applyNumberFormat="1" applyFont="1" applyFill="1" applyBorder="1" applyAlignment="1" applyProtection="1">
      <alignment horizontal="center" vertical="center"/>
    </xf>
    <xf numFmtId="173" fontId="9" fillId="0" borderId="22" xfId="9" applyNumberFormat="1" applyFont="1" applyFill="1" applyBorder="1" applyAlignment="1" applyProtection="1">
      <alignment vertical="center"/>
    </xf>
    <xf numFmtId="173" fontId="9" fillId="0" borderId="13" xfId="9" applyNumberFormat="1" applyFont="1" applyFill="1" applyBorder="1" applyAlignment="1" applyProtection="1">
      <alignment vertical="center"/>
    </xf>
    <xf numFmtId="0" fontId="1" fillId="0" borderId="11" xfId="0" applyFont="1" applyBorder="1" applyAlignment="1">
      <alignment vertical="center"/>
    </xf>
    <xf numFmtId="167" fontId="20" fillId="0" borderId="39" xfId="9" applyNumberFormat="1" applyFont="1" applyFill="1" applyBorder="1" applyAlignment="1" applyProtection="1">
      <alignment horizontal="left" vertical="center"/>
    </xf>
    <xf numFmtId="167" fontId="6" fillId="0" borderId="9" xfId="9" applyNumberFormat="1" applyFont="1" applyFill="1" applyBorder="1" applyAlignment="1" applyProtection="1">
      <alignment horizontal="center" vertical="center"/>
    </xf>
    <xf numFmtId="167" fontId="6" fillId="0" borderId="13" xfId="9" applyNumberFormat="1" applyFont="1" applyFill="1" applyBorder="1" applyAlignment="1" applyProtection="1">
      <alignment horizontal="center" vertical="center"/>
    </xf>
    <xf numFmtId="175" fontId="1" fillId="0" borderId="39" xfId="9" applyNumberFormat="1" applyFont="1" applyFill="1" applyBorder="1" applyAlignment="1" applyProtection="1">
      <alignment horizontal="center" vertical="center"/>
    </xf>
    <xf numFmtId="175" fontId="1" fillId="0" borderId="58" xfId="9" applyNumberFormat="1" applyFont="1" applyFill="1" applyBorder="1" applyAlignment="1" applyProtection="1">
      <alignment horizontal="center" vertical="center"/>
    </xf>
    <xf numFmtId="178" fontId="1" fillId="0" borderId="3" xfId="9" applyNumberFormat="1" applyFont="1" applyFill="1" applyBorder="1" applyAlignment="1">
      <alignment vertical="center"/>
    </xf>
    <xf numFmtId="178" fontId="1" fillId="0" borderId="15" xfId="9" applyNumberFormat="1" applyFont="1" applyFill="1" applyBorder="1" applyAlignment="1">
      <alignment vertical="center"/>
    </xf>
    <xf numFmtId="173" fontId="1" fillId="0" borderId="15" xfId="9" applyNumberFormat="1" applyFont="1" applyFill="1" applyBorder="1" applyAlignment="1" applyProtection="1">
      <alignment vertical="center"/>
    </xf>
    <xf numFmtId="178" fontId="1" fillId="0" borderId="16" xfId="9" applyNumberFormat="1" applyFont="1" applyFill="1" applyBorder="1" applyAlignment="1">
      <alignment vertical="center"/>
    </xf>
    <xf numFmtId="173" fontId="1" fillId="0" borderId="3" xfId="9" applyNumberFormat="1" applyFont="1" applyFill="1" applyBorder="1" applyAlignment="1" applyProtection="1">
      <alignment vertical="center"/>
    </xf>
    <xf numFmtId="173" fontId="1" fillId="0" borderId="3" xfId="9" applyNumberFormat="1" applyFont="1" applyFill="1" applyBorder="1" applyAlignment="1" applyProtection="1">
      <alignment vertical="center"/>
      <protection locked="0"/>
    </xf>
    <xf numFmtId="175" fontId="6" fillId="0" borderId="7" xfId="9" applyNumberFormat="1" applyFont="1" applyFill="1" applyBorder="1" applyAlignment="1" applyProtection="1">
      <alignment horizontal="center" vertical="center"/>
    </xf>
    <xf numFmtId="175" fontId="9" fillId="0" borderId="0" xfId="9" applyNumberFormat="1" applyFont="1" applyFill="1" applyBorder="1" applyAlignment="1" applyProtection="1">
      <alignment horizontal="center" vertical="center"/>
    </xf>
    <xf numFmtId="173" fontId="6" fillId="0" borderId="17" xfId="9" applyNumberFormat="1" applyFont="1" applyFill="1" applyBorder="1" applyAlignment="1" applyProtection="1">
      <alignment vertical="center"/>
    </xf>
    <xf numFmtId="173" fontId="6" fillId="0" borderId="16" xfId="9" applyNumberFormat="1" applyFont="1" applyFill="1" applyBorder="1" applyAlignment="1" applyProtection="1">
      <alignment vertical="center"/>
    </xf>
    <xf numFmtId="173" fontId="6" fillId="0" borderId="15" xfId="9" applyNumberFormat="1" applyFont="1" applyFill="1" applyBorder="1" applyAlignment="1" applyProtection="1">
      <alignment vertical="center"/>
    </xf>
    <xf numFmtId="173" fontId="9" fillId="0" borderId="17" xfId="9" applyNumberFormat="1" applyFont="1" applyBorder="1" applyAlignment="1">
      <alignment horizontal="right" vertical="center"/>
    </xf>
    <xf numFmtId="173" fontId="6" fillId="0" borderId="3" xfId="9" applyNumberFormat="1" applyFont="1" applyFill="1" applyBorder="1" applyAlignment="1" applyProtection="1">
      <alignment vertical="center"/>
    </xf>
    <xf numFmtId="173" fontId="9" fillId="0" borderId="42" xfId="9" applyNumberFormat="1" applyFont="1" applyFill="1" applyBorder="1" applyAlignment="1" applyProtection="1">
      <alignment vertical="center"/>
      <protection locked="0"/>
    </xf>
    <xf numFmtId="173" fontId="6" fillId="0" borderId="3" xfId="9" applyNumberFormat="1" applyFont="1" applyFill="1" applyBorder="1" applyAlignment="1" applyProtection="1">
      <alignment vertical="center"/>
      <protection locked="0"/>
    </xf>
    <xf numFmtId="173" fontId="1" fillId="0" borderId="32" xfId="9" applyNumberFormat="1" applyFont="1" applyFill="1" applyBorder="1" applyAlignment="1" applyProtection="1">
      <alignment vertical="center"/>
    </xf>
    <xf numFmtId="0" fontId="9" fillId="23" borderId="46" xfId="0" applyFont="1" applyFill="1" applyBorder="1" applyAlignment="1">
      <alignment horizontal="center" vertical="center"/>
    </xf>
    <xf numFmtId="0" fontId="9" fillId="23" borderId="17" xfId="0" applyFont="1" applyFill="1" applyBorder="1" applyAlignment="1">
      <alignment horizontal="center" vertical="center"/>
    </xf>
    <xf numFmtId="0" fontId="9" fillId="23" borderId="60" xfId="0" applyFont="1" applyFill="1" applyBorder="1" applyAlignment="1">
      <alignment horizontal="center" vertical="center"/>
    </xf>
    <xf numFmtId="175" fontId="9" fillId="7" borderId="55" xfId="9" applyNumberFormat="1" applyFont="1" applyFill="1" applyBorder="1" applyAlignment="1" applyProtection="1">
      <alignment vertical="center"/>
    </xf>
    <xf numFmtId="175" fontId="9" fillId="7" borderId="49" xfId="9" applyNumberFormat="1" applyFont="1" applyFill="1" applyBorder="1" applyAlignment="1" applyProtection="1">
      <alignment vertical="center"/>
    </xf>
    <xf numFmtId="175" fontId="6" fillId="7" borderId="59" xfId="9" applyNumberFormat="1" applyFont="1" applyFill="1" applyBorder="1" applyAlignment="1" applyProtection="1">
      <alignment vertical="center"/>
    </xf>
    <xf numFmtId="175" fontId="6" fillId="7" borderId="38" xfId="9" applyNumberFormat="1" applyFont="1" applyFill="1" applyBorder="1" applyAlignment="1" applyProtection="1">
      <alignment vertical="center"/>
    </xf>
    <xf numFmtId="175" fontId="9" fillId="7" borderId="38" xfId="9" applyNumberFormat="1" applyFont="1" applyFill="1" applyBorder="1" applyAlignment="1" applyProtection="1">
      <alignment vertical="center"/>
    </xf>
    <xf numFmtId="175" fontId="9" fillId="7" borderId="39" xfId="9" applyNumberFormat="1" applyFont="1" applyFill="1" applyBorder="1" applyAlignment="1" applyProtection="1">
      <alignment vertical="center"/>
    </xf>
    <xf numFmtId="175" fontId="6" fillId="7" borderId="45" xfId="9" applyNumberFormat="1" applyFont="1" applyFill="1" applyBorder="1" applyAlignment="1" applyProtection="1">
      <alignment vertical="center"/>
    </xf>
    <xf numFmtId="175" fontId="9" fillId="7" borderId="45" xfId="9" applyNumberFormat="1" applyFont="1" applyFill="1" applyBorder="1" applyAlignment="1" applyProtection="1">
      <alignment vertical="center"/>
    </xf>
    <xf numFmtId="175" fontId="1" fillId="7" borderId="59" xfId="9" applyNumberFormat="1" applyFont="1" applyFill="1" applyBorder="1" applyAlignment="1" applyProtection="1">
      <alignment vertical="center"/>
    </xf>
    <xf numFmtId="175" fontId="1" fillId="7" borderId="38" xfId="9" applyNumberFormat="1" applyFont="1" applyFill="1" applyBorder="1" applyAlignment="1" applyProtection="1">
      <alignment vertical="center"/>
    </xf>
    <xf numFmtId="175" fontId="9" fillId="7" borderId="37" xfId="9" applyNumberFormat="1" applyFont="1" applyFill="1" applyBorder="1" applyAlignment="1" applyProtection="1">
      <alignment vertical="center"/>
    </xf>
    <xf numFmtId="175" fontId="9" fillId="23" borderId="55" xfId="9" applyNumberFormat="1" applyFont="1" applyFill="1" applyBorder="1" applyAlignment="1" applyProtection="1">
      <alignment vertical="center"/>
    </xf>
    <xf numFmtId="175" fontId="9" fillId="23" borderId="31" xfId="9" applyNumberFormat="1" applyFont="1" applyFill="1" applyBorder="1" applyAlignment="1" applyProtection="1">
      <alignment vertical="center"/>
    </xf>
    <xf numFmtId="2" fontId="0" fillId="0" borderId="9" xfId="0" applyNumberFormat="1" applyBorder="1"/>
    <xf numFmtId="168" fontId="1" fillId="9" borderId="15" xfId="9" applyNumberFormat="1" applyFont="1" applyFill="1" applyBorder="1" applyAlignment="1">
      <alignment horizontal="center"/>
    </xf>
    <xf numFmtId="0" fontId="58" fillId="0" borderId="0" xfId="0" applyFont="1"/>
    <xf numFmtId="0" fontId="59" fillId="0" borderId="0" xfId="0" applyFont="1"/>
    <xf numFmtId="172" fontId="26" fillId="4" borderId="3" xfId="7" applyNumberFormat="1" applyFont="1" applyFill="1" applyBorder="1" applyAlignment="1">
      <alignment vertical="center"/>
    </xf>
    <xf numFmtId="0" fontId="9" fillId="9" borderId="0" xfId="0" applyFont="1" applyFill="1" applyBorder="1" applyAlignment="1">
      <alignment horizontal="center"/>
    </xf>
    <xf numFmtId="1" fontId="20" fillId="9" borderId="0" xfId="0" applyNumberFormat="1" applyFont="1" applyFill="1" applyBorder="1" applyAlignment="1">
      <alignment horizontal="center"/>
    </xf>
    <xf numFmtId="2" fontId="20" fillId="9" borderId="0" xfId="0" applyNumberFormat="1" applyFont="1" applyFill="1" applyBorder="1" applyAlignment="1">
      <alignment horizontal="centerContinuous"/>
    </xf>
    <xf numFmtId="2" fontId="20" fillId="9" borderId="0" xfId="0" applyNumberFormat="1" applyFont="1" applyFill="1" applyBorder="1" applyAlignment="1">
      <alignment horizontal="center"/>
    </xf>
    <xf numFmtId="0" fontId="20" fillId="9" borderId="0" xfId="0" applyFont="1" applyFill="1" applyBorder="1" applyAlignment="1">
      <alignment horizontal="centerContinuous"/>
    </xf>
    <xf numFmtId="0" fontId="6" fillId="9" borderId="0" xfId="0" applyFont="1" applyFill="1" applyBorder="1" applyAlignment="1">
      <alignment horizontal="left"/>
    </xf>
    <xf numFmtId="2" fontId="6" fillId="9" borderId="0" xfId="0" applyNumberFormat="1" applyFont="1" applyFill="1" applyBorder="1" applyAlignment="1">
      <alignment horizontal="center"/>
    </xf>
    <xf numFmtId="164" fontId="0" fillId="9" borderId="0" xfId="9" applyFont="1" applyFill="1" applyBorder="1"/>
    <xf numFmtId="164" fontId="6" fillId="9" borderId="0" xfId="9" applyFont="1" applyFill="1" applyBorder="1" applyAlignment="1">
      <alignment horizontal="center"/>
    </xf>
    <xf numFmtId="164" fontId="1" fillId="9" borderId="0" xfId="9" applyFont="1" applyFill="1" applyBorder="1"/>
    <xf numFmtId="2" fontId="9" fillId="9" borderId="0" xfId="0" applyNumberFormat="1" applyFont="1" applyFill="1" applyBorder="1" applyAlignment="1">
      <alignment horizontal="center"/>
    </xf>
    <xf numFmtId="168" fontId="6" fillId="9" borderId="8" xfId="9" applyNumberFormat="1" applyFont="1" applyFill="1" applyBorder="1" applyAlignment="1">
      <alignment horizontal="right"/>
    </xf>
    <xf numFmtId="0" fontId="51" fillId="22" borderId="22" xfId="0" applyFont="1" applyFill="1" applyBorder="1" applyAlignment="1">
      <alignment vertical="center" wrapText="1"/>
    </xf>
    <xf numFmtId="0" fontId="51" fillId="22" borderId="9" xfId="0" applyFont="1" applyFill="1" applyBorder="1" applyAlignment="1">
      <alignment horizontal="left" vertical="center" wrapText="1"/>
    </xf>
    <xf numFmtId="0" fontId="51" fillId="9" borderId="22" xfId="0" applyFont="1" applyFill="1" applyBorder="1" applyAlignment="1">
      <alignment vertical="center" wrapText="1"/>
    </xf>
    <xf numFmtId="0" fontId="51" fillId="22" borderId="1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61" fillId="18" borderId="24" xfId="0" applyFont="1" applyFill="1" applyBorder="1" applyAlignment="1">
      <alignment horizontal="center" vertical="center" wrapText="1"/>
    </xf>
    <xf numFmtId="0" fontId="61" fillId="18" borderId="25" xfId="0" applyFont="1" applyFill="1" applyBorder="1" applyAlignment="1">
      <alignment horizontal="center" vertical="center" wrapText="1"/>
    </xf>
    <xf numFmtId="0" fontId="61" fillId="18" borderId="3" xfId="0" applyFont="1" applyFill="1" applyBorder="1" applyAlignment="1">
      <alignment horizontal="center" vertical="center" wrapText="1"/>
    </xf>
    <xf numFmtId="164" fontId="61" fillId="18" borderId="25" xfId="9" applyFont="1" applyFill="1" applyBorder="1" applyAlignment="1">
      <alignment horizontal="center" vertical="center" wrapText="1"/>
    </xf>
    <xf numFmtId="0" fontId="61" fillId="18" borderId="26" xfId="0" applyFont="1" applyFill="1" applyBorder="1" applyAlignment="1">
      <alignment horizontal="center" vertical="center" wrapText="1"/>
    </xf>
    <xf numFmtId="164" fontId="61" fillId="18" borderId="1" xfId="9" applyNumberFormat="1" applyFont="1" applyFill="1" applyBorder="1" applyAlignment="1">
      <alignment horizontal="center" vertical="center" wrapText="1"/>
    </xf>
    <xf numFmtId="168" fontId="0" fillId="0" borderId="0" xfId="9" applyNumberFormat="1" applyFont="1"/>
    <xf numFmtId="0" fontId="52" fillId="0" borderId="0" xfId="0" applyFont="1"/>
    <xf numFmtId="168" fontId="13" fillId="9" borderId="8" xfId="9" applyNumberFormat="1" applyFont="1" applyFill="1" applyBorder="1" applyAlignment="1">
      <alignment horizontal="center"/>
    </xf>
    <xf numFmtId="168" fontId="13" fillId="9" borderId="0" xfId="9" applyNumberFormat="1" applyFont="1" applyFill="1" applyBorder="1"/>
    <xf numFmtId="168" fontId="13" fillId="9" borderId="9" xfId="9" applyNumberFormat="1" applyFont="1" applyFill="1" applyBorder="1"/>
    <xf numFmtId="168" fontId="13" fillId="9" borderId="12" xfId="9" applyNumberFormat="1" applyFont="1" applyFill="1" applyBorder="1" applyAlignment="1">
      <alignment horizontal="center"/>
    </xf>
    <xf numFmtId="168" fontId="13" fillId="9" borderId="11" xfId="9" applyNumberFormat="1" applyFont="1" applyFill="1" applyBorder="1"/>
    <xf numFmtId="168" fontId="13" fillId="9" borderId="13" xfId="9" applyNumberFormat="1" applyFont="1" applyFill="1" applyBorder="1"/>
    <xf numFmtId="168" fontId="13" fillId="9" borderId="11" xfId="9" applyNumberFormat="1" applyFont="1" applyFill="1" applyBorder="1" applyAlignment="1">
      <alignment horizontal="center"/>
    </xf>
    <xf numFmtId="168" fontId="13" fillId="9" borderId="31" xfId="9" applyNumberFormat="1" applyFont="1" applyFill="1" applyBorder="1" applyAlignment="1">
      <alignment horizontal="center"/>
    </xf>
    <xf numFmtId="168" fontId="13" fillId="9" borderId="1" xfId="9" applyNumberFormat="1" applyFont="1" applyFill="1" applyBorder="1"/>
    <xf numFmtId="168" fontId="13" fillId="9" borderId="32" xfId="9" applyNumberFormat="1" applyFont="1" applyFill="1" applyBorder="1"/>
    <xf numFmtId="168" fontId="13" fillId="9" borderId="1" xfId="9" applyNumberFormat="1" applyFont="1" applyFill="1" applyBorder="1" applyAlignment="1">
      <alignment horizontal="center"/>
    </xf>
    <xf numFmtId="168" fontId="13" fillId="9" borderId="27" xfId="9" applyNumberFormat="1" applyFont="1" applyFill="1" applyBorder="1"/>
    <xf numFmtId="0" fontId="1" fillId="9" borderId="31" xfId="0" applyFont="1" applyFill="1" applyBorder="1"/>
    <xf numFmtId="0" fontId="0" fillId="9" borderId="24" xfId="0" applyFill="1" applyBorder="1"/>
    <xf numFmtId="0" fontId="0" fillId="9" borderId="0" xfId="0" applyFill="1" applyBorder="1" applyAlignment="1">
      <alignment horizontal="center"/>
    </xf>
    <xf numFmtId="168" fontId="13" fillId="9" borderId="0" xfId="9" applyNumberFormat="1" applyFont="1" applyFill="1" applyBorder="1" applyAlignment="1">
      <alignment horizontal="center"/>
    </xf>
    <xf numFmtId="0" fontId="10" fillId="20" borderId="11" xfId="0" applyFont="1" applyFill="1" applyBorder="1"/>
    <xf numFmtId="0" fontId="0" fillId="20" borderId="9" xfId="0" applyFill="1" applyBorder="1"/>
    <xf numFmtId="0" fontId="32" fillId="9" borderId="0" xfId="0" applyFont="1" applyFill="1" applyBorder="1" applyAlignment="1">
      <alignment horizontal="center" vertical="center"/>
    </xf>
    <xf numFmtId="49" fontId="1" fillId="9" borderId="0" xfId="0" applyNumberFormat="1" applyFont="1" applyFill="1" applyBorder="1" applyAlignment="1">
      <alignment horizontal="center" vertical="center"/>
    </xf>
    <xf numFmtId="0" fontId="32" fillId="9" borderId="11" xfId="0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/>
    </xf>
    <xf numFmtId="0" fontId="19" fillId="9" borderId="0" xfId="0" applyFont="1" applyFill="1" applyBorder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13" fillId="9" borderId="29" xfId="0" applyFont="1" applyFill="1" applyBorder="1" applyAlignment="1">
      <alignment horizontal="center"/>
    </xf>
    <xf numFmtId="0" fontId="64" fillId="9" borderId="25" xfId="0" applyFont="1" applyFill="1" applyBorder="1" applyAlignment="1">
      <alignment horizontal="center"/>
    </xf>
    <xf numFmtId="0" fontId="13" fillId="9" borderId="31" xfId="0" applyFont="1" applyFill="1" applyBorder="1" applyAlignment="1">
      <alignment horizontal="center"/>
    </xf>
    <xf numFmtId="17" fontId="13" fillId="9" borderId="1" xfId="0" applyNumberFormat="1" applyFont="1" applyFill="1" applyBorder="1" applyAlignment="1">
      <alignment horizontal="center"/>
    </xf>
    <xf numFmtId="17" fontId="13" fillId="9" borderId="24" xfId="0" applyNumberFormat="1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17" fontId="13" fillId="9" borderId="27" xfId="0" applyNumberFormat="1" applyFont="1" applyFill="1" applyBorder="1" applyAlignment="1">
      <alignment horizontal="center"/>
    </xf>
    <xf numFmtId="0" fontId="13" fillId="9" borderId="17" xfId="0" applyFont="1" applyFill="1" applyBorder="1"/>
    <xf numFmtId="0" fontId="13" fillId="9" borderId="8" xfId="0" applyFont="1" applyFill="1" applyBorder="1" applyAlignment="1">
      <alignment horizontal="center"/>
    </xf>
    <xf numFmtId="0" fontId="13" fillId="9" borderId="9" xfId="0" applyFont="1" applyFill="1" applyBorder="1" applyAlignment="1">
      <alignment horizontal="center"/>
    </xf>
    <xf numFmtId="0" fontId="13" fillId="9" borderId="33" xfId="0" applyFont="1" applyFill="1" applyBorder="1" applyAlignment="1">
      <alignment horizontal="center"/>
    </xf>
    <xf numFmtId="0" fontId="13" fillId="9" borderId="26" xfId="0" applyFont="1" applyFill="1" applyBorder="1"/>
    <xf numFmtId="0" fontId="13" fillId="9" borderId="17" xfId="0" applyFont="1" applyFill="1" applyBorder="1" applyAlignment="1">
      <alignment horizontal="center"/>
    </xf>
    <xf numFmtId="0" fontId="13" fillId="9" borderId="25" xfId="0" applyFont="1" applyFill="1" applyBorder="1"/>
    <xf numFmtId="0" fontId="13" fillId="9" borderId="9" xfId="0" applyFont="1" applyFill="1" applyBorder="1"/>
    <xf numFmtId="0" fontId="13" fillId="9" borderId="31" xfId="0" applyFont="1" applyFill="1" applyBorder="1"/>
    <xf numFmtId="168" fontId="13" fillId="9" borderId="32" xfId="9" applyNumberFormat="1" applyFont="1" applyFill="1" applyBorder="1" applyAlignment="1">
      <alignment horizontal="center"/>
    </xf>
    <xf numFmtId="168" fontId="13" fillId="9" borderId="0" xfId="0" applyNumberFormat="1" applyFont="1" applyFill="1"/>
    <xf numFmtId="168" fontId="13" fillId="9" borderId="12" xfId="0" applyNumberFormat="1" applyFont="1" applyFill="1" applyBorder="1"/>
    <xf numFmtId="168" fontId="13" fillId="9" borderId="11" xfId="0" applyNumberFormat="1" applyFont="1" applyFill="1" applyBorder="1"/>
    <xf numFmtId="168" fontId="13" fillId="9" borderId="13" xfId="0" applyNumberFormat="1" applyFont="1" applyFill="1" applyBorder="1"/>
    <xf numFmtId="166" fontId="1" fillId="9" borderId="13" xfId="9" applyNumberFormat="1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168" fontId="0" fillId="0" borderId="0" xfId="9" applyNumberFormat="1" applyFont="1" applyFill="1" applyBorder="1"/>
    <xf numFmtId="0" fontId="9" fillId="9" borderId="17" xfId="5" applyFont="1" applyFill="1" applyBorder="1" applyAlignment="1">
      <alignment horizontal="center" vertical="center"/>
    </xf>
    <xf numFmtId="0" fontId="28" fillId="9" borderId="17" xfId="1" applyFont="1" applyFill="1" applyBorder="1" applyAlignment="1" applyProtection="1">
      <alignment horizontal="center" vertical="center"/>
    </xf>
    <xf numFmtId="0" fontId="0" fillId="9" borderId="17" xfId="0" applyFill="1" applyBorder="1"/>
    <xf numFmtId="0" fontId="13" fillId="9" borderId="0" xfId="4" applyFont="1" applyFill="1" applyBorder="1"/>
    <xf numFmtId="164" fontId="16" fillId="7" borderId="16" xfId="9" applyFont="1" applyFill="1" applyBorder="1"/>
    <xf numFmtId="164" fontId="65" fillId="7" borderId="17" xfId="9" applyFont="1" applyFill="1" applyBorder="1"/>
    <xf numFmtId="164" fontId="16" fillId="7" borderId="17" xfId="9" applyFont="1" applyFill="1" applyBorder="1"/>
    <xf numFmtId="164" fontId="65" fillId="7" borderId="15" xfId="9" applyFont="1" applyFill="1" applyBorder="1"/>
    <xf numFmtId="170" fontId="1" fillId="0" borderId="3" xfId="9" applyNumberFormat="1" applyFont="1" applyBorder="1"/>
    <xf numFmtId="0" fontId="1" fillId="0" borderId="0" xfId="0" applyFont="1" applyAlignment="1">
      <alignment horizontal="center"/>
    </xf>
    <xf numFmtId="168" fontId="1" fillId="0" borderId="0" xfId="9" applyNumberFormat="1" applyFont="1"/>
    <xf numFmtId="0" fontId="1" fillId="0" borderId="14" xfId="0" applyFont="1" applyBorder="1" applyAlignment="1">
      <alignment horizontal="center" vertical="center" wrapText="1"/>
    </xf>
    <xf numFmtId="168" fontId="0" fillId="0" borderId="11" xfId="9" applyNumberFormat="1" applyFont="1" applyBorder="1"/>
    <xf numFmtId="168" fontId="0" fillId="0" borderId="11" xfId="0" applyNumberFormat="1" applyBorder="1"/>
    <xf numFmtId="0" fontId="1" fillId="0" borderId="14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8" fontId="0" fillId="0" borderId="0" xfId="9" applyNumberFormat="1" applyFont="1" applyAlignment="1">
      <alignment horizontal="center"/>
    </xf>
    <xf numFmtId="168" fontId="0" fillId="0" borderId="11" xfId="9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8" fontId="0" fillId="0" borderId="0" xfId="9" applyNumberFormat="1" applyFont="1" applyFill="1" applyBorder="1" applyAlignment="1">
      <alignment horizontal="center"/>
    </xf>
    <xf numFmtId="3" fontId="66" fillId="0" borderId="0" xfId="0" applyNumberFormat="1" applyFont="1"/>
    <xf numFmtId="2" fontId="1" fillId="0" borderId="0" xfId="0" applyNumberFormat="1" applyFont="1" applyFill="1" applyBorder="1" applyAlignment="1">
      <alignment horizontal="right"/>
    </xf>
    <xf numFmtId="168" fontId="13" fillId="9" borderId="0" xfId="0" applyNumberFormat="1" applyFont="1" applyFill="1" applyBorder="1"/>
    <xf numFmtId="168" fontId="13" fillId="9" borderId="9" xfId="9" applyNumberFormat="1" applyFont="1" applyFill="1" applyBorder="1" applyAlignment="1">
      <alignment horizontal="right"/>
    </xf>
    <xf numFmtId="168" fontId="0" fillId="0" borderId="65" xfId="9" applyNumberFormat="1" applyFont="1" applyFill="1" applyBorder="1" applyAlignment="1"/>
    <xf numFmtId="168" fontId="1" fillId="7" borderId="17" xfId="9" applyNumberFormat="1" applyFont="1" applyFill="1" applyBorder="1"/>
    <xf numFmtId="168" fontId="14" fillId="7" borderId="17" xfId="9" applyNumberFormat="1" applyFont="1" applyFill="1" applyBorder="1"/>
    <xf numFmtId="49" fontId="25" fillId="7" borderId="0" xfId="7" applyNumberFormat="1" applyFont="1" applyFill="1" applyBorder="1" applyAlignment="1">
      <alignment horizontal="left" vertical="center" indent="1"/>
    </xf>
    <xf numFmtId="49" fontId="25" fillId="7" borderId="6" xfId="7" applyNumberFormat="1" applyFont="1" applyFill="1" applyBorder="1" applyAlignment="1">
      <alignment horizontal="left" vertical="center" indent="1"/>
    </xf>
    <xf numFmtId="171" fontId="25" fillId="7" borderId="6" xfId="8" applyNumberFormat="1" applyFont="1" applyFill="1" applyBorder="1" applyAlignment="1">
      <alignment horizontal="right" vertical="center"/>
    </xf>
    <xf numFmtId="171" fontId="25" fillId="7" borderId="16" xfId="8" applyNumberFormat="1" applyFont="1" applyFill="1" applyBorder="1" applyAlignment="1">
      <alignment horizontal="right" vertical="center"/>
    </xf>
    <xf numFmtId="165" fontId="0" fillId="7" borderId="0" xfId="0" applyNumberFormat="1" applyFill="1" applyBorder="1"/>
    <xf numFmtId="49" fontId="25" fillId="7" borderId="9" xfId="7" applyNumberFormat="1" applyFont="1" applyFill="1" applyBorder="1" applyAlignment="1">
      <alignment horizontal="left" vertical="center" indent="1"/>
    </xf>
    <xf numFmtId="171" fontId="25" fillId="7" borderId="9" xfId="8" applyNumberFormat="1" applyFont="1" applyFill="1" applyBorder="1" applyAlignment="1">
      <alignment horizontal="right" vertical="center"/>
    </xf>
    <xf numFmtId="171" fontId="25" fillId="7" borderId="17" xfId="8" applyNumberFormat="1" applyFont="1" applyFill="1" applyBorder="1" applyAlignment="1">
      <alignment horizontal="right" vertical="center"/>
    </xf>
    <xf numFmtId="49" fontId="25" fillId="7" borderId="11" xfId="7" applyNumberFormat="1" applyFont="1" applyFill="1" applyBorder="1" applyAlignment="1">
      <alignment horizontal="left" vertical="center" indent="1"/>
    </xf>
    <xf numFmtId="49" fontId="25" fillId="7" borderId="13" xfId="7" applyNumberFormat="1" applyFont="1" applyFill="1" applyBorder="1" applyAlignment="1">
      <alignment horizontal="left" vertical="center" indent="1"/>
    </xf>
    <xf numFmtId="171" fontId="25" fillId="7" borderId="13" xfId="8" applyNumberFormat="1" applyFont="1" applyFill="1" applyBorder="1" applyAlignment="1">
      <alignment horizontal="right" vertical="center"/>
    </xf>
    <xf numFmtId="171" fontId="25" fillId="7" borderId="15" xfId="8" applyNumberFormat="1" applyFont="1" applyFill="1" applyBorder="1" applyAlignment="1">
      <alignment horizontal="right" vertical="center"/>
    </xf>
    <xf numFmtId="165" fontId="0" fillId="7" borderId="11" xfId="0" applyNumberFormat="1" applyFill="1" applyBorder="1"/>
    <xf numFmtId="49" fontId="26" fillId="7" borderId="0" xfId="7" applyNumberFormat="1" applyFont="1" applyFill="1" applyBorder="1" applyAlignment="1">
      <alignment horizontal="left" vertical="center" indent="1"/>
    </xf>
    <xf numFmtId="49" fontId="26" fillId="7" borderId="9" xfId="7" applyNumberFormat="1" applyFont="1" applyFill="1" applyBorder="1" applyAlignment="1">
      <alignment horizontal="left" vertical="center" indent="1"/>
    </xf>
    <xf numFmtId="168" fontId="20" fillId="7" borderId="17" xfId="9" applyNumberFormat="1" applyFont="1" applyFill="1" applyBorder="1"/>
    <xf numFmtId="171" fontId="26" fillId="7" borderId="9" xfId="8" applyNumberFormat="1" applyFont="1" applyFill="1" applyBorder="1" applyAlignment="1">
      <alignment horizontal="right" vertical="center"/>
    </xf>
    <xf numFmtId="171" fontId="26" fillId="7" borderId="17" xfId="8" applyNumberFormat="1" applyFont="1" applyFill="1" applyBorder="1" applyAlignment="1">
      <alignment horizontal="right" vertical="center"/>
    </xf>
    <xf numFmtId="49" fontId="26" fillId="7" borderId="9" xfId="7" applyNumberFormat="1" applyFont="1" applyFill="1" applyBorder="1" applyAlignment="1">
      <alignment vertical="center"/>
    </xf>
    <xf numFmtId="168" fontId="20" fillId="7" borderId="17" xfId="9" applyNumberFormat="1" applyFont="1" applyFill="1" applyBorder="1" applyAlignment="1">
      <alignment horizontal="right" vertical="center"/>
    </xf>
    <xf numFmtId="49" fontId="26" fillId="7" borderId="11" xfId="7" applyNumberFormat="1" applyFont="1" applyFill="1" applyBorder="1" applyAlignment="1">
      <alignment horizontal="left" vertical="center" indent="1"/>
    </xf>
    <xf numFmtId="49" fontId="26" fillId="7" borderId="13" xfId="7" applyNumberFormat="1" applyFont="1" applyFill="1" applyBorder="1" applyAlignment="1">
      <alignment vertical="center"/>
    </xf>
    <xf numFmtId="168" fontId="20" fillId="7" borderId="15" xfId="9" applyNumberFormat="1" applyFont="1" applyFill="1" applyBorder="1"/>
    <xf numFmtId="168" fontId="20" fillId="7" borderId="13" xfId="9" applyNumberFormat="1" applyFont="1" applyFill="1" applyBorder="1"/>
    <xf numFmtId="172" fontId="14" fillId="7" borderId="15" xfId="7" applyNumberFormat="1" applyFont="1" applyFill="1" applyBorder="1" applyAlignment="1">
      <alignment horizontal="right" vertical="center"/>
    </xf>
    <xf numFmtId="168" fontId="14" fillId="7" borderId="16" xfId="9" applyNumberFormat="1" applyFont="1" applyFill="1" applyBorder="1"/>
    <xf numFmtId="168" fontId="25" fillId="7" borderId="16" xfId="9" applyNumberFormat="1" applyFont="1" applyFill="1" applyBorder="1"/>
    <xf numFmtId="168" fontId="25" fillId="7" borderId="17" xfId="9" applyNumberFormat="1" applyFont="1" applyFill="1" applyBorder="1"/>
    <xf numFmtId="168" fontId="14" fillId="7" borderId="15" xfId="9" applyNumberFormat="1" applyFont="1" applyFill="1" applyBorder="1"/>
    <xf numFmtId="168" fontId="25" fillId="7" borderId="15" xfId="9" applyNumberFormat="1" applyFont="1" applyFill="1" applyBorder="1"/>
    <xf numFmtId="168" fontId="26" fillId="7" borderId="17" xfId="9" applyNumberFormat="1" applyFont="1" applyFill="1" applyBorder="1" applyAlignment="1">
      <alignment horizontal="right" vertical="center"/>
    </xf>
    <xf numFmtId="49" fontId="26" fillId="7" borderId="13" xfId="7" applyNumberFormat="1" applyFont="1" applyFill="1" applyBorder="1" applyAlignment="1">
      <alignment horizontal="left" vertical="center" indent="1"/>
    </xf>
    <xf numFmtId="168" fontId="20" fillId="7" borderId="15" xfId="9" applyNumberFormat="1" applyFont="1" applyFill="1" applyBorder="1" applyAlignment="1">
      <alignment horizontal="right" vertical="center"/>
    </xf>
    <xf numFmtId="171" fontId="26" fillId="7" borderId="13" xfId="8" applyNumberFormat="1" applyFont="1" applyFill="1" applyBorder="1" applyAlignment="1">
      <alignment horizontal="right" vertical="center"/>
    </xf>
    <xf numFmtId="168" fontId="26" fillId="7" borderId="15" xfId="9" applyNumberFormat="1" applyFont="1" applyFill="1" applyBorder="1" applyAlignment="1">
      <alignment horizontal="right" vertical="center"/>
    </xf>
    <xf numFmtId="0" fontId="63" fillId="22" borderId="16" xfId="0" applyFont="1" applyFill="1" applyBorder="1" applyAlignment="1">
      <alignment horizontal="center"/>
    </xf>
    <xf numFmtId="0" fontId="62" fillId="22" borderId="17" xfId="0" applyFont="1" applyFill="1" applyBorder="1" applyAlignment="1">
      <alignment horizontal="justify"/>
    </xf>
    <xf numFmtId="0" fontId="0" fillId="22" borderId="15" xfId="0" applyFill="1" applyBorder="1"/>
    <xf numFmtId="0" fontId="0" fillId="7" borderId="0" xfId="0" applyFill="1"/>
    <xf numFmtId="164" fontId="1" fillId="9" borderId="17" xfId="9" applyNumberFormat="1" applyFont="1" applyFill="1" applyBorder="1" applyAlignment="1">
      <alignment vertical="center"/>
    </xf>
    <xf numFmtId="0" fontId="67" fillId="9" borderId="9" xfId="0" applyFont="1" applyFill="1" applyBorder="1" applyAlignment="1">
      <alignment vertical="center" wrapText="1"/>
    </xf>
    <xf numFmtId="0" fontId="67" fillId="22" borderId="9" xfId="0" applyFont="1" applyFill="1" applyBorder="1" applyAlignment="1">
      <alignment vertical="center" wrapText="1"/>
    </xf>
    <xf numFmtId="0" fontId="67" fillId="22" borderId="13" xfId="0" applyFont="1" applyFill="1" applyBorder="1" applyAlignment="1">
      <alignment vertical="center" wrapText="1"/>
    </xf>
    <xf numFmtId="164" fontId="1" fillId="22" borderId="15" xfId="9" applyNumberFormat="1" applyFont="1" applyFill="1" applyBorder="1" applyAlignment="1" applyProtection="1">
      <alignment vertical="center"/>
    </xf>
    <xf numFmtId="0" fontId="1" fillId="22" borderId="30" xfId="0" applyFont="1" applyFill="1" applyBorder="1" applyAlignment="1">
      <alignment vertical="center" wrapText="1"/>
    </xf>
    <xf numFmtId="164" fontId="1" fillId="22" borderId="29" xfId="9" applyNumberFormat="1" applyFont="1" applyFill="1" applyBorder="1" applyAlignment="1" applyProtection="1">
      <alignment vertical="center"/>
    </xf>
    <xf numFmtId="168" fontId="1" fillId="22" borderId="29" xfId="9" applyNumberFormat="1" applyFont="1" applyFill="1" applyBorder="1"/>
    <xf numFmtId="168" fontId="1" fillId="22" borderId="30" xfId="9" applyNumberFormat="1" applyFont="1" applyFill="1" applyBorder="1"/>
    <xf numFmtId="164" fontId="1" fillId="22" borderId="29" xfId="9" applyNumberFormat="1" applyFont="1" applyFill="1" applyBorder="1"/>
    <xf numFmtId="166" fontId="1" fillId="22" borderId="33" xfId="9" applyNumberFormat="1" applyFont="1" applyFill="1" applyBorder="1" applyAlignment="1">
      <alignment horizontal="center" vertical="center"/>
    </xf>
    <xf numFmtId="0" fontId="67" fillId="22" borderId="9" xfId="0" applyFont="1" applyFill="1" applyBorder="1" applyAlignment="1">
      <alignment horizontal="left" vertical="center" wrapText="1"/>
    </xf>
    <xf numFmtId="0" fontId="67" fillId="22" borderId="10" xfId="0" applyFont="1" applyFill="1" applyBorder="1" applyAlignment="1">
      <alignment horizontal="left" vertical="center" wrapText="1"/>
    </xf>
    <xf numFmtId="0" fontId="67" fillId="9" borderId="22" xfId="0" applyFont="1" applyFill="1" applyBorder="1" applyAlignment="1">
      <alignment vertical="center" wrapText="1"/>
    </xf>
    <xf numFmtId="164" fontId="9" fillId="9" borderId="25" xfId="9" applyFont="1" applyFill="1" applyBorder="1"/>
    <xf numFmtId="164" fontId="9" fillId="9" borderId="31" xfId="9" applyFont="1" applyFill="1" applyBorder="1"/>
    <xf numFmtId="0" fontId="67" fillId="9" borderId="13" xfId="0" applyFont="1" applyFill="1" applyBorder="1" applyAlignment="1">
      <alignment vertical="center" wrapText="1"/>
    </xf>
    <xf numFmtId="164" fontId="1" fillId="9" borderId="13" xfId="9" applyNumberFormat="1" applyFont="1" applyFill="1" applyBorder="1" applyAlignment="1" applyProtection="1">
      <alignment vertical="center"/>
    </xf>
    <xf numFmtId="0" fontId="1" fillId="22" borderId="17" xfId="0" applyFont="1" applyFill="1" applyBorder="1" applyAlignment="1">
      <alignment horizontal="center" vertical="center"/>
    </xf>
    <xf numFmtId="0" fontId="68" fillId="9" borderId="22" xfId="0" applyFont="1" applyFill="1" applyBorder="1" applyAlignment="1">
      <alignment horizontal="left" vertical="center" wrapText="1"/>
    </xf>
    <xf numFmtId="168" fontId="13" fillId="9" borderId="0" xfId="9" applyNumberFormat="1" applyFont="1" applyFill="1" applyBorder="1" applyAlignment="1">
      <alignment horizontal="right"/>
    </xf>
    <xf numFmtId="0" fontId="13" fillId="9" borderId="15" xfId="0" applyFont="1" applyFill="1" applyBorder="1"/>
    <xf numFmtId="179" fontId="14" fillId="2" borderId="0" xfId="9" applyNumberFormat="1" applyFont="1" applyFill="1"/>
    <xf numFmtId="168" fontId="0" fillId="0" borderId="23" xfId="0" applyNumberFormat="1" applyBorder="1"/>
    <xf numFmtId="168" fontId="0" fillId="0" borderId="3" xfId="0" applyNumberFormat="1" applyBorder="1"/>
    <xf numFmtId="168" fontId="0" fillId="0" borderId="26" xfId="0" applyNumberFormat="1" applyBorder="1"/>
    <xf numFmtId="180" fontId="71" fillId="7" borderId="66" xfId="0" applyNumberFormat="1" applyFont="1" applyFill="1" applyBorder="1"/>
    <xf numFmtId="165" fontId="14" fillId="7" borderId="0" xfId="0" applyNumberFormat="1" applyFont="1" applyFill="1" applyBorder="1"/>
    <xf numFmtId="165" fontId="14" fillId="7" borderId="11" xfId="0" applyNumberFormat="1" applyFont="1" applyFill="1" applyBorder="1"/>
    <xf numFmtId="165" fontId="20" fillId="7" borderId="0" xfId="0" applyNumberFormat="1" applyFont="1" applyFill="1" applyBorder="1"/>
    <xf numFmtId="165" fontId="14" fillId="7" borderId="12" xfId="0" applyNumberFormat="1" applyFont="1" applyFill="1" applyBorder="1"/>
    <xf numFmtId="165" fontId="20" fillId="17" borderId="4" xfId="0" applyNumberFormat="1" applyFont="1" applyFill="1" applyBorder="1"/>
    <xf numFmtId="168" fontId="20" fillId="7" borderId="9" xfId="9" applyNumberFormat="1" applyFont="1" applyFill="1" applyBorder="1"/>
    <xf numFmtId="168" fontId="20" fillId="7" borderId="9" xfId="9" applyNumberFormat="1" applyFont="1" applyFill="1" applyBorder="1" applyAlignment="1">
      <alignment horizontal="right" vertical="center"/>
    </xf>
    <xf numFmtId="171" fontId="26" fillId="7" borderId="6" xfId="8" applyNumberFormat="1" applyFont="1" applyFill="1" applyBorder="1" applyAlignment="1">
      <alignment horizontal="right" vertical="center"/>
    </xf>
    <xf numFmtId="180" fontId="71" fillId="7" borderId="68" xfId="0" applyNumberFormat="1" applyFont="1" applyFill="1" applyBorder="1"/>
    <xf numFmtId="180" fontId="71" fillId="7" borderId="69" xfId="0" applyNumberFormat="1" applyFont="1" applyFill="1" applyBorder="1"/>
    <xf numFmtId="3" fontId="14" fillId="7" borderId="0" xfId="0" applyNumberFormat="1" applyFont="1" applyFill="1"/>
    <xf numFmtId="180" fontId="71" fillId="7" borderId="70" xfId="0" applyNumberFormat="1" applyFont="1" applyFill="1" applyBorder="1"/>
    <xf numFmtId="3" fontId="14" fillId="7" borderId="13" xfId="0" applyNumberFormat="1" applyFont="1" applyFill="1" applyBorder="1"/>
    <xf numFmtId="180" fontId="20" fillId="17" borderId="67" xfId="0" applyNumberFormat="1" applyFont="1" applyFill="1" applyBorder="1"/>
    <xf numFmtId="171" fontId="20" fillId="17" borderId="3" xfId="8" applyNumberFormat="1" applyFont="1" applyFill="1" applyBorder="1" applyAlignment="1">
      <alignment horizontal="right" vertical="center"/>
    </xf>
    <xf numFmtId="3" fontId="20" fillId="17" borderId="10" xfId="0" applyNumberFormat="1" applyFont="1" applyFill="1" applyBorder="1"/>
    <xf numFmtId="0" fontId="5" fillId="0" borderId="30" xfId="0" applyFont="1" applyBorder="1"/>
    <xf numFmtId="0" fontId="5" fillId="0" borderId="9" xfId="0" applyFont="1" applyBorder="1"/>
    <xf numFmtId="0" fontId="5" fillId="0" borderId="24" xfId="0" applyFont="1" applyBorder="1" applyAlignment="1">
      <alignment horizontal="left" vertical="center"/>
    </xf>
    <xf numFmtId="168" fontId="8" fillId="13" borderId="2" xfId="9" applyNumberFormat="1" applyFont="1" applyFill="1" applyBorder="1"/>
    <xf numFmtId="0" fontId="72" fillId="22" borderId="17" xfId="0" applyFont="1" applyFill="1" applyBorder="1" applyAlignment="1">
      <alignment horizontal="justify"/>
    </xf>
    <xf numFmtId="0" fontId="72" fillId="22" borderId="17" xfId="0" applyFont="1" applyFill="1" applyBorder="1"/>
    <xf numFmtId="0" fontId="73" fillId="22" borderId="17" xfId="0" applyFont="1" applyFill="1" applyBorder="1" applyAlignment="1">
      <alignment horizontal="justify"/>
    </xf>
    <xf numFmtId="173" fontId="9" fillId="23" borderId="42" xfId="9" applyNumberFormat="1" applyFont="1" applyFill="1" applyBorder="1" applyAlignment="1" applyProtection="1">
      <alignment horizontal="center" vertical="center"/>
    </xf>
    <xf numFmtId="0" fontId="9" fillId="23" borderId="21" xfId="0" applyFont="1" applyFill="1" applyBorder="1" applyAlignment="1">
      <alignment horizontal="left" vertical="center"/>
    </xf>
    <xf numFmtId="168" fontId="13" fillId="9" borderId="9" xfId="0" applyNumberFormat="1" applyFont="1" applyFill="1" applyBorder="1"/>
    <xf numFmtId="0" fontId="5" fillId="13" borderId="9" xfId="0" applyFont="1" applyFill="1" applyBorder="1" applyAlignment="1">
      <alignment horizontal="center" vertical="center" wrapText="1"/>
    </xf>
    <xf numFmtId="168" fontId="0" fillId="0" borderId="23" xfId="9" applyNumberFormat="1" applyFont="1" applyBorder="1"/>
    <xf numFmtId="0" fontId="76" fillId="22" borderId="17" xfId="0" applyFont="1" applyFill="1" applyBorder="1" applyAlignment="1">
      <alignment horizontal="justify"/>
    </xf>
    <xf numFmtId="0" fontId="43" fillId="6" borderId="17" xfId="0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/>
    </xf>
    <xf numFmtId="0" fontId="19" fillId="9" borderId="0" xfId="0" applyFont="1" applyFill="1" applyBorder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 vertical="center" wrapText="1"/>
    </xf>
    <xf numFmtId="0" fontId="1" fillId="13" borderId="20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6" fillId="13" borderId="35" xfId="0" applyFont="1" applyFill="1" applyBorder="1" applyAlignment="1">
      <alignment horizontal="center"/>
    </xf>
    <xf numFmtId="0" fontId="6" fillId="13" borderId="21" xfId="0" applyFont="1" applyFill="1" applyBorder="1" applyAlignment="1">
      <alignment horizontal="center"/>
    </xf>
    <xf numFmtId="0" fontId="6" fillId="13" borderId="22" xfId="0" applyFont="1" applyFill="1" applyBorder="1" applyAlignment="1">
      <alignment horizontal="center"/>
    </xf>
    <xf numFmtId="0" fontId="6" fillId="13" borderId="33" xfId="0" applyFont="1" applyFill="1" applyBorder="1" applyAlignment="1">
      <alignment horizontal="center" vertical="center"/>
    </xf>
    <xf numFmtId="0" fontId="6" fillId="13" borderId="1" xfId="0" quotePrefix="1" applyFont="1" applyFill="1" applyBorder="1" applyAlignment="1">
      <alignment horizontal="center" vertical="center"/>
    </xf>
    <xf numFmtId="2" fontId="5" fillId="13" borderId="0" xfId="0" applyNumberFormat="1" applyFont="1" applyFill="1" applyBorder="1" applyAlignment="1">
      <alignment horizontal="center" vertical="center"/>
    </xf>
    <xf numFmtId="2" fontId="5" fillId="13" borderId="11" xfId="0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/>
    </xf>
    <xf numFmtId="0" fontId="8" fillId="9" borderId="14" xfId="0" applyFont="1" applyFill="1" applyBorder="1" applyAlignment="1">
      <alignment horizontal="center"/>
    </xf>
    <xf numFmtId="0" fontId="8" fillId="9" borderId="10" xfId="0" applyFont="1" applyFill="1" applyBorder="1" applyAlignment="1">
      <alignment horizontal="center"/>
    </xf>
    <xf numFmtId="2" fontId="8" fillId="13" borderId="8" xfId="0" applyNumberFormat="1" applyFont="1" applyFill="1" applyBorder="1" applyAlignment="1">
      <alignment horizontal="left" vertical="top" wrapText="1"/>
    </xf>
    <xf numFmtId="2" fontId="8" fillId="13" borderId="0" xfId="0" applyNumberFormat="1" applyFont="1" applyFill="1" applyBorder="1" applyAlignment="1">
      <alignment horizontal="left" vertical="top" wrapText="1"/>
    </xf>
    <xf numFmtId="2" fontId="8" fillId="13" borderId="9" xfId="0" applyNumberFormat="1" applyFont="1" applyFill="1" applyBorder="1" applyAlignment="1">
      <alignment horizontal="left" vertical="top" wrapText="1"/>
    </xf>
    <xf numFmtId="2" fontId="8" fillId="13" borderId="12" xfId="0" applyNumberFormat="1" applyFont="1" applyFill="1" applyBorder="1" applyAlignment="1">
      <alignment horizontal="left" vertical="top" wrapText="1"/>
    </xf>
    <xf numFmtId="2" fontId="8" fillId="13" borderId="11" xfId="0" applyNumberFormat="1" applyFont="1" applyFill="1" applyBorder="1" applyAlignment="1">
      <alignment horizontal="left" vertical="top" wrapText="1"/>
    </xf>
    <xf numFmtId="2" fontId="8" fillId="13" borderId="13" xfId="0" applyNumberFormat="1" applyFont="1" applyFill="1" applyBorder="1" applyAlignment="1">
      <alignment horizontal="left" vertical="top" wrapText="1"/>
    </xf>
    <xf numFmtId="0" fontId="5" fillId="13" borderId="8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0" fontId="5" fillId="13" borderId="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4" borderId="6" xfId="4" applyFont="1" applyFill="1" applyBorder="1" applyAlignment="1">
      <alignment horizontal="center" vertical="center"/>
    </xf>
    <xf numFmtId="0" fontId="9" fillId="4" borderId="13" xfId="4" applyFont="1" applyFill="1" applyBorder="1" applyAlignment="1">
      <alignment horizontal="center" vertical="center"/>
    </xf>
    <xf numFmtId="0" fontId="9" fillId="4" borderId="4" xfId="4" applyFont="1" applyFill="1" applyBorder="1" applyAlignment="1">
      <alignment horizontal="center" vertical="center"/>
    </xf>
    <xf numFmtId="0" fontId="9" fillId="4" borderId="14" xfId="4" applyFont="1" applyFill="1" applyBorder="1" applyAlignment="1">
      <alignment horizontal="center" vertical="center"/>
    </xf>
    <xf numFmtId="0" fontId="9" fillId="4" borderId="10" xfId="4" applyFont="1" applyFill="1" applyBorder="1" applyAlignment="1">
      <alignment horizontal="center" vertical="center"/>
    </xf>
    <xf numFmtId="0" fontId="9" fillId="4" borderId="5" xfId="4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 wrapText="1"/>
    </xf>
    <xf numFmtId="0" fontId="3" fillId="9" borderId="0" xfId="4" applyFont="1" applyFill="1" applyBorder="1" applyAlignment="1">
      <alignment horizontal="center"/>
    </xf>
    <xf numFmtId="0" fontId="9" fillId="9" borderId="11" xfId="4" applyFont="1" applyFill="1" applyBorder="1" applyAlignment="1">
      <alignment horizontal="center"/>
    </xf>
    <xf numFmtId="0" fontId="4" fillId="9" borderId="0" xfId="0" applyFont="1" applyFill="1" applyBorder="1" applyAlignment="1">
      <alignment horizontal="center"/>
    </xf>
    <xf numFmtId="17" fontId="4" fillId="9" borderId="0" xfId="0" applyNumberFormat="1" applyFont="1" applyFill="1" applyBorder="1" applyAlignment="1">
      <alignment horizontal="center"/>
    </xf>
    <xf numFmtId="0" fontId="12" fillId="9" borderId="0" xfId="0" applyFont="1" applyFill="1" applyBorder="1" applyAlignment="1">
      <alignment horizontal="center"/>
    </xf>
    <xf numFmtId="0" fontId="12" fillId="9" borderId="9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left"/>
    </xf>
    <xf numFmtId="0" fontId="15" fillId="9" borderId="14" xfId="0" applyFont="1" applyFill="1" applyBorder="1" applyAlignment="1">
      <alignment horizontal="left"/>
    </xf>
    <xf numFmtId="0" fontId="15" fillId="9" borderId="4" xfId="0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16" xfId="0" applyFont="1" applyFill="1" applyBorder="1" applyAlignment="1">
      <alignment horizontal="center" vertical="center"/>
    </xf>
    <xf numFmtId="0" fontId="15" fillId="9" borderId="17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2" fontId="20" fillId="9" borderId="0" xfId="0" applyNumberFormat="1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20" fillId="9" borderId="0" xfId="0" applyFont="1" applyFill="1" applyBorder="1" applyAlignment="1">
      <alignment horizontal="center" vertical="center"/>
    </xf>
    <xf numFmtId="0" fontId="20" fillId="9" borderId="0" xfId="0" applyFont="1" applyFill="1" applyBorder="1" applyAlignment="1">
      <alignment horizontal="center"/>
    </xf>
    <xf numFmtId="2" fontId="20" fillId="17" borderId="8" xfId="0" applyNumberFormat="1" applyFont="1" applyFill="1" applyBorder="1" applyAlignment="1">
      <alignment horizontal="center"/>
    </xf>
    <xf numFmtId="2" fontId="20" fillId="17" borderId="0" xfId="0" applyNumberFormat="1" applyFont="1" applyFill="1" applyBorder="1" applyAlignment="1">
      <alignment horizontal="center"/>
    </xf>
    <xf numFmtId="2" fontId="20" fillId="17" borderId="9" xfId="0" applyNumberFormat="1" applyFont="1" applyFill="1" applyBorder="1" applyAlignment="1">
      <alignment horizontal="center"/>
    </xf>
    <xf numFmtId="2" fontId="20" fillId="17" borderId="12" xfId="0" applyNumberFormat="1" applyFont="1" applyFill="1" applyBorder="1" applyAlignment="1">
      <alignment horizontal="center"/>
    </xf>
    <xf numFmtId="2" fontId="20" fillId="17" borderId="11" xfId="0" applyNumberFormat="1" applyFont="1" applyFill="1" applyBorder="1" applyAlignment="1">
      <alignment horizontal="center"/>
    </xf>
    <xf numFmtId="2" fontId="20" fillId="17" borderId="13" xfId="0" applyNumberFormat="1" applyFont="1" applyFill="1" applyBorder="1" applyAlignment="1">
      <alignment horizontal="center"/>
    </xf>
    <xf numFmtId="0" fontId="20" fillId="17" borderId="12" xfId="0" applyFont="1" applyFill="1" applyBorder="1" applyAlignment="1">
      <alignment horizontal="center"/>
    </xf>
    <xf numFmtId="0" fontId="20" fillId="17" borderId="11" xfId="0" applyFont="1" applyFill="1" applyBorder="1" applyAlignment="1">
      <alignment horizontal="center"/>
    </xf>
    <xf numFmtId="0" fontId="20" fillId="17" borderId="13" xfId="0" applyFont="1" applyFill="1" applyBorder="1" applyAlignment="1">
      <alignment horizontal="center"/>
    </xf>
    <xf numFmtId="0" fontId="20" fillId="17" borderId="6" xfId="0" applyFont="1" applyFill="1" applyBorder="1" applyAlignment="1">
      <alignment horizontal="center" vertical="center"/>
    </xf>
    <xf numFmtId="0" fontId="20" fillId="17" borderId="9" xfId="0" applyFont="1" applyFill="1" applyBorder="1" applyAlignment="1">
      <alignment horizontal="center" vertical="center"/>
    </xf>
    <xf numFmtId="0" fontId="20" fillId="17" borderId="13" xfId="0" applyFont="1" applyFill="1" applyBorder="1" applyAlignment="1">
      <alignment horizontal="center" vertical="center"/>
    </xf>
    <xf numFmtId="0" fontId="13" fillId="9" borderId="11" xfId="2" applyFont="1" applyFill="1" applyBorder="1" applyAlignment="1" applyProtection="1">
      <alignment horizontal="left" vertical="center"/>
    </xf>
    <xf numFmtId="49" fontId="20" fillId="9" borderId="5" xfId="7" applyNumberFormat="1" applyFont="1" applyFill="1" applyBorder="1" applyAlignment="1">
      <alignment horizontal="center" vertical="center"/>
    </xf>
    <xf numFmtId="49" fontId="20" fillId="9" borderId="7" xfId="7" applyNumberFormat="1" applyFont="1" applyFill="1" applyBorder="1" applyAlignment="1">
      <alignment horizontal="center" vertical="center"/>
    </xf>
    <xf numFmtId="49" fontId="20" fillId="9" borderId="6" xfId="7" applyNumberFormat="1" applyFont="1" applyFill="1" applyBorder="1" applyAlignment="1">
      <alignment horizontal="center" vertical="center"/>
    </xf>
    <xf numFmtId="49" fontId="20" fillId="9" borderId="8" xfId="7" applyNumberFormat="1" applyFont="1" applyFill="1" applyBorder="1" applyAlignment="1">
      <alignment horizontal="center" vertical="center"/>
    </xf>
    <xf numFmtId="49" fontId="20" fillId="9" borderId="0" xfId="7" applyNumberFormat="1" applyFont="1" applyFill="1" applyBorder="1" applyAlignment="1">
      <alignment horizontal="center" vertical="center"/>
    </xf>
    <xf numFmtId="49" fontId="20" fillId="9" borderId="9" xfId="7" applyNumberFormat="1" applyFont="1" applyFill="1" applyBorder="1" applyAlignment="1">
      <alignment horizontal="center" vertical="center"/>
    </xf>
    <xf numFmtId="49" fontId="20" fillId="4" borderId="7" xfId="6" applyNumberFormat="1" applyFont="1" applyFill="1" applyBorder="1" applyAlignment="1">
      <alignment horizontal="center" vertical="center" wrapText="1"/>
    </xf>
    <xf numFmtId="49" fontId="20" fillId="4" borderId="6" xfId="6" applyNumberFormat="1" applyFont="1" applyFill="1" applyBorder="1" applyAlignment="1">
      <alignment horizontal="center" vertical="center" wrapText="1"/>
    </xf>
    <xf numFmtId="49" fontId="20" fillId="4" borderId="11" xfId="6" applyNumberFormat="1" applyFont="1" applyFill="1" applyBorder="1" applyAlignment="1">
      <alignment horizontal="center" vertical="center" wrapText="1"/>
    </xf>
    <xf numFmtId="49" fontId="20" fillId="4" borderId="13" xfId="6" applyNumberFormat="1" applyFont="1" applyFill="1" applyBorder="1" applyAlignment="1">
      <alignment horizontal="center" vertical="center" wrapText="1"/>
    </xf>
    <xf numFmtId="49" fontId="20" fillId="4" borderId="4" xfId="6" applyNumberFormat="1" applyFont="1" applyFill="1" applyBorder="1" applyAlignment="1">
      <alignment horizontal="center" vertical="center" wrapText="1"/>
    </xf>
    <xf numFmtId="49" fontId="20" fillId="4" borderId="10" xfId="6" applyNumberFormat="1" applyFont="1" applyFill="1" applyBorder="1" applyAlignment="1">
      <alignment horizontal="center" vertical="center" wrapText="1"/>
    </xf>
    <xf numFmtId="49" fontId="20" fillId="4" borderId="5" xfId="6" applyNumberFormat="1" applyFont="1" applyFill="1" applyBorder="1" applyAlignment="1">
      <alignment horizontal="center" vertical="center" wrapText="1"/>
    </xf>
    <xf numFmtId="49" fontId="20" fillId="4" borderId="12" xfId="6" applyNumberFormat="1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17" fontId="9" fillId="3" borderId="35" xfId="0" quotePrefix="1" applyNumberFormat="1" applyFont="1" applyFill="1" applyBorder="1" applyAlignment="1">
      <alignment horizontal="center"/>
    </xf>
    <xf numFmtId="17" fontId="9" fillId="3" borderId="21" xfId="0" applyNumberFormat="1" applyFont="1" applyFill="1" applyBorder="1" applyAlignment="1">
      <alignment horizontal="center"/>
    </xf>
    <xf numFmtId="3" fontId="3" fillId="9" borderId="8" xfId="0" applyNumberFormat="1" applyFont="1" applyFill="1" applyBorder="1" applyAlignment="1">
      <alignment horizontal="center"/>
    </xf>
    <xf numFmtId="3" fontId="3" fillId="9" borderId="0" xfId="0" applyNumberFormat="1" applyFont="1" applyFill="1" applyBorder="1" applyAlignment="1">
      <alignment horizontal="center"/>
    </xf>
    <xf numFmtId="3" fontId="3" fillId="9" borderId="9" xfId="0" applyNumberFormat="1" applyFont="1" applyFill="1" applyBorder="1" applyAlignment="1">
      <alignment horizontal="center"/>
    </xf>
    <xf numFmtId="17" fontId="9" fillId="3" borderId="35" xfId="0" applyNumberFormat="1" applyFont="1" applyFill="1" applyBorder="1" applyAlignment="1">
      <alignment horizontal="center"/>
    </xf>
    <xf numFmtId="1" fontId="9" fillId="3" borderId="35" xfId="0" applyNumberFormat="1" applyFont="1" applyFill="1" applyBorder="1" applyAlignment="1">
      <alignment horizontal="center" vertical="center"/>
    </xf>
    <xf numFmtId="1" fontId="9" fillId="3" borderId="21" xfId="0" applyNumberFormat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  <xf numFmtId="0" fontId="9" fillId="3" borderId="14" xfId="0" applyNumberFormat="1" applyFont="1" applyFill="1" applyBorder="1" applyAlignment="1">
      <alignment horizontal="center" vertical="center"/>
    </xf>
    <xf numFmtId="49" fontId="20" fillId="9" borderId="0" xfId="6" applyNumberFormat="1" applyFont="1" applyFill="1" applyBorder="1" applyAlignment="1">
      <alignment horizontal="center" vertical="center" wrapText="1"/>
    </xf>
    <xf numFmtId="49" fontId="9" fillId="3" borderId="35" xfId="0" applyNumberFormat="1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center" vertical="center"/>
    </xf>
    <xf numFmtId="49" fontId="9" fillId="3" borderId="22" xfId="0" applyNumberFormat="1" applyFont="1" applyFill="1" applyBorder="1" applyAlignment="1">
      <alignment horizontal="center" vertical="center"/>
    </xf>
    <xf numFmtId="0" fontId="0" fillId="0" borderId="21" xfId="0" applyBorder="1"/>
    <xf numFmtId="3" fontId="3" fillId="9" borderId="0" xfId="0" applyNumberFormat="1" applyFont="1" applyFill="1" applyAlignment="1">
      <alignment horizontal="center"/>
    </xf>
    <xf numFmtId="0" fontId="13" fillId="9" borderId="35" xfId="0" applyFont="1" applyFill="1" applyBorder="1" applyAlignment="1">
      <alignment horizontal="center"/>
    </xf>
    <xf numFmtId="0" fontId="13" fillId="9" borderId="21" xfId="0" applyFont="1" applyFill="1" applyBorder="1" applyAlignment="1">
      <alignment horizontal="center"/>
    </xf>
    <xf numFmtId="0" fontId="13" fillId="9" borderId="22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/>
    </xf>
    <xf numFmtId="0" fontId="9" fillId="9" borderId="0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75" fillId="20" borderId="0" xfId="0" applyFont="1" applyFill="1" applyAlignment="1">
      <alignment horizontal="center"/>
    </xf>
    <xf numFmtId="0" fontId="29" fillId="9" borderId="5" xfId="0" applyFont="1" applyFill="1" applyBorder="1" applyAlignment="1">
      <alignment horizontal="center"/>
    </xf>
    <xf numFmtId="0" fontId="29" fillId="9" borderId="7" xfId="0" applyFont="1" applyFill="1" applyBorder="1" applyAlignment="1">
      <alignment horizontal="center"/>
    </xf>
    <xf numFmtId="0" fontId="29" fillId="9" borderId="6" xfId="0" applyFont="1" applyFill="1" applyBorder="1" applyAlignment="1">
      <alignment horizontal="center"/>
    </xf>
    <xf numFmtId="0" fontId="45" fillId="9" borderId="5" xfId="0" applyFont="1" applyFill="1" applyBorder="1" applyAlignment="1">
      <alignment horizontal="center"/>
    </xf>
    <xf numFmtId="0" fontId="45" fillId="9" borderId="7" xfId="0" applyFont="1" applyFill="1" applyBorder="1" applyAlignment="1">
      <alignment horizontal="center"/>
    </xf>
    <xf numFmtId="0" fontId="45" fillId="9" borderId="6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6" fillId="9" borderId="16" xfId="0" applyFont="1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/>
    </xf>
    <xf numFmtId="0" fontId="9" fillId="9" borderId="35" xfId="0" applyFont="1" applyFill="1" applyBorder="1" applyAlignment="1">
      <alignment horizontal="center"/>
    </xf>
    <xf numFmtId="0" fontId="9" fillId="9" borderId="21" xfId="0" applyFont="1" applyFill="1" applyBorder="1" applyAlignment="1">
      <alignment horizontal="center"/>
    </xf>
    <xf numFmtId="0" fontId="9" fillId="9" borderId="22" xfId="0" applyFont="1" applyFill="1" applyBorder="1" applyAlignment="1">
      <alignment horizontal="center"/>
    </xf>
    <xf numFmtId="0" fontId="6" fillId="9" borderId="29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0" fillId="4" borderId="9" xfId="0" applyFill="1" applyBorder="1"/>
    <xf numFmtId="49" fontId="9" fillId="4" borderId="3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 vertical="center"/>
    </xf>
    <xf numFmtId="1" fontId="9" fillId="4" borderId="3" xfId="0" applyNumberFormat="1" applyFont="1" applyFill="1" applyBorder="1" applyAlignment="1">
      <alignment horizontal="center"/>
    </xf>
    <xf numFmtId="1" fontId="9" fillId="4" borderId="4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9" fillId="4" borderId="9" xfId="0" applyFont="1" applyFill="1" applyBorder="1" applyAlignment="1">
      <alignment horizontal="center"/>
    </xf>
    <xf numFmtId="49" fontId="9" fillId="4" borderId="10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49" fontId="9" fillId="4" borderId="4" xfId="0" applyNumberFormat="1" applyFont="1" applyFill="1" applyBorder="1" applyAlignment="1">
      <alignment horizontal="center"/>
    </xf>
    <xf numFmtId="49" fontId="9" fillId="4" borderId="14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9" fillId="4" borderId="14" xfId="0" applyNumberFormat="1" applyFont="1" applyFill="1" applyBorder="1" applyAlignment="1">
      <alignment horizontal="center"/>
    </xf>
    <xf numFmtId="0" fontId="9" fillId="4" borderId="10" xfId="0" applyNumberFormat="1" applyFont="1" applyFill="1" applyBorder="1" applyAlignment="1">
      <alignment horizontal="center"/>
    </xf>
    <xf numFmtId="0" fontId="74" fillId="0" borderId="0" xfId="0" applyFont="1" applyAlignment="1">
      <alignment horizontal="center"/>
    </xf>
    <xf numFmtId="0" fontId="1" fillId="22" borderId="4" xfId="0" applyFont="1" applyFill="1" applyBorder="1" applyAlignment="1">
      <alignment horizontal="center" vertical="center"/>
    </xf>
    <xf numFmtId="0" fontId="1" fillId="22" borderId="10" xfId="0" applyFont="1" applyFill="1" applyBorder="1" applyAlignment="1">
      <alignment horizontal="center" vertical="center"/>
    </xf>
    <xf numFmtId="0" fontId="1" fillId="22" borderId="16" xfId="0" applyFont="1" applyFill="1" applyBorder="1" applyAlignment="1">
      <alignment horizontal="center" vertical="center"/>
    </xf>
    <xf numFmtId="0" fontId="1" fillId="22" borderId="25" xfId="0" applyFont="1" applyFill="1" applyBorder="1" applyAlignment="1">
      <alignment horizontal="center" vertical="center"/>
    </xf>
    <xf numFmtId="0" fontId="1" fillId="22" borderId="7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22" borderId="30" xfId="0" applyFont="1" applyFill="1" applyBorder="1" applyAlignment="1">
      <alignment horizontal="center" vertical="center" wrapText="1"/>
    </xf>
    <xf numFmtId="0" fontId="1" fillId="22" borderId="9" xfId="0" applyFont="1" applyFill="1" applyBorder="1" applyAlignment="1">
      <alignment horizontal="center" vertical="center" wrapText="1"/>
    </xf>
    <xf numFmtId="0" fontId="1" fillId="22" borderId="24" xfId="0" applyFont="1" applyFill="1" applyBorder="1" applyAlignment="1">
      <alignment horizontal="center" vertical="center" wrapText="1"/>
    </xf>
    <xf numFmtId="0" fontId="1" fillId="22" borderId="35" xfId="0" applyFont="1" applyFill="1" applyBorder="1" applyAlignment="1">
      <alignment horizontal="center" vertical="center"/>
    </xf>
    <xf numFmtId="0" fontId="1" fillId="22" borderId="21" xfId="0" applyFont="1" applyFill="1" applyBorder="1" applyAlignment="1">
      <alignment horizontal="center" vertical="center"/>
    </xf>
    <xf numFmtId="0" fontId="1" fillId="22" borderId="22" xfId="0" applyFont="1" applyFill="1" applyBorder="1" applyAlignment="1">
      <alignment horizontal="center" vertical="center"/>
    </xf>
    <xf numFmtId="0" fontId="1" fillId="22" borderId="29" xfId="0" applyFont="1" applyFill="1" applyBorder="1" applyAlignment="1">
      <alignment horizontal="center" vertical="center" wrapText="1"/>
    </xf>
    <xf numFmtId="0" fontId="1" fillId="22" borderId="17" xfId="0" applyFont="1" applyFill="1" applyBorder="1" applyAlignment="1">
      <alignment horizontal="center" vertical="center" wrapText="1"/>
    </xf>
    <xf numFmtId="0" fontId="1" fillId="22" borderId="2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4" fillId="20" borderId="0" xfId="0" applyFont="1" applyFill="1" applyAlignment="1">
      <alignment horizontal="center"/>
    </xf>
    <xf numFmtId="0" fontId="9" fillId="18" borderId="20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left" vertical="center" wrapText="1"/>
    </xf>
    <xf numFmtId="0" fontId="9" fillId="18" borderId="30" xfId="0" applyFont="1" applyFill="1" applyBorder="1" applyAlignment="1">
      <alignment horizontal="center" vertical="center" wrapText="1"/>
    </xf>
    <xf numFmtId="0" fontId="9" fillId="18" borderId="24" xfId="0" applyFont="1" applyFill="1" applyBorder="1" applyAlignment="1">
      <alignment horizontal="center" vertical="center" wrapText="1"/>
    </xf>
    <xf numFmtId="0" fontId="9" fillId="18" borderId="29" xfId="0" applyFont="1" applyFill="1" applyBorder="1" applyAlignment="1">
      <alignment horizontal="center" vertical="center" wrapText="1"/>
    </xf>
    <xf numFmtId="0" fontId="9" fillId="18" borderId="25" xfId="0" applyFont="1" applyFill="1" applyBorder="1" applyAlignment="1">
      <alignment horizontal="center" vertical="center" wrapText="1"/>
    </xf>
    <xf numFmtId="0" fontId="9" fillId="18" borderId="19" xfId="0" applyFont="1" applyFill="1" applyBorder="1" applyAlignment="1">
      <alignment horizontal="center"/>
    </xf>
    <xf numFmtId="0" fontId="9" fillId="18" borderId="2" xfId="0" applyFont="1" applyFill="1" applyBorder="1" applyAlignment="1">
      <alignment horizontal="center"/>
    </xf>
    <xf numFmtId="0" fontId="9" fillId="23" borderId="30" xfId="0" applyFont="1" applyFill="1" applyBorder="1" applyAlignment="1">
      <alignment horizontal="center" vertical="center"/>
    </xf>
    <xf numFmtId="0" fontId="9" fillId="23" borderId="9" xfId="0" applyFont="1" applyFill="1" applyBorder="1" applyAlignment="1">
      <alignment horizontal="center" vertical="center"/>
    </xf>
    <xf numFmtId="0" fontId="9" fillId="23" borderId="24" xfId="0" applyFont="1" applyFill="1" applyBorder="1" applyAlignment="1">
      <alignment horizontal="center" vertical="center"/>
    </xf>
    <xf numFmtId="175" fontId="9" fillId="23" borderId="54" xfId="9" applyNumberFormat="1" applyFont="1" applyFill="1" applyBorder="1" applyAlignment="1" applyProtection="1">
      <alignment horizontal="center" vertical="center"/>
    </xf>
    <xf numFmtId="175" fontId="9" fillId="23" borderId="59" xfId="9" applyNumberFormat="1" applyFont="1" applyFill="1" applyBorder="1" applyAlignment="1" applyProtection="1">
      <alignment horizontal="center" vertical="center"/>
    </xf>
    <xf numFmtId="178" fontId="9" fillId="23" borderId="63" xfId="9" applyNumberFormat="1" applyFont="1" applyFill="1" applyBorder="1" applyAlignment="1">
      <alignment horizontal="center" vertical="center"/>
    </xf>
    <xf numFmtId="178" fontId="9" fillId="23" borderId="46" xfId="9" applyNumberFormat="1" applyFont="1" applyFill="1" applyBorder="1" applyAlignment="1">
      <alignment horizontal="center" vertical="center"/>
    </xf>
    <xf numFmtId="178" fontId="9" fillId="23" borderId="29" xfId="9" applyNumberFormat="1" applyFont="1" applyFill="1" applyBorder="1" applyAlignment="1">
      <alignment horizontal="center" vertical="center"/>
    </xf>
    <xf numFmtId="178" fontId="9" fillId="23" borderId="17" xfId="9" applyNumberFormat="1" applyFont="1" applyFill="1" applyBorder="1" applyAlignment="1">
      <alignment horizontal="center" vertical="center"/>
    </xf>
    <xf numFmtId="175" fontId="9" fillId="23" borderId="64" xfId="9" applyNumberFormat="1" applyFont="1" applyFill="1" applyBorder="1" applyAlignment="1" applyProtection="1">
      <alignment horizontal="center" vertical="center"/>
    </xf>
    <xf numFmtId="175" fontId="9" fillId="23" borderId="60" xfId="9" applyNumberFormat="1" applyFont="1" applyFill="1" applyBorder="1" applyAlignment="1" applyProtection="1">
      <alignment horizontal="center" vertical="center"/>
    </xf>
    <xf numFmtId="178" fontId="9" fillId="23" borderId="30" xfId="9" applyNumberFormat="1" applyFont="1" applyFill="1" applyBorder="1" applyAlignment="1">
      <alignment horizontal="center" vertical="center"/>
    </xf>
    <xf numFmtId="178" fontId="9" fillId="23" borderId="9" xfId="9" applyNumberFormat="1" applyFont="1" applyFill="1" applyBorder="1" applyAlignment="1">
      <alignment horizontal="center" vertical="center"/>
    </xf>
    <xf numFmtId="173" fontId="9" fillId="23" borderId="29" xfId="9" applyNumberFormat="1" applyFont="1" applyFill="1" applyBorder="1" applyAlignment="1" applyProtection="1">
      <alignment horizontal="center" vertical="center"/>
    </xf>
    <xf numFmtId="173" fontId="9" fillId="23" borderId="17" xfId="9" applyNumberFormat="1" applyFont="1" applyFill="1" applyBorder="1" applyAlignment="1" applyProtection="1">
      <alignment horizontal="center" vertical="center"/>
    </xf>
    <xf numFmtId="0" fontId="31" fillId="0" borderId="6" xfId="12" applyFont="1" applyBorder="1" applyAlignment="1">
      <alignment horizontal="center" vertical="center" wrapText="1"/>
    </xf>
    <xf numFmtId="0" fontId="31" fillId="0" borderId="9" xfId="12" applyFont="1" applyBorder="1" applyAlignment="1">
      <alignment horizontal="center" vertical="center" wrapText="1"/>
    </xf>
    <xf numFmtId="0" fontId="31" fillId="0" borderId="13" xfId="12" applyFont="1" applyBorder="1" applyAlignment="1">
      <alignment horizontal="center" vertical="center" wrapText="1"/>
    </xf>
    <xf numFmtId="167" fontId="9" fillId="0" borderId="6" xfId="9" applyNumberFormat="1" applyFont="1" applyFill="1" applyBorder="1" applyAlignment="1" applyProtection="1">
      <alignment horizontal="center" vertical="center"/>
    </xf>
    <xf numFmtId="167" fontId="9" fillId="0" borderId="9" xfId="9" applyNumberFormat="1" applyFont="1" applyFill="1" applyBorder="1" applyAlignment="1" applyProtection="1">
      <alignment horizontal="center" vertical="center"/>
    </xf>
    <xf numFmtId="167" fontId="9" fillId="0" borderId="13" xfId="9" applyNumberFormat="1" applyFont="1" applyFill="1" applyBorder="1" applyAlignment="1" applyProtection="1">
      <alignment horizontal="center" vertical="center"/>
    </xf>
    <xf numFmtId="167" fontId="9" fillId="7" borderId="6" xfId="9" applyNumberFormat="1" applyFont="1" applyFill="1" applyBorder="1" applyAlignment="1" applyProtection="1">
      <alignment horizontal="center" vertical="center"/>
    </xf>
    <xf numFmtId="167" fontId="9" fillId="7" borderId="9" xfId="9" applyNumberFormat="1" applyFont="1" applyFill="1" applyBorder="1" applyAlignment="1" applyProtection="1">
      <alignment horizontal="center" vertical="center"/>
    </xf>
    <xf numFmtId="167" fontId="9" fillId="7" borderId="13" xfId="9" applyNumberFormat="1" applyFont="1" applyFill="1" applyBorder="1" applyAlignment="1" applyProtection="1">
      <alignment horizontal="center" vertical="center"/>
    </xf>
    <xf numFmtId="0" fontId="31" fillId="7" borderId="9" xfId="12" applyFont="1" applyFill="1" applyBorder="1" applyAlignment="1">
      <alignment horizontal="center" vertical="center" wrapText="1"/>
    </xf>
    <xf numFmtId="0" fontId="31" fillId="7" borderId="24" xfId="12" applyFont="1" applyFill="1" applyBorder="1" applyAlignment="1">
      <alignment horizontal="center" vertical="center" wrapText="1"/>
    </xf>
    <xf numFmtId="0" fontId="75" fillId="8" borderId="0" xfId="0" applyFont="1" applyFill="1" applyAlignment="1">
      <alignment horizontal="center"/>
    </xf>
    <xf numFmtId="0" fontId="9" fillId="23" borderId="56" xfId="0" applyFont="1" applyFill="1" applyBorder="1" applyAlignment="1">
      <alignment horizontal="center" vertical="center"/>
    </xf>
    <xf numFmtId="0" fontId="9" fillId="23" borderId="20" xfId="0" applyFont="1" applyFill="1" applyBorder="1" applyAlignment="1">
      <alignment horizontal="center" vertical="center"/>
    </xf>
    <xf numFmtId="0" fontId="9" fillId="23" borderId="40" xfId="0" applyFont="1" applyFill="1" applyBorder="1" applyAlignment="1">
      <alignment horizontal="center" vertical="center"/>
    </xf>
    <xf numFmtId="0" fontId="9" fillId="23" borderId="0" xfId="0" applyFont="1" applyFill="1" applyBorder="1" applyAlignment="1">
      <alignment horizontal="center" vertical="center"/>
    </xf>
    <xf numFmtId="3" fontId="3" fillId="9" borderId="0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9" fillId="23" borderId="1" xfId="0" applyFont="1" applyFill="1" applyBorder="1" applyAlignment="1">
      <alignment horizontal="center" vertical="center"/>
    </xf>
    <xf numFmtId="0" fontId="9" fillId="23" borderId="53" xfId="0" applyFont="1" applyFill="1" applyBorder="1" applyAlignment="1">
      <alignment horizontal="center" vertical="center"/>
    </xf>
    <xf numFmtId="0" fontId="9" fillId="23" borderId="33" xfId="0" applyFont="1" applyFill="1" applyBorder="1" applyAlignment="1">
      <alignment horizontal="center" vertical="center"/>
    </xf>
    <xf numFmtId="0" fontId="9" fillId="23" borderId="54" xfId="0" applyFont="1" applyFill="1" applyBorder="1" applyAlignment="1">
      <alignment horizontal="center" vertical="center"/>
    </xf>
    <xf numFmtId="0" fontId="1" fillId="23" borderId="44" xfId="0" applyFont="1" applyFill="1" applyBorder="1" applyAlignment="1">
      <alignment horizontal="center" vertical="center"/>
    </xf>
    <xf numFmtId="0" fontId="1" fillId="23" borderId="11" xfId="0" applyFont="1" applyFill="1" applyBorder="1" applyAlignment="1">
      <alignment horizontal="center" vertical="center"/>
    </xf>
    <xf numFmtId="0" fontId="1" fillId="23" borderId="38" xfId="0" applyFont="1" applyFill="1" applyBorder="1" applyAlignment="1">
      <alignment horizontal="center" vertical="center"/>
    </xf>
    <xf numFmtId="175" fontId="9" fillId="23" borderId="33" xfId="9" applyNumberFormat="1" applyFont="1" applyFill="1" applyBorder="1" applyAlignment="1" applyProtection="1">
      <alignment horizontal="center" vertical="center"/>
    </xf>
    <xf numFmtId="175" fontId="9" fillId="23" borderId="1" xfId="9" applyNumberFormat="1" applyFont="1" applyFill="1" applyBorder="1" applyAlignment="1" applyProtection="1">
      <alignment horizontal="center" vertical="center"/>
    </xf>
    <xf numFmtId="2" fontId="9" fillId="23" borderId="71" xfId="9" applyNumberFormat="1" applyFont="1" applyFill="1" applyBorder="1" applyAlignment="1">
      <alignment horizontal="center" vertical="center"/>
    </xf>
    <xf numFmtId="2" fontId="9" fillId="23" borderId="21" xfId="9" applyNumberFormat="1" applyFont="1" applyFill="1" applyBorder="1" applyAlignment="1">
      <alignment horizontal="center" vertical="center"/>
    </xf>
    <xf numFmtId="2" fontId="9" fillId="23" borderId="41" xfId="9" applyNumberFormat="1" applyFont="1" applyFill="1" applyBorder="1" applyAlignment="1">
      <alignment horizontal="center" vertical="center"/>
    </xf>
    <xf numFmtId="2" fontId="9" fillId="23" borderId="50" xfId="9" applyNumberFormat="1" applyFont="1" applyFill="1" applyBorder="1" applyAlignment="1" applyProtection="1">
      <alignment horizontal="center" vertical="center"/>
    </xf>
    <xf numFmtId="2" fontId="9" fillId="23" borderId="1" xfId="9" applyNumberFormat="1" applyFont="1" applyFill="1" applyBorder="1" applyAlignment="1" applyProtection="1">
      <alignment horizontal="center" vertical="center"/>
    </xf>
    <xf numFmtId="2" fontId="9" fillId="23" borderId="37" xfId="9" applyNumberFormat="1" applyFont="1" applyFill="1" applyBorder="1" applyAlignment="1" applyProtection="1">
      <alignment horizontal="center" vertical="center"/>
    </xf>
    <xf numFmtId="0" fontId="9" fillId="23" borderId="37" xfId="0" applyFont="1" applyFill="1" applyBorder="1" applyAlignment="1">
      <alignment horizontal="center" vertical="center"/>
    </xf>
    <xf numFmtId="173" fontId="9" fillId="23" borderId="63" xfId="9" applyNumberFormat="1" applyFont="1" applyFill="1" applyBorder="1" applyAlignment="1" applyProtection="1">
      <alignment horizontal="center" vertical="center"/>
    </xf>
    <xf numFmtId="173" fontId="9" fillId="23" borderId="42" xfId="9" applyNumberFormat="1" applyFont="1" applyFill="1" applyBorder="1" applyAlignment="1" applyProtection="1">
      <alignment horizontal="center" vertical="center"/>
    </xf>
    <xf numFmtId="173" fontId="9" fillId="23" borderId="25" xfId="9" applyNumberFormat="1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1" fillId="0" borderId="6" xfId="12" applyFont="1" applyBorder="1" applyAlignment="1">
      <alignment horizontal="center" vertical="center"/>
    </xf>
    <xf numFmtId="0" fontId="31" fillId="0" borderId="9" xfId="12" applyFont="1" applyBorder="1" applyAlignment="1">
      <alignment horizontal="center" vertical="center"/>
    </xf>
    <xf numFmtId="0" fontId="31" fillId="0" borderId="24" xfId="12" applyFont="1" applyBorder="1" applyAlignment="1">
      <alignment horizontal="center" vertical="center"/>
    </xf>
    <xf numFmtId="0" fontId="5" fillId="8" borderId="0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1" fillId="23" borderId="50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0" fontId="1" fillId="23" borderId="37" xfId="0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/>
    </xf>
    <xf numFmtId="0" fontId="34" fillId="3" borderId="3" xfId="0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/>
    </xf>
    <xf numFmtId="49" fontId="9" fillId="5" borderId="4" xfId="0" applyNumberFormat="1" applyFont="1" applyFill="1" applyBorder="1" applyAlignment="1">
      <alignment horizontal="center"/>
    </xf>
    <xf numFmtId="49" fontId="9" fillId="5" borderId="10" xfId="0" applyNumberFormat="1" applyFont="1" applyFill="1" applyBorder="1" applyAlignment="1">
      <alignment horizontal="center"/>
    </xf>
    <xf numFmtId="49" fontId="9" fillId="5" borderId="14" xfId="0" applyNumberFormat="1" applyFont="1" applyFill="1" applyBorder="1" applyAlignment="1">
      <alignment horizontal="center"/>
    </xf>
    <xf numFmtId="0" fontId="34" fillId="3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3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68" fontId="6" fillId="9" borderId="6" xfId="9" applyNumberFormat="1" applyFont="1" applyFill="1" applyBorder="1" applyAlignment="1">
      <alignment horizontal="right"/>
    </xf>
    <xf numFmtId="0" fontId="76" fillId="22" borderId="9" xfId="0" applyFont="1" applyFill="1" applyBorder="1" applyAlignment="1">
      <alignment horizontal="justify"/>
    </xf>
    <xf numFmtId="0" fontId="1" fillId="8" borderId="0" xfId="0" applyFont="1" applyFill="1" applyAlignment="1">
      <alignment horizontal="center"/>
    </xf>
    <xf numFmtId="0" fontId="5" fillId="9" borderId="8" xfId="0" applyFont="1" applyFill="1" applyBorder="1" applyAlignment="1">
      <alignment horizontal="centerContinuous"/>
    </xf>
    <xf numFmtId="0" fontId="1" fillId="8" borderId="0" xfId="0" applyFont="1" applyFill="1" applyBorder="1" applyAlignment="1">
      <alignment horizontal="center"/>
    </xf>
    <xf numFmtId="0" fontId="5" fillId="20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4">
    <cellStyle name="Hyperlink" xfId="1" builtinId="8"/>
    <cellStyle name="Hyperlink_Ranking do Agronegócio-Valores" xfId="2"/>
    <cellStyle name="Normal" xfId="0" builtinId="0"/>
    <cellStyle name="Normal 2" xfId="13"/>
    <cellStyle name="Normal 2_Produção CONAB - 1999 a 2014" xfId="12"/>
    <cellStyle name="Normal_Balança Janeiro-02" xfId="3"/>
    <cellStyle name="Normal_Estoques privados e público-CONAB-04-13" xfId="4"/>
    <cellStyle name="Normal_Informe Café - Julho-02" xfId="5"/>
    <cellStyle name="Normal_Plan1_1" xfId="6"/>
    <cellStyle name="Normal_Ranking do Agronegócio-Valores" xfId="7"/>
    <cellStyle name="Porcentagem" xfId="8" builtinId="5"/>
    <cellStyle name="Separador de milhares" xfId="9" builtinId="3"/>
    <cellStyle name="Separador de milhares_Estoques privados e público-CONAB-04-13" xfId="10"/>
    <cellStyle name="Vírgula 2" xfId="1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6.4616115425434384E-2"/>
          <c:y val="0.13936351706036745"/>
          <c:w val="0.92402245251990789"/>
          <c:h val="0.64969305920096065"/>
        </c:manualLayout>
      </c:layout>
      <c:barChart>
        <c:barDir val="col"/>
        <c:grouping val="clustered"/>
        <c:ser>
          <c:idx val="0"/>
          <c:order val="0"/>
          <c:tx>
            <c:strRef>
              <c:f>Plan1!$A$6</c:f>
              <c:strCache>
                <c:ptCount val="1"/>
                <c:pt idx="0">
                  <c:v>ARÁBICA</c:v>
                </c:pt>
              </c:strCache>
            </c:strRef>
          </c:tx>
          <c:dLbls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Plan1!$B$6:$Q$6</c:f>
              <c:numCache>
                <c:formatCode>#,##0.0</c:formatCode>
                <c:ptCount val="16"/>
                <c:pt idx="0">
                  <c:v>22.5</c:v>
                </c:pt>
                <c:pt idx="1">
                  <c:v>37.9</c:v>
                </c:pt>
                <c:pt idx="2">
                  <c:v>20.100000000000001</c:v>
                </c:pt>
                <c:pt idx="3">
                  <c:v>31.7</c:v>
                </c:pt>
                <c:pt idx="4">
                  <c:v>23.8</c:v>
                </c:pt>
                <c:pt idx="5">
                  <c:v>33</c:v>
                </c:pt>
                <c:pt idx="6">
                  <c:v>25.1</c:v>
                </c:pt>
                <c:pt idx="7" formatCode="_(* #,##0.0_);_(* \(#,##0.0\);_(* &quot;-&quot;_);_(@_)">
                  <c:v>35.5</c:v>
                </c:pt>
                <c:pt idx="8" formatCode="_(* #,##0.0_);_(* \(#,##0.0\);_(* &quot;-&quot;_);_(@_)">
                  <c:v>28.8</c:v>
                </c:pt>
                <c:pt idx="9" formatCode="_(* #,##0.0_);_(* \(#,##0.0\);_(* &quot;-&quot;_);_(@_)">
                  <c:v>36.799999999999997</c:v>
                </c:pt>
                <c:pt idx="10" formatCode="_(* #,##0.0_);_(* \(#,##0.0\);_(* &quot;-&quot;_);_(@_)">
                  <c:v>32.200000000000003</c:v>
                </c:pt>
                <c:pt idx="11" formatCode="_(* #,##0.0_);_(* \(#,##0.0\);_(* &quot;-&quot;_);_(@_)">
                  <c:v>38.299999999999997</c:v>
                </c:pt>
                <c:pt idx="12" formatCode="_(* #,##0.0_);_(* \(#,##0.0\);_(* &quot;-&quot;_);_(@_)">
                  <c:v>38.299999999999997</c:v>
                </c:pt>
                <c:pt idx="13" formatCode="_(* #,##0.0_);_(* \(#,##0.0\);_(* &quot;-&quot;_);_(@_)">
                  <c:v>32.6</c:v>
                </c:pt>
                <c:pt idx="14" formatCode="_(* #,##0.0_);_(* \(#,##0.0\);_(* &quot;-&quot;_);_(@_)">
                  <c:v>32</c:v>
                </c:pt>
                <c:pt idx="15" formatCode="_(* #,##0.0_);_(* \(#,##0.0\);_(* &quot;-&quot;_);_(@_)">
                  <c:v>41.284999999999997</c:v>
                </c:pt>
              </c:numCache>
            </c:numRef>
          </c:val>
        </c:ser>
        <c:ser>
          <c:idx val="1"/>
          <c:order val="1"/>
          <c:tx>
            <c:strRef>
              <c:f>Plan1!$A$7</c:f>
              <c:strCache>
                <c:ptCount val="1"/>
                <c:pt idx="0">
                  <c:v>CONILON</c:v>
                </c:pt>
              </c:strCache>
            </c:strRef>
          </c:tx>
          <c:dLbls>
            <c:dLbl>
              <c:idx val="15"/>
              <c:layout/>
              <c:tx>
                <c:rich>
                  <a:bodyPr/>
                  <a:lstStyle/>
                  <a:p>
                    <a:r>
                      <a:rPr lang="en-US"/>
                      <a:t> 8,3 </a:t>
                    </a:r>
                  </a:p>
                </c:rich>
              </c:tx>
              <c:showVal val="1"/>
            </c:dLbl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Plan1!$B$7:$Q$7</c:f>
              <c:numCache>
                <c:formatCode>#,##0.0</c:formatCode>
                <c:ptCount val="16"/>
                <c:pt idx="0">
                  <c:v>8.8000000000000007</c:v>
                </c:pt>
                <c:pt idx="1">
                  <c:v>10.5</c:v>
                </c:pt>
                <c:pt idx="2">
                  <c:v>8.6999999999999993</c:v>
                </c:pt>
                <c:pt idx="3">
                  <c:v>7.5</c:v>
                </c:pt>
                <c:pt idx="4">
                  <c:v>9.1</c:v>
                </c:pt>
                <c:pt idx="5">
                  <c:v>9.5</c:v>
                </c:pt>
                <c:pt idx="6">
                  <c:v>10.9</c:v>
                </c:pt>
                <c:pt idx="7" formatCode="_(* #,##0.0_);_(* \(#,##0.0\);_(* &quot;-&quot;_);_(@_)">
                  <c:v>10.5</c:v>
                </c:pt>
                <c:pt idx="8" formatCode="_(* #,##0.0_);_(* \(#,##0.0\);_(* &quot;-&quot;_);_(@_)">
                  <c:v>10.6</c:v>
                </c:pt>
                <c:pt idx="9" formatCode="_(* #,##0.0_);_(* \(#,##0.0\);_(* &quot;-&quot;_);_(@_)">
                  <c:v>11.2</c:v>
                </c:pt>
                <c:pt idx="10" formatCode="_(* #,##0.0_);_(* \(#,##0.0\);_(* &quot;-&quot;_);_(@_)">
                  <c:v>11.3</c:v>
                </c:pt>
                <c:pt idx="11" formatCode="_(* #,##0.0_);_(* \(#,##0.0\);_(* &quot;-&quot;_);_(@_)">
                  <c:v>12.5</c:v>
                </c:pt>
                <c:pt idx="12" formatCode="_(* #,##0.0_);_(* \(#,##0.0\);_(* &quot;-&quot;_);_(@_)">
                  <c:v>10.9</c:v>
                </c:pt>
                <c:pt idx="13" formatCode="_(* #,##0.0_);_(* \(#,##0.0\);_(* &quot;-&quot;_);_(@_)">
                  <c:v>13</c:v>
                </c:pt>
                <c:pt idx="14" formatCode="_(* #,##0.0_);_(* \(#,##0.0\);_(* &quot;-&quot;_);_(@_)">
                  <c:v>11.2</c:v>
                </c:pt>
                <c:pt idx="15" formatCode="_(* #,##0.0_);_(* \(#,##0.0\);_(* &quot;-&quot;_);_(@_)">
                  <c:v>8.3539999999999992</c:v>
                </c:pt>
              </c:numCache>
            </c:numRef>
          </c:val>
        </c:ser>
        <c:ser>
          <c:idx val="2"/>
          <c:order val="2"/>
          <c:tx>
            <c:strRef>
              <c:f>Plan1!$A$8</c:f>
              <c:strCache>
                <c:ptCount val="1"/>
                <c:pt idx="0">
                  <c:v>TOTAL</c:v>
                </c:pt>
              </c:strCache>
            </c:strRef>
          </c:tx>
          <c:dLbls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 b="1"/>
                      <a:t>BAIXA</a:t>
                    </a:r>
                  </a:p>
                  <a:p>
                    <a:r>
                      <a:rPr lang="en-US" b="1"/>
                      <a:t> 43,2 </a:t>
                    </a:r>
                  </a:p>
                </c:rich>
              </c:tx>
              <c:showVal val="1"/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US" b="1"/>
                      <a:t> ALTA</a:t>
                    </a:r>
                  </a:p>
                  <a:p>
                    <a:r>
                      <a:rPr lang="en-US" b="1"/>
                      <a:t>49,6 </a:t>
                    </a:r>
                  </a:p>
                </c:rich>
              </c:tx>
              <c:showVal val="1"/>
            </c:dLbl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Plan1!$B$8:$Q$8</c:f>
              <c:numCache>
                <c:formatCode>#,##0.0</c:formatCode>
                <c:ptCount val="16"/>
                <c:pt idx="0">
                  <c:v>31.3</c:v>
                </c:pt>
                <c:pt idx="1">
                  <c:v>48.4</c:v>
                </c:pt>
                <c:pt idx="2">
                  <c:v>28.8</c:v>
                </c:pt>
                <c:pt idx="3">
                  <c:v>39.200000000000003</c:v>
                </c:pt>
                <c:pt idx="4">
                  <c:v>32.9</c:v>
                </c:pt>
                <c:pt idx="5">
                  <c:v>42.5</c:v>
                </c:pt>
                <c:pt idx="6">
                  <c:v>36</c:v>
                </c:pt>
                <c:pt idx="7" formatCode="_(* #,##0.0_);_(* \(#,##0.0\);_(* &quot;-&quot;_);_(@_)">
                  <c:v>46</c:v>
                </c:pt>
                <c:pt idx="8" formatCode="_(* #,##0.0_);_(* \(#,##0.0\);_(* &quot;-&quot;_);_(@_)">
                  <c:v>39.4</c:v>
                </c:pt>
                <c:pt idx="9" formatCode="_(* #,##0.0_);_(* \(#,##0.0\);_(* &quot;-&quot;_);_(@_)">
                  <c:v>48</c:v>
                </c:pt>
                <c:pt idx="10" formatCode="_(* #,##0.0_);_(* \(#,##0.0\);_(* &quot;-&quot;_);_(@_)">
                  <c:v>43.5</c:v>
                </c:pt>
                <c:pt idx="11" formatCode="_(* #,##0.0_);_(* \(#,##0.0\);_(* &quot;-&quot;_);_(@_)">
                  <c:v>50.8</c:v>
                </c:pt>
                <c:pt idx="12" formatCode="_(* #,##0.0_);_(* \(#,##0.0\);_(* &quot;-&quot;_);_(@_)">
                  <c:v>49.199999999999996</c:v>
                </c:pt>
                <c:pt idx="13" formatCode="_(* #,##0.0_);_(* \(#,##0.0\);_(* &quot;-&quot;_);_(@_)">
                  <c:v>45.6</c:v>
                </c:pt>
                <c:pt idx="14" formatCode="_(* #,##0.0_);_(* \(#,##0.0\);_(* &quot;-&quot;_);_(@_)">
                  <c:v>43.2</c:v>
                </c:pt>
                <c:pt idx="15" formatCode="_(* #,##0.0_);_(* \(#,##0.0\);_(* &quot;-&quot;_);_(@_)">
                  <c:v>49.638999999999996</c:v>
                </c:pt>
              </c:numCache>
            </c:numRef>
          </c:val>
        </c:ser>
        <c:dLbls>
          <c:showVal val="1"/>
        </c:dLbls>
        <c:gapWidth val="75"/>
        <c:axId val="66776448"/>
        <c:axId val="63124608"/>
      </c:barChart>
      <c:catAx>
        <c:axId val="66776448"/>
        <c:scaling>
          <c:orientation val="minMax"/>
        </c:scaling>
        <c:axPos val="b"/>
        <c:numFmt formatCode="General" sourceLinked="1"/>
        <c:majorTickMark val="none"/>
        <c:tickLblPos val="nextTo"/>
        <c:crossAx val="63124608"/>
        <c:crosses val="autoZero"/>
        <c:auto val="1"/>
        <c:lblAlgn val="ctr"/>
        <c:lblOffset val="100"/>
      </c:catAx>
      <c:valAx>
        <c:axId val="63124608"/>
        <c:scaling>
          <c:orientation val="minMax"/>
        </c:scaling>
        <c:axPos val="l"/>
        <c:numFmt formatCode="#,##0.0" sourceLinked="1"/>
        <c:maj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66776448"/>
        <c:crosses val="autoZero"/>
        <c:crossBetween val="between"/>
      </c:valAx>
      <c:spPr>
        <a:ln w="9525" cmpd="dbl"/>
      </c:spPr>
    </c:plotArea>
    <c:legend>
      <c:legendPos val="b"/>
      <c:layout/>
    </c:legend>
    <c:plotVisOnly val="1"/>
    <c:dispBlanksAs val="gap"/>
  </c:chart>
  <c:printSettings>
    <c:headerFooter/>
    <c:pageMargins b="0.78740157499999996" l="0.511811024" r="0.511811024" t="0.78740157499999996" header="0.31496062000001818" footer="0.31496062000001818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Volume 2016/15</a:t>
            </a:r>
          </a:p>
        </c:rich>
      </c:tx>
      <c:layout>
        <c:manualLayout>
          <c:xMode val="edge"/>
          <c:yMode val="edge"/>
          <c:x val="0.38582779094363739"/>
          <c:y val="4.04858119150201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35475453872042"/>
          <c:y val="0.19433236797105888"/>
          <c:w val="0.64879408730625165"/>
          <c:h val="0.55870555791680065"/>
        </c:manualLayout>
      </c:layout>
      <c:barChart>
        <c:barDir val="col"/>
        <c:grouping val="clustered"/>
        <c:ser>
          <c:idx val="0"/>
          <c:order val="0"/>
          <c:tx>
            <c:v>2016 Volume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'16.Exp. Torrado'!$D$6:$D$13</c:f>
              <c:numCache>
                <c:formatCode>_(* #,##0_);_(* \(#,##0\);_(* "-"??_);_(@_)</c:formatCode>
                <c:ptCount val="8"/>
                <c:pt idx="0">
                  <c:v>2257.29</c:v>
                </c:pt>
                <c:pt idx="1">
                  <c:v>2282.38</c:v>
                </c:pt>
                <c:pt idx="2">
                  <c:v>3605.6019999999999</c:v>
                </c:pt>
                <c:pt idx="3">
                  <c:v>3097.96</c:v>
                </c:pt>
                <c:pt idx="4">
                  <c:v>1754.9</c:v>
                </c:pt>
                <c:pt idx="5">
                  <c:v>4406.3450000000003</c:v>
                </c:pt>
                <c:pt idx="6">
                  <c:v>2934.6271666666598</c:v>
                </c:pt>
                <c:pt idx="7">
                  <c:v>3566.3744999999999</c:v>
                </c:pt>
              </c:numCache>
            </c:numRef>
          </c:val>
        </c:ser>
        <c:ser>
          <c:idx val="1"/>
          <c:order val="1"/>
          <c:tx>
            <c:v>2015 Volume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('16.Exp. Torrado'!$G$6:$G$14,'16.Exp. Torrado'!$G$16:$G$18)</c:f>
              <c:numCache>
                <c:formatCode>_(* #,##0_);_(* \(#,##0\);_(* "-"??_);_(@_)</c:formatCode>
                <c:ptCount val="12"/>
                <c:pt idx="0">
                  <c:v>912.33333333333337</c:v>
                </c:pt>
                <c:pt idx="1">
                  <c:v>2816.3333333333335</c:v>
                </c:pt>
                <c:pt idx="2">
                  <c:v>3946.8333333333335</c:v>
                </c:pt>
                <c:pt idx="3">
                  <c:v>1804.8333333333333</c:v>
                </c:pt>
                <c:pt idx="4">
                  <c:v>2419.6666666666665</c:v>
                </c:pt>
                <c:pt idx="5">
                  <c:v>4184.833333333333</c:v>
                </c:pt>
                <c:pt idx="6">
                  <c:v>3709</c:v>
                </c:pt>
                <c:pt idx="7">
                  <c:v>2307.6480000000001</c:v>
                </c:pt>
                <c:pt idx="8">
                  <c:v>2909</c:v>
                </c:pt>
                <c:pt idx="9">
                  <c:v>4042.26</c:v>
                </c:pt>
                <c:pt idx="10">
                  <c:v>1629</c:v>
                </c:pt>
                <c:pt idx="11">
                  <c:v>2625</c:v>
                </c:pt>
              </c:numCache>
            </c:numRef>
          </c:val>
        </c:ser>
        <c:axId val="83801600"/>
        <c:axId val="83803520"/>
      </c:barChart>
      <c:catAx>
        <c:axId val="838016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2519786968376538"/>
              <c:y val="0.8623498241965418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803520"/>
        <c:crosses val="autoZero"/>
        <c:auto val="1"/>
        <c:lblAlgn val="ctr"/>
        <c:lblOffset val="100"/>
        <c:tickLblSkip val="1"/>
        <c:tickMarkSkip val="1"/>
      </c:catAx>
      <c:valAx>
        <c:axId val="838035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801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0179395051347"/>
          <c:y val="0.19973109493388788"/>
          <c:w val="0.13161277170450617"/>
          <c:h val="0.5546560689347797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2458" footer="0.49212598500002458"/>
    <c:pageSetup paperSize="9" orientation="landscape" horizontalDpi="-2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Receita Cambial 2016/15</a:t>
            </a:r>
          </a:p>
        </c:rich>
      </c:tx>
      <c:layout>
        <c:manualLayout>
          <c:xMode val="edge"/>
          <c:yMode val="edge"/>
          <c:x val="0.31537930331527769"/>
          <c:y val="4.74585676790401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10391756585982"/>
          <c:y val="0.15809118618238535"/>
          <c:w val="0.69132469552420062"/>
          <c:h val="0.62613834561002468"/>
        </c:manualLayout>
      </c:layout>
      <c:barChart>
        <c:barDir val="col"/>
        <c:grouping val="clustered"/>
        <c:ser>
          <c:idx val="0"/>
          <c:order val="0"/>
          <c:tx>
            <c:v>2016 Receita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'17.Exp. Extrato'!$C$6:$C$14</c:f>
              <c:numCache>
                <c:formatCode>_(* #,##0_);_(* \(#,##0\);_(* "-"??_);_(@_)</c:formatCode>
                <c:ptCount val="9"/>
                <c:pt idx="0">
                  <c:v>1704.2429999999999</c:v>
                </c:pt>
                <c:pt idx="1">
                  <c:v>2375.0749999999998</c:v>
                </c:pt>
                <c:pt idx="2">
                  <c:v>2992.078</c:v>
                </c:pt>
                <c:pt idx="3">
                  <c:v>4727.6080000000002</c:v>
                </c:pt>
                <c:pt idx="4">
                  <c:v>5498.4309999999996</c:v>
                </c:pt>
                <c:pt idx="5">
                  <c:v>4304.277</c:v>
                </c:pt>
                <c:pt idx="6">
                  <c:v>3420.3409999999999</c:v>
                </c:pt>
                <c:pt idx="7">
                  <c:v>3370.3870000000002</c:v>
                </c:pt>
                <c:pt idx="8">
                  <c:v>3591.902</c:v>
                </c:pt>
              </c:numCache>
            </c:numRef>
          </c:val>
        </c:ser>
        <c:ser>
          <c:idx val="1"/>
          <c:order val="1"/>
          <c:tx>
            <c:v>2015 Receita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('17.Exp. Extrato'!$F$6:$F$14,'17.Exp. Extrato'!$F$16:$F$18)</c:f>
              <c:numCache>
                <c:formatCode>_(* #,##0_);_(* \(#,##0\);_(* "-"??_);_(@_)</c:formatCode>
                <c:ptCount val="12"/>
                <c:pt idx="0">
                  <c:v>2615</c:v>
                </c:pt>
                <c:pt idx="1">
                  <c:v>3503</c:v>
                </c:pt>
                <c:pt idx="2">
                  <c:v>3664</c:v>
                </c:pt>
                <c:pt idx="3">
                  <c:v>4108</c:v>
                </c:pt>
                <c:pt idx="4">
                  <c:v>4077</c:v>
                </c:pt>
                <c:pt idx="5">
                  <c:v>4392</c:v>
                </c:pt>
                <c:pt idx="6">
                  <c:v>3418</c:v>
                </c:pt>
                <c:pt idx="7">
                  <c:v>2052.8760000000002</c:v>
                </c:pt>
                <c:pt idx="8">
                  <c:v>1652</c:v>
                </c:pt>
                <c:pt idx="9">
                  <c:v>2708.9</c:v>
                </c:pt>
                <c:pt idx="10">
                  <c:v>2088</c:v>
                </c:pt>
                <c:pt idx="11">
                  <c:v>2475</c:v>
                </c:pt>
              </c:numCache>
            </c:numRef>
          </c:val>
        </c:ser>
        <c:axId val="84001152"/>
        <c:axId val="84003072"/>
      </c:barChart>
      <c:catAx>
        <c:axId val="840011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 sz="800"/>
                  <a:t>Mês</a:t>
                </a:r>
              </a:p>
            </c:rich>
          </c:tx>
          <c:layout>
            <c:manualLayout>
              <c:xMode val="edge"/>
              <c:yMode val="edge"/>
              <c:x val="0.40700812883826432"/>
              <c:y val="0.898787151606049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4003072"/>
        <c:crosses val="autoZero"/>
        <c:auto val="1"/>
        <c:lblAlgn val="ctr"/>
        <c:lblOffset val="100"/>
        <c:tickLblSkip val="1"/>
        <c:tickMarkSkip val="1"/>
      </c:catAx>
      <c:valAx>
        <c:axId val="840030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40011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30685727390875"/>
          <c:y val="0.16315256963846778"/>
          <c:w val="0.13752057691816777"/>
          <c:h val="0.63047963762596548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2475" footer="0.49212598500002475"/>
    <c:pageSetup paperSize="9" orientation="landscape" horizontalDpi="-4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Volume 2016/15</a:t>
            </a:r>
          </a:p>
        </c:rich>
      </c:tx>
      <c:layout>
        <c:manualLayout>
          <c:xMode val="edge"/>
          <c:yMode val="edge"/>
          <c:x val="0.38582779094363739"/>
          <c:y val="4.04858119150201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35475453872042"/>
          <c:y val="0.15166572178477689"/>
          <c:w val="0.64879408730625165"/>
          <c:h val="0.62270572178479633"/>
        </c:manualLayout>
      </c:layout>
      <c:barChart>
        <c:barDir val="col"/>
        <c:grouping val="clustered"/>
        <c:ser>
          <c:idx val="0"/>
          <c:order val="0"/>
          <c:tx>
            <c:v>2016 Volume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'17.Exp. Extrato'!$D$6:$D$14</c:f>
              <c:numCache>
                <c:formatCode>_(* #,##0_);_(* \(#,##0\);_(* "-"??_);_(@_)</c:formatCode>
                <c:ptCount val="9"/>
                <c:pt idx="0">
                  <c:v>17190.07</c:v>
                </c:pt>
                <c:pt idx="1">
                  <c:v>20005.36</c:v>
                </c:pt>
                <c:pt idx="2">
                  <c:v>22923.373</c:v>
                </c:pt>
                <c:pt idx="3">
                  <c:v>41200.92</c:v>
                </c:pt>
                <c:pt idx="4">
                  <c:v>40746.747000000003</c:v>
                </c:pt>
                <c:pt idx="5">
                  <c:v>38334.870000000003</c:v>
                </c:pt>
                <c:pt idx="6">
                  <c:v>29733.99</c:v>
                </c:pt>
                <c:pt idx="7">
                  <c:v>26274.77</c:v>
                </c:pt>
                <c:pt idx="8">
                  <c:v>31327.34</c:v>
                </c:pt>
              </c:numCache>
            </c:numRef>
          </c:val>
        </c:ser>
        <c:ser>
          <c:idx val="1"/>
          <c:order val="1"/>
          <c:tx>
            <c:v>2015 Volume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('17.Exp. Extrato'!$G$6:$G$14,'17.Exp. Extrato'!$G$16:$G$18)</c:f>
              <c:numCache>
                <c:formatCode>_(* #,##0_);_(* \(#,##0\);_(* "-"??_);_(@_)</c:formatCode>
                <c:ptCount val="12"/>
                <c:pt idx="0">
                  <c:v>25696.666666666668</c:v>
                </c:pt>
                <c:pt idx="1">
                  <c:v>24613.333333333332</c:v>
                </c:pt>
                <c:pt idx="2">
                  <c:v>21926.666666666668</c:v>
                </c:pt>
                <c:pt idx="3">
                  <c:v>26433.333333333332</c:v>
                </c:pt>
                <c:pt idx="4">
                  <c:v>28123.333333333332</c:v>
                </c:pt>
                <c:pt idx="5">
                  <c:v>32890</c:v>
                </c:pt>
                <c:pt idx="6">
                  <c:v>29510</c:v>
                </c:pt>
                <c:pt idx="7">
                  <c:v>16504</c:v>
                </c:pt>
                <c:pt idx="8">
                  <c:v>14135.86</c:v>
                </c:pt>
                <c:pt idx="9">
                  <c:v>24522.54</c:v>
                </c:pt>
                <c:pt idx="10">
                  <c:v>18027</c:v>
                </c:pt>
                <c:pt idx="11">
                  <c:v>20540</c:v>
                </c:pt>
              </c:numCache>
            </c:numRef>
          </c:val>
        </c:ser>
        <c:axId val="83929728"/>
        <c:axId val="83936000"/>
      </c:barChart>
      <c:catAx>
        <c:axId val="83929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2519786968376538"/>
              <c:y val="0.889016692913385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936000"/>
        <c:crosses val="autoZero"/>
        <c:auto val="1"/>
        <c:lblAlgn val="ctr"/>
        <c:lblOffset val="100"/>
        <c:tickLblSkip val="1"/>
        <c:tickMarkSkip val="1"/>
      </c:catAx>
      <c:valAx>
        <c:axId val="839360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92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0179395051347"/>
          <c:y val="0.1517312335958107"/>
          <c:w val="0.13161277170450617"/>
          <c:h val="0.62398950131233599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2475" footer="0.49212598500002475"/>
    <c:pageSetup paperSize="9" orientation="landscape" horizontalDpi="-2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Receita Cambial Global 2016/15</a:t>
            </a:r>
          </a:p>
        </c:rich>
      </c:tx>
      <c:layout>
        <c:manualLayout>
          <c:xMode val="edge"/>
          <c:yMode val="edge"/>
          <c:x val="0.31537930331527819"/>
          <c:y val="4.74585676790401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10391756585982"/>
          <c:y val="0.20647815784160894"/>
          <c:w val="0.69132469552420062"/>
          <c:h val="0.55824321959755063"/>
        </c:manualLayout>
      </c:layout>
      <c:barChart>
        <c:barDir val="col"/>
        <c:grouping val="clustered"/>
        <c:ser>
          <c:idx val="1"/>
          <c:order val="0"/>
          <c:tx>
            <c:v>2016 Receita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'18.Total'!$C$7:$C$15</c:f>
              <c:numCache>
                <c:formatCode>_(* #,##0_);_(* \(#,##0\);_(* "-"??_);_(@_)</c:formatCode>
                <c:ptCount val="9"/>
                <c:pt idx="0">
                  <c:v>403561.34</c:v>
                </c:pt>
                <c:pt idx="1">
                  <c:v>447537.25</c:v>
                </c:pt>
                <c:pt idx="2">
                  <c:v>454818.86099999998</c:v>
                </c:pt>
                <c:pt idx="3">
                  <c:v>371491.37800000003</c:v>
                </c:pt>
                <c:pt idx="4">
                  <c:v>361323.83699999994</c:v>
                </c:pt>
                <c:pt idx="5">
                  <c:v>353979.89999999997</c:v>
                </c:pt>
                <c:pt idx="6">
                  <c:v>323029.81099999999</c:v>
                </c:pt>
                <c:pt idx="7">
                  <c:v>476881.88499999995</c:v>
                </c:pt>
                <c:pt idx="8">
                  <c:v>516228.54000000004</c:v>
                </c:pt>
              </c:numCache>
            </c:numRef>
          </c:val>
        </c:ser>
        <c:ser>
          <c:idx val="0"/>
          <c:order val="1"/>
          <c:tx>
            <c:v>2015 Receita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'18.Total'!$L$7:$L$15</c:f>
              <c:numCache>
                <c:formatCode>_(* #,##0_);_(* \(#,##0\);_(* "-"??_);_(@_)</c:formatCode>
                <c:ptCount val="9"/>
                <c:pt idx="0">
                  <c:v>589036</c:v>
                </c:pt>
                <c:pt idx="1">
                  <c:v>540020</c:v>
                </c:pt>
                <c:pt idx="2">
                  <c:v>575297</c:v>
                </c:pt>
                <c:pt idx="3">
                  <c:v>525221</c:v>
                </c:pt>
                <c:pt idx="4">
                  <c:v>483859</c:v>
                </c:pt>
                <c:pt idx="5">
                  <c:v>449592</c:v>
                </c:pt>
                <c:pt idx="6">
                  <c:v>460996</c:v>
                </c:pt>
                <c:pt idx="7">
                  <c:v>477197.82799999998</c:v>
                </c:pt>
                <c:pt idx="8">
                  <c:v>507108.90600000002</c:v>
                </c:pt>
              </c:numCache>
            </c:numRef>
          </c:val>
        </c:ser>
        <c:axId val="84084224"/>
        <c:axId val="84086144"/>
      </c:barChart>
      <c:catAx>
        <c:axId val="84084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 sz="800"/>
                  <a:t>Mês</a:t>
                </a:r>
              </a:p>
            </c:rich>
          </c:tx>
          <c:layout>
            <c:manualLayout>
              <c:xMode val="edge"/>
              <c:yMode val="edge"/>
              <c:x val="0.40700816392190803"/>
              <c:y val="0.8733903262092237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4086144"/>
        <c:crosses val="autoZero"/>
        <c:auto val="1"/>
        <c:lblAlgn val="ctr"/>
        <c:lblOffset val="100"/>
        <c:tickLblSkip val="1"/>
        <c:tickMarkSkip val="1"/>
      </c:catAx>
      <c:valAx>
        <c:axId val="840861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4084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30685727390875"/>
          <c:y val="0.20616322959630901"/>
          <c:w val="0.13752057691816763"/>
          <c:h val="0.56355705536807965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2491" footer="0.49212598500002491"/>
    <c:pageSetup paperSize="9" orientation="landscape" horizontalDpi="-4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Volume Global 2016/15</a:t>
            </a:r>
          </a:p>
        </c:rich>
      </c:tx>
      <c:layout>
        <c:manualLayout>
          <c:xMode val="edge"/>
          <c:yMode val="edge"/>
          <c:x val="0.38582779094363789"/>
          <c:y val="4.04858119150201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35475453872042"/>
          <c:y val="0.19433236797105888"/>
          <c:w val="0.65213972414522015"/>
          <c:h val="0.55870555791680065"/>
        </c:manualLayout>
      </c:layout>
      <c:barChart>
        <c:barDir val="col"/>
        <c:grouping val="clustered"/>
        <c:ser>
          <c:idx val="1"/>
          <c:order val="0"/>
          <c:tx>
            <c:v>2016 Volume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'18.Total'!$F$7:$F$15</c:f>
              <c:numCache>
                <c:formatCode>_(* #,##0_);_(* \(#,##0\);_(* "-"??_);_(@_)</c:formatCode>
                <c:ptCount val="9"/>
                <c:pt idx="0">
                  <c:v>2754948.07</c:v>
                </c:pt>
                <c:pt idx="1">
                  <c:v>3009104.4</c:v>
                </c:pt>
                <c:pt idx="2">
                  <c:v>3108436.9210000001</c:v>
                </c:pt>
                <c:pt idx="3">
                  <c:v>2542429.4202999999</c:v>
                </c:pt>
                <c:pt idx="4">
                  <c:v>2479953.301</c:v>
                </c:pt>
                <c:pt idx="5">
                  <c:v>2412817.5550000002</c:v>
                </c:pt>
                <c:pt idx="6">
                  <c:v>2077198.5404999994</c:v>
                </c:pt>
                <c:pt idx="7">
                  <c:v>2970884.8378333328</c:v>
                </c:pt>
                <c:pt idx="8">
                  <c:v>3126342.8454999998</c:v>
                </c:pt>
              </c:numCache>
            </c:numRef>
          </c:val>
        </c:ser>
        <c:ser>
          <c:idx val="0"/>
          <c:order val="1"/>
          <c:tx>
            <c:v>2015 Volume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'18.Total'!$N$7:$N$15</c:f>
              <c:numCache>
                <c:formatCode>_(* #,##0_);_(* \(#,##0\);_(* "-"??_);_(@_)</c:formatCode>
                <c:ptCount val="9"/>
                <c:pt idx="0">
                  <c:v>2980332.3333333335</c:v>
                </c:pt>
                <c:pt idx="1">
                  <c:v>2776889.6700000004</c:v>
                </c:pt>
                <c:pt idx="2">
                  <c:v>3176070.166666667</c:v>
                </c:pt>
                <c:pt idx="3">
                  <c:v>3149914.8333333335</c:v>
                </c:pt>
                <c:pt idx="4">
                  <c:v>2926983</c:v>
                </c:pt>
                <c:pt idx="5">
                  <c:v>2730748.1666666665</c:v>
                </c:pt>
                <c:pt idx="6">
                  <c:v>2847872</c:v>
                </c:pt>
                <c:pt idx="7">
                  <c:v>2995693.7609999999</c:v>
                </c:pt>
                <c:pt idx="8">
                  <c:v>3233816.3299999996</c:v>
                </c:pt>
              </c:numCache>
            </c:numRef>
          </c:val>
        </c:ser>
        <c:axId val="84135936"/>
        <c:axId val="84137856"/>
      </c:barChart>
      <c:catAx>
        <c:axId val="841359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2519786968376538"/>
              <c:y val="0.86234982419654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4137856"/>
        <c:crosses val="autoZero"/>
        <c:auto val="1"/>
        <c:lblAlgn val="ctr"/>
        <c:lblOffset val="100"/>
        <c:tickLblSkip val="1"/>
        <c:tickMarkSkip val="1"/>
      </c:catAx>
      <c:valAx>
        <c:axId val="841378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4135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8420179395051347"/>
          <c:y val="0.19973109493388788"/>
          <c:w val="0.14269320208321942"/>
          <c:h val="0.5546560689347797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2491" footer="0.49212598500002491"/>
    <c:pageSetup paperSize="9" orientation="landscape" horizontalDpi="-2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8.1416465146475228E-2"/>
          <c:y val="0.13936351706036745"/>
          <c:w val="0.89500368888713056"/>
          <c:h val="0.64969305920096065"/>
        </c:manualLayout>
      </c:layout>
      <c:barChart>
        <c:barDir val="col"/>
        <c:grouping val="clustered"/>
        <c:ser>
          <c:idx val="0"/>
          <c:order val="0"/>
          <c:tx>
            <c:strRef>
              <c:f>Plan1!$A$6</c:f>
              <c:strCache>
                <c:ptCount val="1"/>
                <c:pt idx="0">
                  <c:v>ARÁBICA</c:v>
                </c:pt>
              </c:strCache>
            </c:strRef>
          </c:tx>
          <c:dLbls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Plan1!$B$6:$Q$6</c:f>
              <c:numCache>
                <c:formatCode>#,##0.0</c:formatCode>
                <c:ptCount val="16"/>
                <c:pt idx="0">
                  <c:v>22.5</c:v>
                </c:pt>
                <c:pt idx="1">
                  <c:v>37.9</c:v>
                </c:pt>
                <c:pt idx="2">
                  <c:v>20.100000000000001</c:v>
                </c:pt>
                <c:pt idx="3">
                  <c:v>31.7</c:v>
                </c:pt>
                <c:pt idx="4">
                  <c:v>23.8</c:v>
                </c:pt>
                <c:pt idx="5">
                  <c:v>33</c:v>
                </c:pt>
                <c:pt idx="6">
                  <c:v>25.1</c:v>
                </c:pt>
                <c:pt idx="7" formatCode="_(* #,##0.0_);_(* \(#,##0.0\);_(* &quot;-&quot;_);_(@_)">
                  <c:v>35.5</c:v>
                </c:pt>
                <c:pt idx="8" formatCode="_(* #,##0.0_);_(* \(#,##0.0\);_(* &quot;-&quot;_);_(@_)">
                  <c:v>28.8</c:v>
                </c:pt>
                <c:pt idx="9" formatCode="_(* #,##0.0_);_(* \(#,##0.0\);_(* &quot;-&quot;_);_(@_)">
                  <c:v>36.799999999999997</c:v>
                </c:pt>
                <c:pt idx="10" formatCode="_(* #,##0.0_);_(* \(#,##0.0\);_(* &quot;-&quot;_);_(@_)">
                  <c:v>32.200000000000003</c:v>
                </c:pt>
                <c:pt idx="11" formatCode="_(* #,##0.0_);_(* \(#,##0.0\);_(* &quot;-&quot;_);_(@_)">
                  <c:v>38.299999999999997</c:v>
                </c:pt>
                <c:pt idx="12" formatCode="_(* #,##0.0_);_(* \(#,##0.0\);_(* &quot;-&quot;_);_(@_)">
                  <c:v>38.299999999999997</c:v>
                </c:pt>
                <c:pt idx="13" formatCode="_(* #,##0.0_);_(* \(#,##0.0\);_(* &quot;-&quot;_);_(@_)">
                  <c:v>32.6</c:v>
                </c:pt>
                <c:pt idx="14" formatCode="_(* #,##0.0_);_(* \(#,##0.0\);_(* &quot;-&quot;_);_(@_)">
                  <c:v>32</c:v>
                </c:pt>
                <c:pt idx="15" formatCode="_(* #,##0.0_);_(* \(#,##0.0\);_(* &quot;-&quot;_);_(@_)">
                  <c:v>41.284999999999997</c:v>
                </c:pt>
              </c:numCache>
            </c:numRef>
          </c:val>
        </c:ser>
        <c:ser>
          <c:idx val="1"/>
          <c:order val="1"/>
          <c:tx>
            <c:strRef>
              <c:f>Plan1!$A$7</c:f>
              <c:strCache>
                <c:ptCount val="1"/>
                <c:pt idx="0">
                  <c:v>CONILON</c:v>
                </c:pt>
              </c:strCache>
            </c:strRef>
          </c:tx>
          <c:dLbls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Plan1!$B$7:$Q$7</c:f>
              <c:numCache>
                <c:formatCode>#,##0.0</c:formatCode>
                <c:ptCount val="16"/>
                <c:pt idx="0">
                  <c:v>8.8000000000000007</c:v>
                </c:pt>
                <c:pt idx="1">
                  <c:v>10.5</c:v>
                </c:pt>
                <c:pt idx="2">
                  <c:v>8.6999999999999993</c:v>
                </c:pt>
                <c:pt idx="3">
                  <c:v>7.5</c:v>
                </c:pt>
                <c:pt idx="4">
                  <c:v>9.1</c:v>
                </c:pt>
                <c:pt idx="5">
                  <c:v>9.5</c:v>
                </c:pt>
                <c:pt idx="6">
                  <c:v>10.9</c:v>
                </c:pt>
                <c:pt idx="7" formatCode="_(* #,##0.0_);_(* \(#,##0.0\);_(* &quot;-&quot;_);_(@_)">
                  <c:v>10.5</c:v>
                </c:pt>
                <c:pt idx="8" formatCode="_(* #,##0.0_);_(* \(#,##0.0\);_(* &quot;-&quot;_);_(@_)">
                  <c:v>10.6</c:v>
                </c:pt>
                <c:pt idx="9" formatCode="_(* #,##0.0_);_(* \(#,##0.0\);_(* &quot;-&quot;_);_(@_)">
                  <c:v>11.2</c:v>
                </c:pt>
                <c:pt idx="10" formatCode="_(* #,##0.0_);_(* \(#,##0.0\);_(* &quot;-&quot;_);_(@_)">
                  <c:v>11.3</c:v>
                </c:pt>
                <c:pt idx="11" formatCode="_(* #,##0.0_);_(* \(#,##0.0\);_(* &quot;-&quot;_);_(@_)">
                  <c:v>12.5</c:v>
                </c:pt>
                <c:pt idx="12" formatCode="_(* #,##0.0_);_(* \(#,##0.0\);_(* &quot;-&quot;_);_(@_)">
                  <c:v>10.9</c:v>
                </c:pt>
                <c:pt idx="13" formatCode="_(* #,##0.0_);_(* \(#,##0.0\);_(* &quot;-&quot;_);_(@_)">
                  <c:v>13</c:v>
                </c:pt>
                <c:pt idx="14" formatCode="_(* #,##0.0_);_(* \(#,##0.0\);_(* &quot;-&quot;_);_(@_)">
                  <c:v>11.2</c:v>
                </c:pt>
                <c:pt idx="15" formatCode="_(* #,##0.0_);_(* \(#,##0.0\);_(* &quot;-&quot;_);_(@_)">
                  <c:v>8.3539999999999992</c:v>
                </c:pt>
              </c:numCache>
            </c:numRef>
          </c:val>
        </c:ser>
        <c:ser>
          <c:idx val="2"/>
          <c:order val="2"/>
          <c:tx>
            <c:strRef>
              <c:f>Plan1!$A$8</c:f>
              <c:strCache>
                <c:ptCount val="1"/>
                <c:pt idx="0">
                  <c:v>TOTAL</c:v>
                </c:pt>
              </c:strCache>
            </c:strRef>
          </c:tx>
          <c:dLbls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Plan1!$B$8:$Q$8</c:f>
              <c:numCache>
                <c:formatCode>#,##0.0</c:formatCode>
                <c:ptCount val="16"/>
                <c:pt idx="0">
                  <c:v>31.3</c:v>
                </c:pt>
                <c:pt idx="1">
                  <c:v>48.4</c:v>
                </c:pt>
                <c:pt idx="2">
                  <c:v>28.8</c:v>
                </c:pt>
                <c:pt idx="3">
                  <c:v>39.200000000000003</c:v>
                </c:pt>
                <c:pt idx="4">
                  <c:v>32.9</c:v>
                </c:pt>
                <c:pt idx="5">
                  <c:v>42.5</c:v>
                </c:pt>
                <c:pt idx="6">
                  <c:v>36</c:v>
                </c:pt>
                <c:pt idx="7" formatCode="_(* #,##0.0_);_(* \(#,##0.0\);_(* &quot;-&quot;_);_(@_)">
                  <c:v>46</c:v>
                </c:pt>
                <c:pt idx="8" formatCode="_(* #,##0.0_);_(* \(#,##0.0\);_(* &quot;-&quot;_);_(@_)">
                  <c:v>39.4</c:v>
                </c:pt>
                <c:pt idx="9" formatCode="_(* #,##0.0_);_(* \(#,##0.0\);_(* &quot;-&quot;_);_(@_)">
                  <c:v>48</c:v>
                </c:pt>
                <c:pt idx="10" formatCode="_(* #,##0.0_);_(* \(#,##0.0\);_(* &quot;-&quot;_);_(@_)">
                  <c:v>43.5</c:v>
                </c:pt>
                <c:pt idx="11" formatCode="_(* #,##0.0_);_(* \(#,##0.0\);_(* &quot;-&quot;_);_(@_)">
                  <c:v>50.8</c:v>
                </c:pt>
                <c:pt idx="12" formatCode="_(* #,##0.0_);_(* \(#,##0.0\);_(* &quot;-&quot;_);_(@_)">
                  <c:v>49.199999999999996</c:v>
                </c:pt>
                <c:pt idx="13" formatCode="_(* #,##0.0_);_(* \(#,##0.0\);_(* &quot;-&quot;_);_(@_)">
                  <c:v>45.6</c:v>
                </c:pt>
                <c:pt idx="14" formatCode="_(* #,##0.0_);_(* \(#,##0.0\);_(* &quot;-&quot;_);_(@_)">
                  <c:v>43.2</c:v>
                </c:pt>
                <c:pt idx="15" formatCode="_(* #,##0.0_);_(* \(#,##0.0\);_(* &quot;-&quot;_);_(@_)">
                  <c:v>49.638999999999996</c:v>
                </c:pt>
              </c:numCache>
            </c:numRef>
          </c:val>
        </c:ser>
        <c:dLbls>
          <c:showVal val="1"/>
        </c:dLbls>
        <c:gapWidth val="75"/>
        <c:axId val="85898368"/>
        <c:axId val="85899904"/>
      </c:barChart>
      <c:catAx>
        <c:axId val="85898368"/>
        <c:scaling>
          <c:orientation val="minMax"/>
        </c:scaling>
        <c:axPos val="b"/>
        <c:numFmt formatCode="General" sourceLinked="1"/>
        <c:majorTickMark val="none"/>
        <c:tickLblPos val="nextTo"/>
        <c:crossAx val="85899904"/>
        <c:crosses val="autoZero"/>
        <c:auto val="1"/>
        <c:lblAlgn val="ctr"/>
        <c:lblOffset val="100"/>
      </c:catAx>
      <c:valAx>
        <c:axId val="85899904"/>
        <c:scaling>
          <c:orientation val="minMax"/>
        </c:scaling>
        <c:axPos val="l"/>
        <c:numFmt formatCode="#,##0.0" sourceLinked="1"/>
        <c:maj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85898368"/>
        <c:crosses val="autoZero"/>
        <c:crossBetween val="between"/>
      </c:valAx>
      <c:spPr>
        <a:ln w="9525" cmpd="dbl"/>
      </c:spPr>
    </c:plotArea>
    <c:legend>
      <c:legendPos val="b"/>
      <c:layout/>
    </c:legend>
    <c:plotVisOnly val="1"/>
    <c:dispBlanksAs val="gap"/>
  </c:chart>
  <c:printSettings>
    <c:headerFooter/>
    <c:pageMargins b="0.78740157499999996" l="0.511811024" r="0.511811024" t="0.78740157499999996" header="0.31496062000001807" footer="0.31496062000001807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6"/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Evolução dos Preços
Pagos ao Produtor -  </a:t>
            </a:r>
            <a:r>
              <a:rPr lang="pt-BR" sz="900" b="0"/>
              <a:t>Em R$/saca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71884016755242"/>
          <c:y val="0.21130747545445724"/>
          <c:w val="0.72452189377967724"/>
          <c:h val="0.65829685880014632"/>
        </c:manualLayout>
      </c:layout>
      <c:lineChart>
        <c:grouping val="standard"/>
        <c:ser>
          <c:idx val="0"/>
          <c:order val="0"/>
          <c:tx>
            <c:strRef>
              <c:f>'6.Preços'!$A$29</c:f>
              <c:strCache>
                <c:ptCount val="1"/>
                <c:pt idx="0">
                  <c:v>MG</c:v>
                </c:pt>
              </c:strCache>
            </c:strRef>
          </c:tx>
          <c:dLbls>
            <c:dLbl>
              <c:idx val="0"/>
              <c:layout>
                <c:manualLayout>
                  <c:x val="-6.5961219133322813E-2"/>
                  <c:y val="4.893285136510966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8.1179763243880224E-2"/>
                  <c:y val="7.568171416295382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7.4323537426674122E-2"/>
                  <c:y val="6.106455224565460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3"/>
              <c:layout>
                <c:manualLayout>
                  <c:x val="-7.794730576710697E-2"/>
                  <c:y val="5.977277315860009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showVal val="1"/>
          </c:dLbls>
          <c:cat>
            <c:strRef>
              <c:f>'6.Preços'!$B$28:$E$28</c:f>
              <c:strCache>
                <c:ptCount val="4"/>
                <c:pt idx="0">
                  <c:v>12 Meses</c:v>
                </c:pt>
                <c:pt idx="1">
                  <c:v>4 Semanas</c:v>
                </c:pt>
                <c:pt idx="2">
                  <c:v>1 Semana</c:v>
                </c:pt>
                <c:pt idx="3">
                  <c:v>Atual</c:v>
                </c:pt>
              </c:strCache>
            </c:strRef>
          </c:cat>
          <c:val>
            <c:numRef>
              <c:f>'6.Preços'!$B$29:$E$29</c:f>
              <c:numCache>
                <c:formatCode>_-* #,##0.00_-;\-* #,##0.00_-;_-* "-"??_-;_-@_-</c:formatCode>
                <c:ptCount val="4"/>
                <c:pt idx="0">
                  <c:v>502.86</c:v>
                </c:pt>
                <c:pt idx="1">
                  <c:v>492.17</c:v>
                </c:pt>
                <c:pt idx="2">
                  <c:v>511</c:v>
                </c:pt>
                <c:pt idx="3">
                  <c:v>500.6</c:v>
                </c:pt>
              </c:numCache>
            </c:numRef>
          </c:val>
        </c:ser>
        <c:ser>
          <c:idx val="1"/>
          <c:order val="1"/>
          <c:tx>
            <c:strRef>
              <c:f>'6.Preços'!$A$31</c:f>
              <c:strCache>
                <c:ptCount val="1"/>
                <c:pt idx="0">
                  <c:v>ES</c:v>
                </c:pt>
              </c:strCache>
            </c:strRef>
          </c:tx>
          <c:dLbls>
            <c:dLbl>
              <c:idx val="0"/>
              <c:layout>
                <c:manualLayout>
                  <c:x val="-4.2997871534714883E-2"/>
                  <c:y val="6.562875370116101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7.192802392238283E-2"/>
                  <c:y val="7.881889763779552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7.192802392238283E-2"/>
                  <c:y val="7.847235892388451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3"/>
              <c:layout>
                <c:manualLayout>
                  <c:x val="-7.524451234640446E-2"/>
                  <c:y val="6.840182086614181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showVal val="1"/>
          </c:dLbls>
          <c:cat>
            <c:strRef>
              <c:f>'6.Preços'!$B$28:$E$28</c:f>
              <c:strCache>
                <c:ptCount val="4"/>
                <c:pt idx="0">
                  <c:v>12 Meses</c:v>
                </c:pt>
                <c:pt idx="1">
                  <c:v>4 Semanas</c:v>
                </c:pt>
                <c:pt idx="2">
                  <c:v>1 Semana</c:v>
                </c:pt>
                <c:pt idx="3">
                  <c:v>Atual</c:v>
                </c:pt>
              </c:strCache>
            </c:strRef>
          </c:cat>
          <c:val>
            <c:numRef>
              <c:f>'6.Preços'!$B$31:$E$31</c:f>
              <c:numCache>
                <c:formatCode>_-* #,##0.00_-;\-* #,##0.00_-;_-* "-"??_-;_-@_-</c:formatCode>
                <c:ptCount val="4"/>
                <c:pt idx="0">
                  <c:v>351.05</c:v>
                </c:pt>
                <c:pt idx="1">
                  <c:v>418.5</c:v>
                </c:pt>
                <c:pt idx="2">
                  <c:v>431.8</c:v>
                </c:pt>
                <c:pt idx="3">
                  <c:v>440.8</c:v>
                </c:pt>
              </c:numCache>
            </c:numRef>
          </c:val>
        </c:ser>
        <c:marker val="1"/>
        <c:axId val="70827008"/>
        <c:axId val="66847488"/>
      </c:lineChart>
      <c:catAx>
        <c:axId val="7082700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66847488"/>
        <c:crosses val="autoZero"/>
        <c:auto val="1"/>
        <c:lblAlgn val="ctr"/>
        <c:lblOffset val="100"/>
        <c:tickLblSkip val="1"/>
        <c:tickMarkSkip val="1"/>
      </c:catAx>
      <c:valAx>
        <c:axId val="66847488"/>
        <c:scaling>
          <c:orientation val="minMax"/>
          <c:min val="260"/>
        </c:scaling>
        <c:axPos val="l"/>
        <c:majorGridlines/>
        <c:numFmt formatCode="_-* #,##0_-;\-* #,##0_-;_-* &quot;-&quot;_-;_-@_-" sourceLinked="0"/>
        <c:maj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70827008"/>
        <c:crosses val="autoZero"/>
        <c:crossBetween val="between"/>
      </c:valAx>
      <c:spPr>
        <a:solidFill>
          <a:schemeClr val="bg2">
            <a:lumMod val="75000"/>
          </a:schemeClr>
        </a:solidFill>
      </c:spPr>
    </c:plotArea>
    <c:legend>
      <c:legendPos val="r"/>
      <c:layout>
        <c:manualLayout>
          <c:xMode val="edge"/>
          <c:yMode val="edge"/>
          <c:x val="0.84821065277288465"/>
          <c:y val="0.24731171948703087"/>
          <c:w val="0.1487893864013434"/>
          <c:h val="0.57537964338090064"/>
        </c:manualLayout>
      </c:layout>
    </c:legend>
    <c:plotVisOnly val="1"/>
    <c:dispBlanksAs val="gap"/>
  </c:chart>
  <c:spPr>
    <a:solidFill>
      <a:schemeClr val="accent3">
        <a:lumMod val="60000"/>
        <a:lumOff val="40000"/>
      </a:schemeClr>
    </a:solidFill>
  </c:spPr>
  <c:printSettings>
    <c:headerFooter alignWithMargins="0"/>
    <c:pageMargins b="0.98425196899999956" l="0.78740157499999996" r="0.78740157499999996" t="0.98425196899999956" header="0.49212598500002125" footer="0.4921259850000212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6"/>
  <c:chart>
    <c:title>
      <c:tx>
        <c:rich>
          <a:bodyPr/>
          <a:lstStyle/>
          <a:p>
            <a:pPr>
              <a:defRPr/>
            </a:pPr>
            <a:r>
              <a:rPr lang="pt-BR" sz="1200"/>
              <a:t>Evolução dos Preços
Internacionais - </a:t>
            </a:r>
            <a:r>
              <a:rPr lang="pt-BR" sz="900" b="0"/>
              <a:t>NY US$(cents/lp)</a:t>
            </a:r>
            <a:r>
              <a:rPr lang="pt-BR" sz="900" b="0" baseline="0"/>
              <a:t> e  LD (US$/Ton.)</a:t>
            </a:r>
            <a:endParaRPr lang="pt-BR" sz="900" b="0"/>
          </a:p>
        </c:rich>
      </c:tx>
      <c:layout>
        <c:manualLayout>
          <c:xMode val="edge"/>
          <c:yMode val="edge"/>
          <c:x val="0.16340739585770969"/>
          <c:y val="6.4691913510812934E-3"/>
        </c:manualLayout>
      </c:layout>
    </c:title>
    <c:plotArea>
      <c:layout>
        <c:manualLayout>
          <c:layoutTarget val="inner"/>
          <c:xMode val="edge"/>
          <c:yMode val="edge"/>
          <c:x val="0.15351639455668487"/>
          <c:y val="0.18587383473617541"/>
          <c:w val="0.70442979483004753"/>
          <c:h val="0.66172187528288284"/>
        </c:manualLayout>
      </c:layout>
      <c:lineChart>
        <c:grouping val="standard"/>
        <c:ser>
          <c:idx val="0"/>
          <c:order val="0"/>
          <c:tx>
            <c:strRef>
              <c:f>'6.Preços'!$A$30</c:f>
              <c:strCache>
                <c:ptCount val="1"/>
                <c:pt idx="0">
                  <c:v>NY</c:v>
                </c:pt>
              </c:strCache>
            </c:strRef>
          </c:tx>
          <c:dLbls>
            <c:dLbl>
              <c:idx val="0"/>
              <c:layout>
                <c:manualLayout>
                  <c:x val="-7.4953841229720194E-2"/>
                  <c:y val="-6.543779149908433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7.5244781761196325E-2"/>
                  <c:y val="-6.321839080459772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7.8254326561324306E-2"/>
                  <c:y val="-6.896551724137930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3"/>
              <c:layout>
                <c:manualLayout>
                  <c:x val="-7.8254326561324306E-2"/>
                  <c:y val="-6.321839080459772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showVal val="1"/>
          </c:dLbls>
          <c:cat>
            <c:strRef>
              <c:f>'6.Preços'!$B$28:$E$28</c:f>
              <c:strCache>
                <c:ptCount val="4"/>
                <c:pt idx="0">
                  <c:v>12 Meses</c:v>
                </c:pt>
                <c:pt idx="1">
                  <c:v>4 Semanas</c:v>
                </c:pt>
                <c:pt idx="2">
                  <c:v>1 Semana</c:v>
                </c:pt>
                <c:pt idx="3">
                  <c:v>Atual</c:v>
                </c:pt>
              </c:strCache>
            </c:strRef>
          </c:cat>
          <c:val>
            <c:numRef>
              <c:f>'6.Preços'!$B$30:$E$30</c:f>
              <c:numCache>
                <c:formatCode>_-* #,##0.00_-;\-* #,##0.00_-;_-* "-"??_-;_-@_-</c:formatCode>
                <c:ptCount val="4"/>
                <c:pt idx="0">
                  <c:v>128.4</c:v>
                </c:pt>
                <c:pt idx="1">
                  <c:v>152.33000000000001</c:v>
                </c:pt>
                <c:pt idx="2">
                  <c:v>157.11000000000001</c:v>
                </c:pt>
                <c:pt idx="3">
                  <c:v>155.72999999999999</c:v>
                </c:pt>
              </c:numCache>
            </c:numRef>
          </c:val>
        </c:ser>
        <c:ser>
          <c:idx val="1"/>
          <c:order val="1"/>
          <c:tx>
            <c:strRef>
              <c:f>'6.Preços'!$A$32</c:f>
              <c:strCache>
                <c:ptCount val="1"/>
                <c:pt idx="0">
                  <c:v>LD</c:v>
                </c:pt>
              </c:strCache>
            </c:strRef>
          </c:tx>
          <c:dLbls>
            <c:dLbl>
              <c:idx val="0"/>
              <c:layout>
                <c:manualLayout>
                  <c:x val="-8.2135859255216867E-2"/>
                  <c:y val="8.029064381658178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8.7787497421436447E-2"/>
                  <c:y val="6.790347249759247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8.0973563445715629E-2"/>
                  <c:y val="8.299482785240079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3"/>
              <c:layout>
                <c:manualLayout>
                  <c:x val="-7.8254118820775723E-2"/>
                  <c:y val="8.130500231588774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showVal val="1"/>
          </c:dLbls>
          <c:cat>
            <c:strRef>
              <c:f>'6.Preços'!$B$28:$E$28</c:f>
              <c:strCache>
                <c:ptCount val="4"/>
                <c:pt idx="0">
                  <c:v>12 Meses</c:v>
                </c:pt>
                <c:pt idx="1">
                  <c:v>4 Semanas</c:v>
                </c:pt>
                <c:pt idx="2">
                  <c:v>1 Semana</c:v>
                </c:pt>
                <c:pt idx="3">
                  <c:v>Atual</c:v>
                </c:pt>
              </c:strCache>
            </c:strRef>
          </c:cat>
          <c:val>
            <c:numRef>
              <c:f>'6.Preços'!$B$32:$E$32</c:f>
              <c:numCache>
                <c:formatCode>_-* #,##0.00_-;\-* #,##0.00_-;_-* "-"??_-;_-@_-</c:formatCode>
                <c:ptCount val="4"/>
                <c:pt idx="0">
                  <c:v>1595.41</c:v>
                </c:pt>
                <c:pt idx="1">
                  <c:v>1900.75</c:v>
                </c:pt>
                <c:pt idx="2">
                  <c:v>1973.8</c:v>
                </c:pt>
                <c:pt idx="3">
                  <c:v>2000</c:v>
                </c:pt>
              </c:numCache>
            </c:numRef>
          </c:val>
        </c:ser>
        <c:marker val="1"/>
        <c:axId val="66905216"/>
        <c:axId val="66906752"/>
      </c:lineChart>
      <c:catAx>
        <c:axId val="6690521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66906752"/>
        <c:crosses val="autoZero"/>
        <c:auto val="1"/>
        <c:lblAlgn val="ctr"/>
        <c:lblOffset val="100"/>
        <c:tickLblSkip val="1"/>
        <c:tickMarkSkip val="1"/>
      </c:catAx>
      <c:valAx>
        <c:axId val="66906752"/>
        <c:scaling>
          <c:orientation val="minMax"/>
          <c:max val="2200"/>
          <c:min val="50"/>
        </c:scaling>
        <c:axPos val="l"/>
        <c:majorGridlines/>
        <c:numFmt formatCode="_-* #,##0_-;\-* #,##0_-;_-* &quot;-&quot;_-;_-@_-" sourceLinked="0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66905216"/>
        <c:crosses val="autoZero"/>
        <c:crossBetween val="between"/>
      </c:valAx>
      <c:spPr>
        <a:solidFill>
          <a:schemeClr val="bg2">
            <a:lumMod val="75000"/>
          </a:schemeClr>
        </a:solidFill>
      </c:spPr>
    </c:plotArea>
    <c:legend>
      <c:legendPos val="r"/>
      <c:layout>
        <c:manualLayout>
          <c:xMode val="edge"/>
          <c:yMode val="edge"/>
          <c:x val="0.84951092747069978"/>
          <c:y val="0.18821575874445243"/>
          <c:w val="0.13318286946804817"/>
          <c:h val="0.66631992429520004"/>
        </c:manualLayout>
      </c:layout>
    </c:legend>
    <c:plotVisOnly val="1"/>
    <c:dispBlanksAs val="gap"/>
  </c:chart>
  <c:spPr>
    <a:solidFill>
      <a:schemeClr val="accent3">
        <a:lumMod val="60000"/>
        <a:lumOff val="40000"/>
      </a:schemeClr>
    </a:solidFill>
  </c:spPr>
  <c:printSettings>
    <c:headerFooter alignWithMargins="0"/>
    <c:pageMargins b="0.98425196899999956" l="0.78740157499999996" r="0.78740157499999996" t="0.98425196899999956" header="0.49212598500002142" footer="0.4921259850000214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3366885389326341"/>
          <c:y val="0.26899314668999674"/>
          <c:w val="0.82392825896762889"/>
          <c:h val="0.61326358177830376"/>
        </c:manualLayout>
      </c:layout>
      <c:lineChart>
        <c:grouping val="standard"/>
        <c:ser>
          <c:idx val="0"/>
          <c:order val="0"/>
          <c:tx>
            <c:strRef>
              <c:f>'[1]Preços Internos'!$B$3</c:f>
              <c:strCache>
                <c:ptCount val="1"/>
                <c:pt idx="0">
                  <c:v>Arábica</c:v>
                </c:pt>
              </c:strCache>
            </c:strRef>
          </c:tx>
          <c:cat>
            <c:numRef>
              <c:f>'[1]Preços Internos'!$A$4:$A$84</c:f>
              <c:numCache>
                <c:formatCode>General</c:formatCode>
                <c:ptCount val="81"/>
                <c:pt idx="0">
                  <c:v>2010</c:v>
                </c:pt>
                <c:pt idx="12">
                  <c:v>2011</c:v>
                </c:pt>
                <c:pt idx="24">
                  <c:v>2012</c:v>
                </c:pt>
                <c:pt idx="36">
                  <c:v>2013</c:v>
                </c:pt>
                <c:pt idx="48">
                  <c:v>2014</c:v>
                </c:pt>
                <c:pt idx="60">
                  <c:v>2015</c:v>
                </c:pt>
                <c:pt idx="72">
                  <c:v>2016</c:v>
                </c:pt>
              </c:numCache>
            </c:numRef>
          </c:cat>
          <c:val>
            <c:numRef>
              <c:f>'[1]Preços Internos'!$B$4:$B$84</c:f>
              <c:numCache>
                <c:formatCode>General</c:formatCode>
                <c:ptCount val="81"/>
                <c:pt idx="0">
                  <c:v>280.75</c:v>
                </c:pt>
                <c:pt idx="1">
                  <c:v>278.68</c:v>
                </c:pt>
                <c:pt idx="2">
                  <c:v>279.7</c:v>
                </c:pt>
                <c:pt idx="3">
                  <c:v>282.17</c:v>
                </c:pt>
                <c:pt idx="4">
                  <c:v>289.45999999999998</c:v>
                </c:pt>
                <c:pt idx="5">
                  <c:v>305.99</c:v>
                </c:pt>
                <c:pt idx="6">
                  <c:v>302.36</c:v>
                </c:pt>
                <c:pt idx="7">
                  <c:v>313.93318181818177</c:v>
                </c:pt>
                <c:pt idx="8">
                  <c:v>328.23</c:v>
                </c:pt>
                <c:pt idx="9">
                  <c:v>327.14999999999998</c:v>
                </c:pt>
                <c:pt idx="10">
                  <c:v>355.51</c:v>
                </c:pt>
                <c:pt idx="11">
                  <c:v>387.01</c:v>
                </c:pt>
                <c:pt idx="12">
                  <c:v>433.34</c:v>
                </c:pt>
                <c:pt idx="13">
                  <c:v>495.98</c:v>
                </c:pt>
                <c:pt idx="14">
                  <c:v>524.27</c:v>
                </c:pt>
                <c:pt idx="15">
                  <c:v>524.41</c:v>
                </c:pt>
                <c:pt idx="16">
                  <c:v>530.76</c:v>
                </c:pt>
                <c:pt idx="17">
                  <c:v>515.01</c:v>
                </c:pt>
                <c:pt idx="18">
                  <c:v>457.81</c:v>
                </c:pt>
                <c:pt idx="19">
                  <c:v>470.62</c:v>
                </c:pt>
                <c:pt idx="20">
                  <c:v>511.57</c:v>
                </c:pt>
                <c:pt idx="21">
                  <c:v>490.45</c:v>
                </c:pt>
                <c:pt idx="22">
                  <c:v>493.83</c:v>
                </c:pt>
                <c:pt idx="23">
                  <c:v>491.35</c:v>
                </c:pt>
                <c:pt idx="24">
                  <c:v>485.04</c:v>
                </c:pt>
                <c:pt idx="25">
                  <c:v>441.31</c:v>
                </c:pt>
                <c:pt idx="26">
                  <c:v>387.49</c:v>
                </c:pt>
                <c:pt idx="27">
                  <c:v>379.53</c:v>
                </c:pt>
                <c:pt idx="28">
                  <c:v>382.65</c:v>
                </c:pt>
                <c:pt idx="29">
                  <c:v>360.31</c:v>
                </c:pt>
                <c:pt idx="30">
                  <c:v>408.06</c:v>
                </c:pt>
                <c:pt idx="31">
                  <c:v>378.48</c:v>
                </c:pt>
                <c:pt idx="32">
                  <c:v>385.92</c:v>
                </c:pt>
                <c:pt idx="33">
                  <c:v>374.98</c:v>
                </c:pt>
                <c:pt idx="34">
                  <c:v>355.23</c:v>
                </c:pt>
                <c:pt idx="35">
                  <c:v>341.4</c:v>
                </c:pt>
                <c:pt idx="36">
                  <c:v>341.16</c:v>
                </c:pt>
                <c:pt idx="37">
                  <c:v>317.72000000000003</c:v>
                </c:pt>
                <c:pt idx="38">
                  <c:v>303.42</c:v>
                </c:pt>
                <c:pt idx="39">
                  <c:v>300.51</c:v>
                </c:pt>
                <c:pt idx="40">
                  <c:v>297.25</c:v>
                </c:pt>
                <c:pt idx="41">
                  <c:v>285.70999999999998</c:v>
                </c:pt>
                <c:pt idx="42">
                  <c:v>287.57</c:v>
                </c:pt>
                <c:pt idx="43">
                  <c:v>286.17</c:v>
                </c:pt>
                <c:pt idx="44">
                  <c:v>273.89999999999998</c:v>
                </c:pt>
                <c:pt idx="45">
                  <c:v>253.94</c:v>
                </c:pt>
                <c:pt idx="46">
                  <c:v>247.73</c:v>
                </c:pt>
                <c:pt idx="47">
                  <c:v>272.10000000000002</c:v>
                </c:pt>
                <c:pt idx="48">
                  <c:v>289.44</c:v>
                </c:pt>
                <c:pt idx="49">
                  <c:v>366.32</c:v>
                </c:pt>
                <c:pt idx="50">
                  <c:v>437.24</c:v>
                </c:pt>
                <c:pt idx="51">
                  <c:v>449.45</c:v>
                </c:pt>
                <c:pt idx="52">
                  <c:v>429.28</c:v>
                </c:pt>
                <c:pt idx="53">
                  <c:v>396.74</c:v>
                </c:pt>
                <c:pt idx="54">
                  <c:v>387.87</c:v>
                </c:pt>
                <c:pt idx="55">
                  <c:v>437.19</c:v>
                </c:pt>
                <c:pt idx="56">
                  <c:v>433.52</c:v>
                </c:pt>
                <c:pt idx="57">
                  <c:v>480.13</c:v>
                </c:pt>
                <c:pt idx="58">
                  <c:v>460.96</c:v>
                </c:pt>
                <c:pt idx="59">
                  <c:v>455.2</c:v>
                </c:pt>
                <c:pt idx="60">
                  <c:v>465.92</c:v>
                </c:pt>
                <c:pt idx="61">
                  <c:v>459.99</c:v>
                </c:pt>
                <c:pt idx="62">
                  <c:v>447.1</c:v>
                </c:pt>
                <c:pt idx="63">
                  <c:v>445.69</c:v>
                </c:pt>
                <c:pt idx="64">
                  <c:v>421.95</c:v>
                </c:pt>
                <c:pt idx="65">
                  <c:v>424.02</c:v>
                </c:pt>
                <c:pt idx="66">
                  <c:v>414.5</c:v>
                </c:pt>
                <c:pt idx="67">
                  <c:v>455.5</c:v>
                </c:pt>
                <c:pt idx="68">
                  <c:v>456.95</c:v>
                </c:pt>
                <c:pt idx="69">
                  <c:v>478.11</c:v>
                </c:pt>
                <c:pt idx="70">
                  <c:v>469.39</c:v>
                </c:pt>
                <c:pt idx="71">
                  <c:v>479.32</c:v>
                </c:pt>
                <c:pt idx="72">
                  <c:v>491.31</c:v>
                </c:pt>
                <c:pt idx="73">
                  <c:v>489.82</c:v>
                </c:pt>
                <c:pt idx="74">
                  <c:v>491.07</c:v>
                </c:pt>
                <c:pt idx="75">
                  <c:v>463.71</c:v>
                </c:pt>
                <c:pt idx="76">
                  <c:v>460.37</c:v>
                </c:pt>
                <c:pt idx="77">
                  <c:v>484.87</c:v>
                </c:pt>
                <c:pt idx="78">
                  <c:v>498.52</c:v>
                </c:pt>
                <c:pt idx="79">
                  <c:v>478.86</c:v>
                </c:pt>
                <c:pt idx="80">
                  <c:v>502.95</c:v>
                </c:pt>
              </c:numCache>
            </c:numRef>
          </c:val>
        </c:ser>
        <c:ser>
          <c:idx val="1"/>
          <c:order val="1"/>
          <c:tx>
            <c:strRef>
              <c:f>'[1]Preços Internos'!$C$3</c:f>
              <c:strCache>
                <c:ptCount val="1"/>
                <c:pt idx="0">
                  <c:v>Robusta</c:v>
                </c:pt>
              </c:strCache>
            </c:strRef>
          </c:tx>
          <c:cat>
            <c:numRef>
              <c:f>'[1]Preços Internos'!$A$4:$A$84</c:f>
              <c:numCache>
                <c:formatCode>General</c:formatCode>
                <c:ptCount val="81"/>
                <c:pt idx="0">
                  <c:v>2010</c:v>
                </c:pt>
                <c:pt idx="12">
                  <c:v>2011</c:v>
                </c:pt>
                <c:pt idx="24">
                  <c:v>2012</c:v>
                </c:pt>
                <c:pt idx="36">
                  <c:v>2013</c:v>
                </c:pt>
                <c:pt idx="48">
                  <c:v>2014</c:v>
                </c:pt>
                <c:pt idx="60">
                  <c:v>2015</c:v>
                </c:pt>
                <c:pt idx="72">
                  <c:v>2016</c:v>
                </c:pt>
              </c:numCache>
            </c:numRef>
          </c:cat>
          <c:val>
            <c:numRef>
              <c:f>'[1]Preços Internos'!$C$4:$C$84</c:f>
              <c:numCache>
                <c:formatCode>General</c:formatCode>
                <c:ptCount val="81"/>
                <c:pt idx="0">
                  <c:v>173.51</c:v>
                </c:pt>
                <c:pt idx="1">
                  <c:v>168.47</c:v>
                </c:pt>
                <c:pt idx="2">
                  <c:v>173.67</c:v>
                </c:pt>
                <c:pt idx="3">
                  <c:v>158.22</c:v>
                </c:pt>
                <c:pt idx="4">
                  <c:v>160.51</c:v>
                </c:pt>
                <c:pt idx="5">
                  <c:v>168.17</c:v>
                </c:pt>
                <c:pt idx="6">
                  <c:v>171.5</c:v>
                </c:pt>
                <c:pt idx="7">
                  <c:v>171.44545454545457</c:v>
                </c:pt>
                <c:pt idx="8">
                  <c:v>170.03</c:v>
                </c:pt>
                <c:pt idx="9">
                  <c:v>173.81</c:v>
                </c:pt>
                <c:pt idx="10">
                  <c:v>187.14</c:v>
                </c:pt>
                <c:pt idx="11">
                  <c:v>192.83</c:v>
                </c:pt>
                <c:pt idx="12">
                  <c:v>206.21</c:v>
                </c:pt>
                <c:pt idx="13">
                  <c:v>214.32</c:v>
                </c:pt>
                <c:pt idx="14">
                  <c:v>215.81</c:v>
                </c:pt>
                <c:pt idx="15">
                  <c:v>220.82</c:v>
                </c:pt>
                <c:pt idx="16">
                  <c:v>231.69</c:v>
                </c:pt>
                <c:pt idx="17">
                  <c:v>226.82</c:v>
                </c:pt>
                <c:pt idx="18">
                  <c:v>218.48</c:v>
                </c:pt>
                <c:pt idx="19">
                  <c:v>222.01</c:v>
                </c:pt>
                <c:pt idx="20">
                  <c:v>233</c:v>
                </c:pt>
                <c:pt idx="21">
                  <c:v>244.15</c:v>
                </c:pt>
                <c:pt idx="22">
                  <c:v>269.29000000000002</c:v>
                </c:pt>
                <c:pt idx="23">
                  <c:v>297.26</c:v>
                </c:pt>
                <c:pt idx="24">
                  <c:v>296.51</c:v>
                </c:pt>
                <c:pt idx="25">
                  <c:v>270.64</c:v>
                </c:pt>
                <c:pt idx="26">
                  <c:v>255.29</c:v>
                </c:pt>
                <c:pt idx="27">
                  <c:v>248.66</c:v>
                </c:pt>
                <c:pt idx="28">
                  <c:v>253.75</c:v>
                </c:pt>
                <c:pt idx="29">
                  <c:v>252.44</c:v>
                </c:pt>
                <c:pt idx="30">
                  <c:v>275.2</c:v>
                </c:pt>
                <c:pt idx="31">
                  <c:v>276.83</c:v>
                </c:pt>
                <c:pt idx="32">
                  <c:v>287.52</c:v>
                </c:pt>
                <c:pt idx="33">
                  <c:v>283.42</c:v>
                </c:pt>
                <c:pt idx="34">
                  <c:v>266.14</c:v>
                </c:pt>
                <c:pt idx="35">
                  <c:v>256.61</c:v>
                </c:pt>
                <c:pt idx="36">
                  <c:v>267.21454545454543</c:v>
                </c:pt>
                <c:pt idx="37">
                  <c:v>264.98</c:v>
                </c:pt>
                <c:pt idx="38">
                  <c:v>253.2</c:v>
                </c:pt>
                <c:pt idx="39">
                  <c:v>250.32</c:v>
                </c:pt>
                <c:pt idx="40">
                  <c:v>250.88</c:v>
                </c:pt>
                <c:pt idx="41">
                  <c:v>245.09</c:v>
                </c:pt>
                <c:pt idx="42">
                  <c:v>248.91</c:v>
                </c:pt>
                <c:pt idx="43">
                  <c:v>253.22</c:v>
                </c:pt>
                <c:pt idx="44">
                  <c:v>236.24</c:v>
                </c:pt>
                <c:pt idx="45">
                  <c:v>205.23</c:v>
                </c:pt>
                <c:pt idx="46">
                  <c:v>198.83</c:v>
                </c:pt>
                <c:pt idx="47">
                  <c:v>223.11</c:v>
                </c:pt>
                <c:pt idx="48">
                  <c:v>226.82</c:v>
                </c:pt>
                <c:pt idx="49">
                  <c:v>243.48</c:v>
                </c:pt>
                <c:pt idx="50">
                  <c:v>263.25</c:v>
                </c:pt>
                <c:pt idx="51">
                  <c:v>256.77</c:v>
                </c:pt>
                <c:pt idx="52">
                  <c:v>245.82</c:v>
                </c:pt>
                <c:pt idx="53">
                  <c:v>235.14</c:v>
                </c:pt>
                <c:pt idx="54">
                  <c:v>242.3</c:v>
                </c:pt>
                <c:pt idx="55">
                  <c:v>248.42</c:v>
                </c:pt>
                <c:pt idx="56">
                  <c:v>250.1</c:v>
                </c:pt>
                <c:pt idx="57">
                  <c:v>264.25</c:v>
                </c:pt>
                <c:pt idx="58">
                  <c:v>277.02</c:v>
                </c:pt>
                <c:pt idx="59">
                  <c:v>275.25</c:v>
                </c:pt>
                <c:pt idx="60">
                  <c:v>283.29000000000002</c:v>
                </c:pt>
                <c:pt idx="61">
                  <c:v>299.58</c:v>
                </c:pt>
                <c:pt idx="62">
                  <c:v>303.44</c:v>
                </c:pt>
                <c:pt idx="63">
                  <c:v>295.88</c:v>
                </c:pt>
                <c:pt idx="64">
                  <c:v>290.33</c:v>
                </c:pt>
                <c:pt idx="65">
                  <c:v>301.02999999999997</c:v>
                </c:pt>
                <c:pt idx="66">
                  <c:v>307.41000000000003</c:v>
                </c:pt>
                <c:pt idx="67">
                  <c:v>324.95</c:v>
                </c:pt>
                <c:pt idx="68">
                  <c:v>340.62</c:v>
                </c:pt>
                <c:pt idx="69">
                  <c:v>363.91</c:v>
                </c:pt>
                <c:pt idx="70">
                  <c:v>375.28</c:v>
                </c:pt>
                <c:pt idx="71">
                  <c:v>378.98</c:v>
                </c:pt>
                <c:pt idx="72">
                  <c:v>389.07</c:v>
                </c:pt>
                <c:pt idx="73">
                  <c:v>393.61</c:v>
                </c:pt>
                <c:pt idx="74">
                  <c:v>363.88</c:v>
                </c:pt>
                <c:pt idx="75">
                  <c:v>379.33</c:v>
                </c:pt>
                <c:pt idx="76">
                  <c:v>386.95</c:v>
                </c:pt>
                <c:pt idx="77">
                  <c:v>391.41</c:v>
                </c:pt>
                <c:pt idx="78">
                  <c:v>409.99</c:v>
                </c:pt>
                <c:pt idx="79">
                  <c:v>422.88</c:v>
                </c:pt>
                <c:pt idx="80">
                  <c:v>436.87</c:v>
                </c:pt>
              </c:numCache>
            </c:numRef>
          </c:val>
        </c:ser>
        <c:marker val="1"/>
        <c:axId val="64490496"/>
        <c:axId val="64500480"/>
      </c:lineChart>
      <c:catAx>
        <c:axId val="64490496"/>
        <c:scaling>
          <c:orientation val="minMax"/>
        </c:scaling>
        <c:axPos val="b"/>
        <c:numFmt formatCode="General" sourceLinked="1"/>
        <c:tickLblPos val="nextTo"/>
        <c:crossAx val="64500480"/>
        <c:crosses val="autoZero"/>
        <c:auto val="1"/>
        <c:lblAlgn val="ctr"/>
        <c:lblOffset val="100"/>
      </c:catAx>
      <c:valAx>
        <c:axId val="64500480"/>
        <c:scaling>
          <c:orientation val="minMax"/>
          <c:min val="100"/>
        </c:scaling>
        <c:axPos val="l"/>
        <c:majorGridlines/>
        <c:numFmt formatCode="General" sourceLinked="1"/>
        <c:tickLblPos val="nextTo"/>
        <c:crossAx val="64490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537494721677138"/>
          <c:y val="0.17344901792489248"/>
          <c:w val="0.48684733020359833"/>
          <c:h val="6.7675237277804723E-2"/>
        </c:manualLayout>
      </c:layout>
    </c:legend>
    <c:plotVisOnly val="1"/>
    <c:dispBlanksAs val="gap"/>
  </c:chart>
  <c:spPr>
    <a:solidFill>
      <a:schemeClr val="tx2">
        <a:lumMod val="20000"/>
        <a:lumOff val="80000"/>
      </a:schemeClr>
    </a:solidFill>
  </c:spPr>
  <c:printSettings>
    <c:headerFooter/>
    <c:pageMargins b="0.78740157499999996" l="0.511811024" r="0.511811024" t="0.78740157499999996" header="0.31496062000000086" footer="0.31496062000000086"/>
    <c:pageSetup paperSize="9"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Receita Cambial 2016/15</a:t>
            </a:r>
          </a:p>
        </c:rich>
      </c:tx>
      <c:layout>
        <c:manualLayout>
          <c:xMode val="edge"/>
          <c:yMode val="edge"/>
          <c:x val="0.31537930331527797"/>
          <c:y val="4.74585676790401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10391756585982"/>
          <c:y val="0.20647815784160894"/>
          <c:w val="0.69132469552420062"/>
          <c:h val="0.61538583190835361"/>
        </c:manualLayout>
      </c:layout>
      <c:barChart>
        <c:barDir val="col"/>
        <c:grouping val="clustered"/>
        <c:ser>
          <c:idx val="0"/>
          <c:order val="0"/>
          <c:tx>
            <c:v>2016 Receita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'14.Exp. Verde'!$C$6:$C$14</c:f>
              <c:numCache>
                <c:formatCode>_(* #,##0_);_(* \(#,##0\);_(* "-"??_);_(@_)</c:formatCode>
                <c:ptCount val="9"/>
                <c:pt idx="0">
                  <c:v>363398.93</c:v>
                </c:pt>
                <c:pt idx="1">
                  <c:v>396956.48499999999</c:v>
                </c:pt>
                <c:pt idx="2">
                  <c:v>405948.70199999999</c:v>
                </c:pt>
                <c:pt idx="3">
                  <c:v>325534.90000000002</c:v>
                </c:pt>
                <c:pt idx="4">
                  <c:v>314619.17599999998</c:v>
                </c:pt>
                <c:pt idx="5">
                  <c:v>303318.70899999997</c:v>
                </c:pt>
                <c:pt idx="6">
                  <c:v>271397.77299999999</c:v>
                </c:pt>
                <c:pt idx="7">
                  <c:v>422169.56599999999</c:v>
                </c:pt>
                <c:pt idx="8">
                  <c:v>458760.48800000001</c:v>
                </c:pt>
              </c:numCache>
            </c:numRef>
          </c:val>
        </c:ser>
        <c:ser>
          <c:idx val="1"/>
          <c:order val="1"/>
          <c:tx>
            <c:v>2015 Receita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('14.Exp. Verde'!$F$6:$F$14,'14.Exp. Verde'!$F$16:$F$18)</c:f>
              <c:numCache>
                <c:formatCode>_(* #,##0_);_(* \(#,##0\);_(* "-"??_);_(@_)</c:formatCode>
                <c:ptCount val="12"/>
                <c:pt idx="0">
                  <c:v>546288</c:v>
                </c:pt>
                <c:pt idx="1">
                  <c:v>493482</c:v>
                </c:pt>
                <c:pt idx="2">
                  <c:v>519708</c:v>
                </c:pt>
                <c:pt idx="3">
                  <c:v>468848</c:v>
                </c:pt>
                <c:pt idx="4">
                  <c:v>434545</c:v>
                </c:pt>
                <c:pt idx="5">
                  <c:v>392821</c:v>
                </c:pt>
                <c:pt idx="6">
                  <c:v>405777</c:v>
                </c:pt>
                <c:pt idx="7">
                  <c:v>424162</c:v>
                </c:pt>
                <c:pt idx="8">
                  <c:v>456927.7</c:v>
                </c:pt>
                <c:pt idx="9">
                  <c:v>501694</c:v>
                </c:pt>
                <c:pt idx="10">
                  <c:v>461321</c:v>
                </c:pt>
                <c:pt idx="11">
                  <c:v>449840.8</c:v>
                </c:pt>
              </c:numCache>
            </c:numRef>
          </c:val>
        </c:ser>
        <c:axId val="83518208"/>
        <c:axId val="83520128"/>
      </c:barChart>
      <c:catAx>
        <c:axId val="835182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 sz="800"/>
                  <a:t>Mês</a:t>
                </a:r>
              </a:p>
            </c:rich>
          </c:tx>
          <c:layout>
            <c:manualLayout>
              <c:xMode val="edge"/>
              <c:yMode val="edge"/>
              <c:x val="0.40700812883826432"/>
              <c:y val="0.898787151606049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520128"/>
        <c:crosses val="autoZero"/>
        <c:auto val="1"/>
        <c:lblAlgn val="ctr"/>
        <c:lblOffset val="100"/>
        <c:tickLblSkip val="1"/>
        <c:tickMarkSkip val="1"/>
      </c:catAx>
      <c:valAx>
        <c:axId val="835201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518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30685727390875"/>
          <c:y val="0.20616322959630895"/>
          <c:w val="0.13752057691816769"/>
          <c:h val="0.61435070616172971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2475" footer="0.49212598500002475"/>
    <c:pageSetup paperSize="9" orientation="landscape" horizont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Volume 2016/15</a:t>
            </a:r>
          </a:p>
        </c:rich>
      </c:tx>
      <c:layout>
        <c:manualLayout>
          <c:xMode val="edge"/>
          <c:yMode val="edge"/>
          <c:x val="0.38582779094363762"/>
          <c:y val="4.04858119150201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35475453872042"/>
          <c:y val="0.19433236797105888"/>
          <c:w val="0.64879408730625165"/>
          <c:h val="0.63033079542743109"/>
        </c:manualLayout>
      </c:layout>
      <c:barChart>
        <c:barDir val="col"/>
        <c:grouping val="clustered"/>
        <c:ser>
          <c:idx val="0"/>
          <c:order val="0"/>
          <c:tx>
            <c:v>2016 Volume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'14.Exp. Verde'!$D$6:$D$14</c:f>
              <c:numCache>
                <c:formatCode>_(* #,##0_);_(* \(#,##0\);_(* "-"??_);_(@_)</c:formatCode>
                <c:ptCount val="9"/>
                <c:pt idx="0">
                  <c:v>2485113.2999999998</c:v>
                </c:pt>
                <c:pt idx="1">
                  <c:v>2668755.58</c:v>
                </c:pt>
                <c:pt idx="2">
                  <c:v>2775268.8029999998</c:v>
                </c:pt>
                <c:pt idx="3">
                  <c:v>2232325.3670000001</c:v>
                </c:pt>
                <c:pt idx="4">
                  <c:v>2167831.2000000002</c:v>
                </c:pt>
                <c:pt idx="5">
                  <c:v>2064339.7</c:v>
                </c:pt>
                <c:pt idx="6">
                  <c:v>1737406.45</c:v>
                </c:pt>
                <c:pt idx="7">
                  <c:v>2624624.65</c:v>
                </c:pt>
                <c:pt idx="8">
                  <c:v>2755437.85</c:v>
                </c:pt>
              </c:numCache>
            </c:numRef>
          </c:val>
        </c:ser>
        <c:ser>
          <c:idx val="1"/>
          <c:order val="1"/>
          <c:tx>
            <c:v>2015 Volume</c:v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val>
            <c:numRef>
              <c:f>('14.Exp. Verde'!$G$6:$G$14,'14.Exp. Verde'!$G$16:$G$18)</c:f>
              <c:numCache>
                <c:formatCode>_(* #,##0_);_(* \(#,##0\);_(* "-"??_);_(@_)</c:formatCode>
                <c:ptCount val="12"/>
                <c:pt idx="0">
                  <c:v>2724750</c:v>
                </c:pt>
                <c:pt idx="1">
                  <c:v>2513466.67</c:v>
                </c:pt>
                <c:pt idx="2">
                  <c:v>2860383.3333333335</c:v>
                </c:pt>
                <c:pt idx="3">
                  <c:v>2815050</c:v>
                </c:pt>
                <c:pt idx="4">
                  <c:v>2630416.6666666665</c:v>
                </c:pt>
                <c:pt idx="5">
                  <c:v>2386266.6666666665</c:v>
                </c:pt>
                <c:pt idx="6">
                  <c:v>2499100</c:v>
                </c:pt>
                <c:pt idx="7">
                  <c:v>2669921</c:v>
                </c:pt>
                <c:pt idx="8">
                  <c:v>2918545.8</c:v>
                </c:pt>
                <c:pt idx="9">
                  <c:v>3306499</c:v>
                </c:pt>
                <c:pt idx="10">
                  <c:v>3116101</c:v>
                </c:pt>
                <c:pt idx="11">
                  <c:v>2976734</c:v>
                </c:pt>
              </c:numCache>
            </c:numRef>
          </c:val>
        </c:ser>
        <c:axId val="76876800"/>
        <c:axId val="76887168"/>
      </c:barChart>
      <c:catAx>
        <c:axId val="768768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2519785988289932"/>
              <c:y val="0.9119364005119194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6887168"/>
        <c:crosses val="autoZero"/>
        <c:auto val="1"/>
        <c:lblAlgn val="ctr"/>
        <c:lblOffset val="100"/>
        <c:tickLblSkip val="1"/>
        <c:tickMarkSkip val="1"/>
      </c:catAx>
      <c:valAx>
        <c:axId val="768871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6876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0179395051347"/>
          <c:y val="0.19973109493388788"/>
          <c:w val="0.13161277170450617"/>
          <c:h val="0.62077178369233565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2475" footer="0.49212598500002475"/>
    <c:pageSetup paperSize="9" orientation="landscape" horizontalDpi="-2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Volume 2016/15</a:t>
            </a:r>
          </a:p>
        </c:rich>
      </c:tx>
      <c:layout>
        <c:manualLayout>
          <c:xMode val="edge"/>
          <c:yMode val="edge"/>
          <c:x val="0.38582779094363739"/>
          <c:y val="4.04858119150201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35475453872042"/>
          <c:y val="0.16233238845144987"/>
          <c:w val="0.64879408730625165"/>
          <c:h val="0.59070572178477687"/>
        </c:manualLayout>
      </c:layout>
      <c:barChart>
        <c:barDir val="col"/>
        <c:grouping val="clustered"/>
        <c:ser>
          <c:idx val="0"/>
          <c:order val="0"/>
          <c:tx>
            <c:v>2016 Volume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'15.Exp. Solúvel'!$D$6:$D$14</c:f>
              <c:numCache>
                <c:formatCode>_(* #,##0_);_(* \(#,##0\);_(* "-"??_);_(@_)</c:formatCode>
                <c:ptCount val="9"/>
                <c:pt idx="0">
                  <c:v>250387.41</c:v>
                </c:pt>
                <c:pt idx="1">
                  <c:v>318061.08</c:v>
                </c:pt>
                <c:pt idx="2">
                  <c:v>306639.14299999998</c:v>
                </c:pt>
                <c:pt idx="3">
                  <c:v>265805.17330000002</c:v>
                </c:pt>
                <c:pt idx="4">
                  <c:v>269620.45400000003</c:v>
                </c:pt>
                <c:pt idx="5">
                  <c:v>305736.64</c:v>
                </c:pt>
                <c:pt idx="6">
                  <c:v>307123.47333333298</c:v>
                </c:pt>
                <c:pt idx="7">
                  <c:v>316419.04333333299</c:v>
                </c:pt>
                <c:pt idx="8">
                  <c:v>336167.174</c:v>
                </c:pt>
              </c:numCache>
            </c:numRef>
          </c:val>
        </c:ser>
        <c:ser>
          <c:idx val="1"/>
          <c:order val="1"/>
          <c:tx>
            <c:v>2015 Volume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('15.Exp. Solúvel'!$G$6:$G$14,'15.Exp. Solúvel'!$G$16:$G$18)</c:f>
              <c:numCache>
                <c:formatCode>_(* #,##0_);_(* \(#,##0\);_(* "-"??_);_(@_)</c:formatCode>
                <c:ptCount val="12"/>
                <c:pt idx="0">
                  <c:v>228973.33333333334</c:v>
                </c:pt>
                <c:pt idx="1">
                  <c:v>235993.33333333334</c:v>
                </c:pt>
                <c:pt idx="2">
                  <c:v>289813.33333333331</c:v>
                </c:pt>
                <c:pt idx="3">
                  <c:v>306626.66666666669</c:v>
                </c:pt>
                <c:pt idx="4">
                  <c:v>266023.33333333331</c:v>
                </c:pt>
                <c:pt idx="5">
                  <c:v>307406.66666666669</c:v>
                </c:pt>
                <c:pt idx="6">
                  <c:v>315553</c:v>
                </c:pt>
                <c:pt idx="7">
                  <c:v>306961.11300000001</c:v>
                </c:pt>
                <c:pt idx="8">
                  <c:v>297746.40000000002</c:v>
                </c:pt>
                <c:pt idx="9">
                  <c:v>298776.53000000003</c:v>
                </c:pt>
                <c:pt idx="10">
                  <c:v>224483</c:v>
                </c:pt>
                <c:pt idx="11">
                  <c:v>306532</c:v>
                </c:pt>
              </c:numCache>
            </c:numRef>
          </c:val>
        </c:ser>
        <c:axId val="76937088"/>
        <c:axId val="83697664"/>
      </c:barChart>
      <c:catAx>
        <c:axId val="769370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2519786968376538"/>
              <c:y val="0.8623498241965418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697664"/>
        <c:crosses val="autoZero"/>
        <c:auto val="1"/>
        <c:lblAlgn val="ctr"/>
        <c:lblOffset val="100"/>
        <c:tickLblSkip val="1"/>
        <c:tickMarkSkip val="1"/>
      </c:catAx>
      <c:valAx>
        <c:axId val="836976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6937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0179395051347"/>
          <c:y val="0.16048587926509186"/>
          <c:w val="0.13856458476670999"/>
          <c:h val="0.5990059842519444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2458" footer="0.49212598500002458"/>
    <c:pageSetup paperSize="9" orientation="landscape" horizontalDpi="-2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Receita Cambial 2016/15</a:t>
            </a:r>
          </a:p>
        </c:rich>
      </c:tx>
      <c:layout>
        <c:manualLayout>
          <c:xMode val="edge"/>
          <c:yMode val="edge"/>
          <c:x val="0.31537930331527819"/>
          <c:y val="4.74585676790401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10391756585982"/>
          <c:y val="0.15809118618238535"/>
          <c:w val="0.69132469552420062"/>
          <c:h val="0.66377275421220061"/>
        </c:manualLayout>
      </c:layout>
      <c:barChart>
        <c:barDir val="col"/>
        <c:grouping val="clustered"/>
        <c:ser>
          <c:idx val="0"/>
          <c:order val="0"/>
          <c:tx>
            <c:v>2016 Receita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'15.Exp. Solúvel'!$C$6:$C$14</c:f>
              <c:numCache>
                <c:formatCode>_(* #,##0_);_(* \(#,##0\);_(* "-"??_);_(@_)</c:formatCode>
                <c:ptCount val="9"/>
                <c:pt idx="0">
                  <c:v>37861.644</c:v>
                </c:pt>
                <c:pt idx="1">
                  <c:v>47089.56</c:v>
                </c:pt>
                <c:pt idx="2">
                  <c:v>45282.055</c:v>
                </c:pt>
                <c:pt idx="3">
                  <c:v>40252.156000000003</c:v>
                </c:pt>
                <c:pt idx="4">
                  <c:v>40721.891000000003</c:v>
                </c:pt>
                <c:pt idx="5">
                  <c:v>45206.985000000001</c:v>
                </c:pt>
                <c:pt idx="6">
                  <c:v>47333.127999999997</c:v>
                </c:pt>
                <c:pt idx="7">
                  <c:v>50337.483999999997</c:v>
                </c:pt>
                <c:pt idx="8">
                  <c:v>52989.32</c:v>
                </c:pt>
              </c:numCache>
            </c:numRef>
          </c:val>
        </c:ser>
        <c:ser>
          <c:idx val="1"/>
          <c:order val="1"/>
          <c:tx>
            <c:v>2015 Receita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('15.Exp. Solúvel'!$F$6:$F$14,'15.Exp. Solúvel'!$F$16:$F$18)</c:f>
              <c:numCache>
                <c:formatCode>_(* #,##0_);_(* \(#,##0\);_(* "-"??_);_(@_)</c:formatCode>
                <c:ptCount val="12"/>
                <c:pt idx="0">
                  <c:v>39831</c:v>
                </c:pt>
                <c:pt idx="1">
                  <c:v>42123</c:v>
                </c:pt>
                <c:pt idx="2">
                  <c:v>50779</c:v>
                </c:pt>
                <c:pt idx="3">
                  <c:v>51658</c:v>
                </c:pt>
                <c:pt idx="4">
                  <c:v>44442</c:v>
                </c:pt>
                <c:pt idx="5">
                  <c:v>51099</c:v>
                </c:pt>
                <c:pt idx="6">
                  <c:v>50698</c:v>
                </c:pt>
                <c:pt idx="7">
                  <c:v>50178.065000000002</c:v>
                </c:pt>
                <c:pt idx="8">
                  <c:v>47654.6</c:v>
                </c:pt>
                <c:pt idx="9">
                  <c:v>46968.487000000001</c:v>
                </c:pt>
                <c:pt idx="10">
                  <c:v>34466</c:v>
                </c:pt>
                <c:pt idx="11">
                  <c:v>46507.150999999998</c:v>
                </c:pt>
              </c:numCache>
            </c:numRef>
          </c:val>
        </c:ser>
        <c:axId val="83730816"/>
        <c:axId val="83732736"/>
      </c:barChart>
      <c:catAx>
        <c:axId val="837308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 sz="800"/>
                  <a:t>Mês</a:t>
                </a:r>
              </a:p>
            </c:rich>
          </c:tx>
          <c:layout>
            <c:manualLayout>
              <c:xMode val="edge"/>
              <c:yMode val="edge"/>
              <c:x val="0.40700812883826432"/>
              <c:y val="0.898787151606049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732736"/>
        <c:crosses val="autoZero"/>
        <c:auto val="1"/>
        <c:lblAlgn val="ctr"/>
        <c:lblOffset val="100"/>
        <c:tickLblSkip val="1"/>
        <c:tickMarkSkip val="1"/>
      </c:catAx>
      <c:valAx>
        <c:axId val="837327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730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30685727390875"/>
          <c:y val="0.16315256963846778"/>
          <c:w val="0.13752057691816763"/>
          <c:h val="0.65736135805604945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2491" footer="0.49212598500002491"/>
    <c:pageSetup paperSize="9" orientation="landscape" horizontalDpi="-4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Receita Cambial 2016/15</a:t>
            </a:r>
          </a:p>
        </c:rich>
      </c:tx>
      <c:layout>
        <c:manualLayout>
          <c:xMode val="edge"/>
          <c:yMode val="edge"/>
          <c:x val="0.31537930331527769"/>
          <c:y val="4.74585676790401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10391756585982"/>
          <c:y val="0.20647815784160894"/>
          <c:w val="0.69132469552420062"/>
          <c:h val="0.61538583190835361"/>
        </c:manualLayout>
      </c:layout>
      <c:barChart>
        <c:barDir val="col"/>
        <c:grouping val="clustered"/>
        <c:ser>
          <c:idx val="0"/>
          <c:order val="0"/>
          <c:tx>
            <c:v>2016 Receita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'16.Exp. Torrado'!$C$6:$C$14</c:f>
              <c:numCache>
                <c:formatCode>_(* #,##0_);_(* \(#,##0\);_(* "-"??_);_(@_)</c:formatCode>
                <c:ptCount val="9"/>
                <c:pt idx="0">
                  <c:v>596.52300000000002</c:v>
                </c:pt>
                <c:pt idx="1">
                  <c:v>1116.1300000000001</c:v>
                </c:pt>
                <c:pt idx="2">
                  <c:v>596.02599999999995</c:v>
                </c:pt>
                <c:pt idx="3">
                  <c:v>976.71400000000006</c:v>
                </c:pt>
                <c:pt idx="4">
                  <c:v>484.339</c:v>
                </c:pt>
                <c:pt idx="5">
                  <c:v>1149.9290000000001</c:v>
                </c:pt>
                <c:pt idx="6">
                  <c:v>878.56899999999996</c:v>
                </c:pt>
                <c:pt idx="7">
                  <c:v>1004.448</c:v>
                </c:pt>
                <c:pt idx="8">
                  <c:v>861.88599999999997</c:v>
                </c:pt>
              </c:numCache>
            </c:numRef>
          </c:val>
        </c:ser>
        <c:ser>
          <c:idx val="1"/>
          <c:order val="1"/>
          <c:tx>
            <c:v>2015 Receita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('16.Exp. Torrado'!$F$6:$F$14,'16.Exp. Torrado'!$F$16:$F$18)</c:f>
              <c:numCache>
                <c:formatCode>_(* #,##0_);_(* \(#,##0\);_(* "-"??_);_(@_)</c:formatCode>
                <c:ptCount val="12"/>
                <c:pt idx="0">
                  <c:v>302</c:v>
                </c:pt>
                <c:pt idx="1">
                  <c:v>912</c:v>
                </c:pt>
                <c:pt idx="2">
                  <c:v>1146</c:v>
                </c:pt>
                <c:pt idx="3">
                  <c:v>607</c:v>
                </c:pt>
                <c:pt idx="4">
                  <c:v>795</c:v>
                </c:pt>
                <c:pt idx="5">
                  <c:v>1280</c:v>
                </c:pt>
                <c:pt idx="6">
                  <c:v>1103</c:v>
                </c:pt>
                <c:pt idx="7">
                  <c:v>804.88699999999994</c:v>
                </c:pt>
                <c:pt idx="8">
                  <c:v>815.2</c:v>
                </c:pt>
                <c:pt idx="9">
                  <c:v>1003.873</c:v>
                </c:pt>
                <c:pt idx="10">
                  <c:v>455</c:v>
                </c:pt>
                <c:pt idx="11">
                  <c:v>855</c:v>
                </c:pt>
              </c:numCache>
            </c:numRef>
          </c:val>
        </c:ser>
        <c:axId val="83758080"/>
        <c:axId val="83760256"/>
      </c:barChart>
      <c:catAx>
        <c:axId val="83758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0700812883826432"/>
              <c:y val="0.898787151606049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760256"/>
        <c:crosses val="autoZero"/>
        <c:auto val="1"/>
        <c:lblAlgn val="ctr"/>
        <c:lblOffset val="100"/>
        <c:tickLblSkip val="1"/>
        <c:tickMarkSkip val="1"/>
      </c:catAx>
      <c:valAx>
        <c:axId val="837602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37580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30685727390875"/>
          <c:y val="0.20616322959630887"/>
          <c:w val="0.13752057691816777"/>
          <c:h val="0.61435070616172971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2458" footer="0.49212598500002458"/>
    <c:pageSetup paperSize="9" orientation="landscape" horizont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3248024</xdr:colOff>
      <xdr:row>6</xdr:row>
      <xdr:rowOff>200024</xdr:rowOff>
    </xdr:from>
    <xdr:to>
      <xdr:col>1</xdr:col>
      <xdr:colOff>5200649</xdr:colOff>
      <xdr:row>18</xdr:row>
      <xdr:rowOff>57149</xdr:rowOff>
    </xdr:to>
    <xdr:pic>
      <xdr:nvPicPr>
        <xdr:cNvPr id="5798942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8999" y="1476374"/>
          <a:ext cx="1952625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0.18927</cdr:x>
      <cdr:y>0.02844</cdr:y>
    </cdr:from>
    <cdr:to>
      <cdr:x>0.764</cdr:x>
      <cdr:y>0.15068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142973" y="114301"/>
          <a:ext cx="3470689" cy="491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pt-BR" sz="1400" b="1"/>
            <a:t>Evolução Mensal dos Preços</a:t>
          </a:r>
          <a:r>
            <a:rPr lang="pt-BR" sz="1400" b="1" baseline="0"/>
            <a:t> do Café</a:t>
          </a:r>
        </a:p>
        <a:p xmlns:a="http://schemas.openxmlformats.org/drawingml/2006/main">
          <a:pPr algn="ctr"/>
          <a:r>
            <a:rPr lang="pt-BR" baseline="0"/>
            <a:t>Em R$ por saca  - 2010 a  09/2016</a:t>
          </a:r>
        </a:p>
        <a:p xmlns:a="http://schemas.openxmlformats.org/drawingml/2006/main">
          <a:endParaRPr lang="pt-BR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76201</xdr:rowOff>
    </xdr:from>
    <xdr:to>
      <xdr:col>2</xdr:col>
      <xdr:colOff>581025</xdr:colOff>
      <xdr:row>3</xdr:row>
      <xdr:rowOff>38101</xdr:rowOff>
    </xdr:to>
    <xdr:pic>
      <xdr:nvPicPr>
        <xdr:cNvPr id="957858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304801"/>
          <a:ext cx="371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1</xdr:row>
      <xdr:rowOff>200025</xdr:rowOff>
    </xdr:from>
    <xdr:to>
      <xdr:col>9</xdr:col>
      <xdr:colOff>523875</xdr:colOff>
      <xdr:row>3</xdr:row>
      <xdr:rowOff>219075</xdr:rowOff>
    </xdr:to>
    <xdr:pic>
      <xdr:nvPicPr>
        <xdr:cNvPr id="2448266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15300" y="390525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609600</xdr:colOff>
      <xdr:row>2</xdr:row>
      <xdr:rowOff>209549</xdr:rowOff>
    </xdr:from>
    <xdr:to>
      <xdr:col>12</xdr:col>
      <xdr:colOff>0</xdr:colOff>
      <xdr:row>6</xdr:row>
      <xdr:rowOff>28574</xdr:rowOff>
    </xdr:to>
    <xdr:pic>
      <xdr:nvPicPr>
        <xdr:cNvPr id="5640320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3800" y="695324"/>
          <a:ext cx="7143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21</xdr:row>
      <xdr:rowOff>104775</xdr:rowOff>
    </xdr:from>
    <xdr:to>
      <xdr:col>6</xdr:col>
      <xdr:colOff>342900</xdr:colOff>
      <xdr:row>32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542925</xdr:colOff>
      <xdr:row>21</xdr:row>
      <xdr:rowOff>104775</xdr:rowOff>
    </xdr:from>
    <xdr:to>
      <xdr:col>11</xdr:col>
      <xdr:colOff>752475</xdr:colOff>
      <xdr:row>32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542925</xdr:colOff>
      <xdr:row>21</xdr:row>
      <xdr:rowOff>66675</xdr:rowOff>
    </xdr:from>
    <xdr:to>
      <xdr:col>11</xdr:col>
      <xdr:colOff>752475</xdr:colOff>
      <xdr:row>32</xdr:row>
      <xdr:rowOff>95250</xdr:rowOff>
    </xdr:to>
    <xdr:graphicFrame macro="">
      <xdr:nvGraphicFramePr>
        <xdr:cNvPr id="61685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238125</xdr:colOff>
      <xdr:row>21</xdr:row>
      <xdr:rowOff>76200</xdr:rowOff>
    </xdr:from>
    <xdr:to>
      <xdr:col>6</xdr:col>
      <xdr:colOff>371475</xdr:colOff>
      <xdr:row>32</xdr:row>
      <xdr:rowOff>85725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21</xdr:row>
      <xdr:rowOff>66675</xdr:rowOff>
    </xdr:from>
    <xdr:to>
      <xdr:col>6</xdr:col>
      <xdr:colOff>304800</xdr:colOff>
      <xdr:row>32</xdr:row>
      <xdr:rowOff>76200</xdr:rowOff>
    </xdr:to>
    <xdr:graphicFrame macro="">
      <xdr:nvGraphicFramePr>
        <xdr:cNvPr id="61716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542925</xdr:colOff>
      <xdr:row>21</xdr:row>
      <xdr:rowOff>66675</xdr:rowOff>
    </xdr:from>
    <xdr:to>
      <xdr:col>11</xdr:col>
      <xdr:colOff>752475</xdr:colOff>
      <xdr:row>32</xdr:row>
      <xdr:rowOff>95250</xdr:rowOff>
    </xdr:to>
    <xdr:graphicFrame macro="">
      <xdr:nvGraphicFramePr>
        <xdr:cNvPr id="61716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21</xdr:row>
      <xdr:rowOff>66675</xdr:rowOff>
    </xdr:from>
    <xdr:to>
      <xdr:col>6</xdr:col>
      <xdr:colOff>304800</xdr:colOff>
      <xdr:row>32</xdr:row>
      <xdr:rowOff>76200</xdr:rowOff>
    </xdr:to>
    <xdr:graphicFrame macro="">
      <xdr:nvGraphicFramePr>
        <xdr:cNvPr id="61747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542925</xdr:colOff>
      <xdr:row>21</xdr:row>
      <xdr:rowOff>66675</xdr:rowOff>
    </xdr:from>
    <xdr:to>
      <xdr:col>11</xdr:col>
      <xdr:colOff>752475</xdr:colOff>
      <xdr:row>32</xdr:row>
      <xdr:rowOff>95250</xdr:rowOff>
    </xdr:to>
    <xdr:graphicFrame macro="">
      <xdr:nvGraphicFramePr>
        <xdr:cNvPr id="617473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171451</xdr:colOff>
      <xdr:row>21</xdr:row>
      <xdr:rowOff>66675</xdr:rowOff>
    </xdr:from>
    <xdr:to>
      <xdr:col>9</xdr:col>
      <xdr:colOff>0</xdr:colOff>
      <xdr:row>31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123825</xdr:colOff>
      <xdr:row>21</xdr:row>
      <xdr:rowOff>66675</xdr:rowOff>
    </xdr:from>
    <xdr:to>
      <xdr:col>16</xdr:col>
      <xdr:colOff>209550</xdr:colOff>
      <xdr:row>32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10</xdr:col>
      <xdr:colOff>190500</xdr:colOff>
      <xdr:row>27</xdr:row>
      <xdr:rowOff>142875</xdr:rowOff>
    </xdr:to>
    <xdr:graphicFrame macro="">
      <xdr:nvGraphicFramePr>
        <xdr:cNvPr id="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3248025</xdr:colOff>
      <xdr:row>7</xdr:row>
      <xdr:rowOff>200025</xdr:rowOff>
    </xdr:from>
    <xdr:to>
      <xdr:col>1</xdr:col>
      <xdr:colOff>3248025</xdr:colOff>
      <xdr:row>18</xdr:row>
      <xdr:rowOff>28575</xdr:rowOff>
    </xdr:to>
    <xdr:pic>
      <xdr:nvPicPr>
        <xdr:cNvPr id="5748765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1419225"/>
          <a:ext cx="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0.26818</cdr:x>
      <cdr:y>0.03819</cdr:y>
    </cdr:from>
    <cdr:to>
      <cdr:x>0.78333</cdr:x>
      <cdr:y>0.14236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85926" y="104775"/>
          <a:ext cx="32385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ctr"/>
          <a:r>
            <a:rPr lang="pt-BR" sz="1100" b="1">
              <a:latin typeface="Arial" pitchFamily="34" charset="0"/>
              <a:cs typeface="Arial" pitchFamily="34" charset="0"/>
            </a:rPr>
            <a:t>Evolução</a:t>
          </a:r>
          <a:r>
            <a:rPr lang="pt-BR" sz="1100" b="1" baseline="0">
              <a:latin typeface="Arial" pitchFamily="34" charset="0"/>
              <a:cs typeface="Arial" pitchFamily="34" charset="0"/>
            </a:rPr>
            <a:t> da Produção de Café Arábica, Conilon e Total</a:t>
          </a:r>
        </a:p>
        <a:p xmlns:a="http://schemas.openxmlformats.org/drawingml/2006/main">
          <a:pPr algn="ctr"/>
          <a:r>
            <a:rPr lang="pt-BR" sz="1000" baseline="0">
              <a:latin typeface="Arial" pitchFamily="34" charset="0"/>
              <a:cs typeface="Arial" pitchFamily="34" charset="0"/>
            </a:rPr>
            <a:t>Em milhões de sacas</a:t>
          </a:r>
          <a:endParaRPr lang="pt-BR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3248025</xdr:colOff>
      <xdr:row>7</xdr:row>
      <xdr:rowOff>200025</xdr:rowOff>
    </xdr:from>
    <xdr:to>
      <xdr:col>2</xdr:col>
      <xdr:colOff>3248025</xdr:colOff>
      <xdr:row>19</xdr:row>
      <xdr:rowOff>19050</xdr:rowOff>
    </xdr:to>
    <xdr:pic>
      <xdr:nvPicPr>
        <xdr:cNvPr id="5812253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1419225"/>
          <a:ext cx="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3248025</xdr:colOff>
      <xdr:row>8</xdr:row>
      <xdr:rowOff>200025</xdr:rowOff>
    </xdr:from>
    <xdr:to>
      <xdr:col>2</xdr:col>
      <xdr:colOff>0</xdr:colOff>
      <xdr:row>20</xdr:row>
      <xdr:rowOff>19050</xdr:rowOff>
    </xdr:to>
    <xdr:pic>
      <xdr:nvPicPr>
        <xdr:cNvPr id="3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90950" y="1628775"/>
          <a:ext cx="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7531</xdr:colOff>
      <xdr:row>1</xdr:row>
      <xdr:rowOff>123825</xdr:rowOff>
    </xdr:from>
    <xdr:to>
      <xdr:col>19</xdr:col>
      <xdr:colOff>95250</xdr:colOff>
      <xdr:row>5</xdr:row>
      <xdr:rowOff>66675</xdr:rowOff>
    </xdr:to>
    <xdr:pic>
      <xdr:nvPicPr>
        <xdr:cNvPr id="1482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84806" y="333375"/>
          <a:ext cx="563969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828675</xdr:colOff>
      <xdr:row>2</xdr:row>
      <xdr:rowOff>0</xdr:rowOff>
    </xdr:from>
    <xdr:to>
      <xdr:col>10</xdr:col>
      <xdr:colOff>28575</xdr:colOff>
      <xdr:row>3</xdr:row>
      <xdr:rowOff>209550</xdr:rowOff>
    </xdr:to>
    <xdr:pic>
      <xdr:nvPicPr>
        <xdr:cNvPr id="917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77100" y="571500"/>
          <a:ext cx="1162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276225</xdr:rowOff>
    </xdr:from>
    <xdr:to>
      <xdr:col>2</xdr:col>
      <xdr:colOff>647700</xdr:colOff>
      <xdr:row>4</xdr:row>
      <xdr:rowOff>133350</xdr:rowOff>
    </xdr:to>
    <xdr:pic>
      <xdr:nvPicPr>
        <xdr:cNvPr id="917321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504825"/>
          <a:ext cx="6477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200025</xdr:rowOff>
    </xdr:from>
    <xdr:to>
      <xdr:col>0</xdr:col>
      <xdr:colOff>0</xdr:colOff>
      <xdr:row>16</xdr:row>
      <xdr:rowOff>66675</xdr:rowOff>
    </xdr:to>
    <xdr:pic>
      <xdr:nvPicPr>
        <xdr:cNvPr id="5850163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1419225"/>
          <a:ext cx="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</xdr:row>
      <xdr:rowOff>180975</xdr:rowOff>
    </xdr:from>
    <xdr:to>
      <xdr:col>13</xdr:col>
      <xdr:colOff>457200</xdr:colOff>
      <xdr:row>21</xdr:row>
      <xdr:rowOff>28575</xdr:rowOff>
    </xdr:to>
    <xdr:graphicFrame macro="">
      <xdr:nvGraphicFramePr>
        <xdr:cNvPr id="5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704850</xdr:colOff>
      <xdr:row>19</xdr:row>
      <xdr:rowOff>66675</xdr:rowOff>
    </xdr:from>
    <xdr:to>
      <xdr:col>5</xdr:col>
      <xdr:colOff>209550</xdr:colOff>
      <xdr:row>20</xdr:row>
      <xdr:rowOff>9525</xdr:rowOff>
    </xdr:to>
    <xdr:sp macro="" textlink="">
      <xdr:nvSpPr>
        <xdr:cNvPr id="7" name="CaixaDeTexto 6"/>
        <xdr:cNvSpPr txBox="1"/>
      </xdr:nvSpPr>
      <xdr:spPr>
        <a:xfrm>
          <a:off x="885825" y="5000625"/>
          <a:ext cx="203835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000">
              <a:solidFill>
                <a:schemeClr val="dk1"/>
              </a:solidFill>
              <a:latin typeface="+mn-lt"/>
              <a:ea typeface="+mn-ea"/>
              <a:cs typeface="+mn-cs"/>
            </a:rPr>
            <a:t>ALTA ou BAIXA =</a:t>
          </a:r>
          <a:r>
            <a:rPr lang="pt-BR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bienalidade</a:t>
          </a:r>
          <a:endParaRPr lang="pt-BR" sz="10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0.26818</cdr:x>
      <cdr:y>0.03819</cdr:y>
    </cdr:from>
    <cdr:to>
      <cdr:x>0.78333</cdr:x>
      <cdr:y>0.14236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85926" y="104775"/>
          <a:ext cx="32385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ctr"/>
          <a:r>
            <a:rPr lang="pt-BR" sz="1100" b="1">
              <a:latin typeface="Arial" pitchFamily="34" charset="0"/>
              <a:cs typeface="Arial" pitchFamily="34" charset="0"/>
            </a:rPr>
            <a:t>Evolução</a:t>
          </a:r>
          <a:r>
            <a:rPr lang="pt-BR" sz="1100" b="1" baseline="0">
              <a:latin typeface="Arial" pitchFamily="34" charset="0"/>
              <a:cs typeface="Arial" pitchFamily="34" charset="0"/>
            </a:rPr>
            <a:t> da Produção de Café Arábica, Conilon e Total</a:t>
          </a:r>
        </a:p>
        <a:p xmlns:a="http://schemas.openxmlformats.org/drawingml/2006/main">
          <a:pPr algn="ctr"/>
          <a:r>
            <a:rPr lang="pt-BR" sz="1000" baseline="0">
              <a:latin typeface="Arial" pitchFamily="34" charset="0"/>
              <a:cs typeface="Arial" pitchFamily="34" charset="0"/>
            </a:rPr>
            <a:t>Em milhões de sacas</a:t>
          </a:r>
          <a:endParaRPr lang="pt-BR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0.44559</cdr:x>
      <cdr:y>0.11786</cdr:y>
    </cdr:from>
    <cdr:to>
      <cdr:x>0.58534</cdr:x>
      <cdr:y>0.20626</cdr:y>
    </cdr:to>
    <cdr:pic>
      <cdr:nvPicPr>
        <cdr:cNvPr id="3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705225" y="609600"/>
          <a:ext cx="11620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7</xdr:row>
      <xdr:rowOff>114300</xdr:rowOff>
    </xdr:from>
    <xdr:to>
      <xdr:col>1</xdr:col>
      <xdr:colOff>790575</xdr:colOff>
      <xdr:row>23</xdr:row>
      <xdr:rowOff>57150</xdr:rowOff>
    </xdr:to>
    <xdr:sp macro="" textlink="">
      <xdr:nvSpPr>
        <xdr:cNvPr id="5121" name="WordArt 1"/>
        <xdr:cNvSpPr>
          <a:spLocks noChangeArrowheads="1" noChangeShapeType="1" noTextEdit="1"/>
        </xdr:cNvSpPr>
      </xdr:nvSpPr>
      <xdr:spPr bwMode="auto">
        <a:xfrm rot="5400000">
          <a:off x="-1571625" y="3562350"/>
          <a:ext cx="4400550" cy="742950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/>
          <a:r>
            <a:rPr lang="pt-BR" sz="3600" kern="10" spc="0">
              <a:ln w="12700">
                <a:solidFill>
                  <a:srgbClr val="0000FF"/>
                </a:solidFill>
                <a:round/>
                <a:headEnd/>
                <a:tailEnd/>
              </a:ln>
              <a:solidFill>
                <a:srgbClr val="FFCC00"/>
              </a:solidFill>
              <a:effectLst>
                <a:outerShdw dist="53882" dir="2700000" algn="ctr" rotWithShape="0">
                  <a:srgbClr val="CBCBCB"/>
                </a:outerShdw>
              </a:effectLst>
              <a:latin typeface="Times New Roman"/>
              <a:cs typeface="Times New Roman"/>
            </a:rPr>
            <a:t>C A F É</a:t>
          </a:r>
        </a:p>
      </xdr:txBody>
    </xdr:sp>
    <xdr:clientData/>
  </xdr:twoCellAnchor>
  <xdr:twoCellAnchor>
    <xdr:from>
      <xdr:col>1</xdr:col>
      <xdr:colOff>276225</xdr:colOff>
      <xdr:row>1</xdr:row>
      <xdr:rowOff>76200</xdr:rowOff>
    </xdr:from>
    <xdr:to>
      <xdr:col>7</xdr:col>
      <xdr:colOff>409575</xdr:colOff>
      <xdr:row>2</xdr:row>
      <xdr:rowOff>142875</xdr:rowOff>
    </xdr:to>
    <xdr:sp macro="" textlink="">
      <xdr:nvSpPr>
        <xdr:cNvPr id="5122" name="WordArt 2"/>
        <xdr:cNvSpPr>
          <a:spLocks noChangeArrowheads="1" noChangeShapeType="1" noTextEdit="1"/>
        </xdr:cNvSpPr>
      </xdr:nvSpPr>
      <xdr:spPr bwMode="auto">
        <a:xfrm>
          <a:off x="371475" y="228600"/>
          <a:ext cx="4229100" cy="2571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pt-BR" sz="1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ACOMPANHAMENTO SEMANAL DE PREÇOS</a:t>
          </a:r>
        </a:p>
      </xdr:txBody>
    </xdr:sp>
    <xdr:clientData/>
  </xdr:twoCellAnchor>
  <xdr:twoCellAnchor>
    <xdr:from>
      <xdr:col>8</xdr:col>
      <xdr:colOff>152400</xdr:colOff>
      <xdr:row>1</xdr:row>
      <xdr:rowOff>9525</xdr:rowOff>
    </xdr:from>
    <xdr:to>
      <xdr:col>10</xdr:col>
      <xdr:colOff>1209675</xdr:colOff>
      <xdr:row>12</xdr:row>
      <xdr:rowOff>152400</xdr:rowOff>
    </xdr:to>
    <xdr:graphicFrame macro="">
      <xdr:nvGraphicFramePr>
        <xdr:cNvPr id="324703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142876</xdr:colOff>
      <xdr:row>13</xdr:row>
      <xdr:rowOff>152400</xdr:rowOff>
    </xdr:from>
    <xdr:to>
      <xdr:col>10</xdr:col>
      <xdr:colOff>1238250</xdr:colOff>
      <xdr:row>24</xdr:row>
      <xdr:rowOff>19050</xdr:rowOff>
    </xdr:to>
    <xdr:graphicFrame macro="">
      <xdr:nvGraphicFramePr>
        <xdr:cNvPr id="324703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</xdr:row>
      <xdr:rowOff>142875</xdr:rowOff>
    </xdr:from>
    <xdr:to>
      <xdr:col>16</xdr:col>
      <xdr:colOff>466725</xdr:colOff>
      <xdr:row>20</xdr:row>
      <xdr:rowOff>47625</xdr:rowOff>
    </xdr:to>
    <xdr:graphicFrame macro="">
      <xdr:nvGraphicFramePr>
        <xdr:cNvPr id="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IRTON%20CAMARGO%20-%20CAF&#201;/ARQUIVOS%20DE%20TRABALHO%20-%20Novo/Pre&#231;os/COTA&#199;&#195;O-CEPEA-ESALQ%20-%201997-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áfico-Arbitragem"/>
      <sheetName val="Dados-Mensal"/>
      <sheetName val="Preços-CEPEA"/>
      <sheetName val="Preços Internos"/>
      <sheetName val="Plan1"/>
    </sheetNames>
    <sheetDataSet>
      <sheetData sheetId="0" refreshError="1"/>
      <sheetData sheetId="1"/>
      <sheetData sheetId="2"/>
      <sheetData sheetId="3">
        <row r="3">
          <cell r="B3" t="str">
            <v>Arábica</v>
          </cell>
          <cell r="C3" t="str">
            <v>Robusta</v>
          </cell>
        </row>
        <row r="4">
          <cell r="A4">
            <v>2010</v>
          </cell>
          <cell r="B4">
            <v>280.75</v>
          </cell>
          <cell r="C4">
            <v>173.51</v>
          </cell>
        </row>
        <row r="5">
          <cell r="B5">
            <v>278.68</v>
          </cell>
          <cell r="C5">
            <v>168.47</v>
          </cell>
        </row>
        <row r="6">
          <cell r="B6">
            <v>279.7</v>
          </cell>
          <cell r="C6">
            <v>173.67</v>
          </cell>
        </row>
        <row r="7">
          <cell r="B7">
            <v>282.17</v>
          </cell>
          <cell r="C7">
            <v>158.22</v>
          </cell>
        </row>
        <row r="8">
          <cell r="B8">
            <v>289.45999999999998</v>
          </cell>
          <cell r="C8">
            <v>160.51</v>
          </cell>
        </row>
        <row r="9">
          <cell r="B9">
            <v>305.99</v>
          </cell>
          <cell r="C9">
            <v>168.17</v>
          </cell>
        </row>
        <row r="10">
          <cell r="B10">
            <v>302.36</v>
          </cell>
          <cell r="C10">
            <v>171.5</v>
          </cell>
        </row>
        <row r="11">
          <cell r="B11">
            <v>313.93318181818177</v>
          </cell>
          <cell r="C11">
            <v>171.44545454545457</v>
          </cell>
        </row>
        <row r="12">
          <cell r="B12">
            <v>328.23</v>
          </cell>
          <cell r="C12">
            <v>170.03</v>
          </cell>
        </row>
        <row r="13">
          <cell r="B13">
            <v>327.14999999999998</v>
          </cell>
          <cell r="C13">
            <v>173.81</v>
          </cell>
        </row>
        <row r="14">
          <cell r="B14">
            <v>355.51</v>
          </cell>
          <cell r="C14">
            <v>187.14</v>
          </cell>
        </row>
        <row r="15">
          <cell r="B15">
            <v>387.01</v>
          </cell>
          <cell r="C15">
            <v>192.83</v>
          </cell>
        </row>
        <row r="16">
          <cell r="A16">
            <v>2011</v>
          </cell>
          <cell r="B16">
            <v>433.34</v>
          </cell>
          <cell r="C16">
            <v>206.21</v>
          </cell>
        </row>
        <row r="17">
          <cell r="B17">
            <v>495.98</v>
          </cell>
          <cell r="C17">
            <v>214.32</v>
          </cell>
        </row>
        <row r="18">
          <cell r="B18">
            <v>524.27</v>
          </cell>
          <cell r="C18">
            <v>215.81</v>
          </cell>
        </row>
        <row r="19">
          <cell r="B19">
            <v>524.41</v>
          </cell>
          <cell r="C19">
            <v>220.82</v>
          </cell>
        </row>
        <row r="20">
          <cell r="B20">
            <v>530.76</v>
          </cell>
          <cell r="C20">
            <v>231.69</v>
          </cell>
        </row>
        <row r="21">
          <cell r="B21">
            <v>515.01</v>
          </cell>
          <cell r="C21">
            <v>226.82</v>
          </cell>
        </row>
        <row r="22">
          <cell r="B22">
            <v>457.81</v>
          </cell>
          <cell r="C22">
            <v>218.48</v>
          </cell>
        </row>
        <row r="23">
          <cell r="B23">
            <v>470.62</v>
          </cell>
          <cell r="C23">
            <v>222.01</v>
          </cell>
        </row>
        <row r="24">
          <cell r="B24">
            <v>511.57</v>
          </cell>
          <cell r="C24">
            <v>233</v>
          </cell>
        </row>
        <row r="25">
          <cell r="B25">
            <v>490.45</v>
          </cell>
          <cell r="C25">
            <v>244.15</v>
          </cell>
        </row>
        <row r="26">
          <cell r="B26">
            <v>493.83</v>
          </cell>
          <cell r="C26">
            <v>269.29000000000002</v>
          </cell>
        </row>
        <row r="27">
          <cell r="B27">
            <v>491.35</v>
          </cell>
          <cell r="C27">
            <v>297.26</v>
          </cell>
        </row>
        <row r="28">
          <cell r="A28">
            <v>2012</v>
          </cell>
          <cell r="B28">
            <v>485.04</v>
          </cell>
          <cell r="C28">
            <v>296.51</v>
          </cell>
        </row>
        <row r="29">
          <cell r="B29">
            <v>441.31</v>
          </cell>
          <cell r="C29">
            <v>270.64</v>
          </cell>
        </row>
        <row r="30">
          <cell r="B30">
            <v>387.49</v>
          </cell>
          <cell r="C30">
            <v>255.29</v>
          </cell>
        </row>
        <row r="31">
          <cell r="B31">
            <v>379.53</v>
          </cell>
          <cell r="C31">
            <v>248.66</v>
          </cell>
        </row>
        <row r="32">
          <cell r="B32">
            <v>382.65</v>
          </cell>
          <cell r="C32">
            <v>253.75</v>
          </cell>
        </row>
        <row r="33">
          <cell r="B33">
            <v>360.31</v>
          </cell>
          <cell r="C33">
            <v>252.44</v>
          </cell>
        </row>
        <row r="34">
          <cell r="B34">
            <v>408.06</v>
          </cell>
          <cell r="C34">
            <v>275.2</v>
          </cell>
        </row>
        <row r="35">
          <cell r="B35">
            <v>378.48</v>
          </cell>
          <cell r="C35">
            <v>276.83</v>
          </cell>
        </row>
        <row r="36">
          <cell r="B36">
            <v>385.92</v>
          </cell>
          <cell r="C36">
            <v>287.52</v>
          </cell>
        </row>
        <row r="37">
          <cell r="B37">
            <v>374.98</v>
          </cell>
          <cell r="C37">
            <v>283.42</v>
          </cell>
        </row>
        <row r="38">
          <cell r="B38">
            <v>355.23</v>
          </cell>
          <cell r="C38">
            <v>266.14</v>
          </cell>
        </row>
        <row r="39">
          <cell r="B39">
            <v>341.4</v>
          </cell>
          <cell r="C39">
            <v>256.61</v>
          </cell>
        </row>
        <row r="40">
          <cell r="A40">
            <v>2013</v>
          </cell>
          <cell r="B40">
            <v>341.16</v>
          </cell>
          <cell r="C40">
            <v>267.21454545454543</v>
          </cell>
        </row>
        <row r="41">
          <cell r="B41">
            <v>317.72000000000003</v>
          </cell>
          <cell r="C41">
            <v>264.98</v>
          </cell>
        </row>
        <row r="42">
          <cell r="B42">
            <v>303.42</v>
          </cell>
          <cell r="C42">
            <v>253.2</v>
          </cell>
        </row>
        <row r="43">
          <cell r="B43">
            <v>300.51</v>
          </cell>
          <cell r="C43">
            <v>250.32</v>
          </cell>
        </row>
        <row r="44">
          <cell r="B44">
            <v>297.25</v>
          </cell>
          <cell r="C44">
            <v>250.88</v>
          </cell>
        </row>
        <row r="45">
          <cell r="B45">
            <v>285.70999999999998</v>
          </cell>
          <cell r="C45">
            <v>245.09</v>
          </cell>
        </row>
        <row r="46">
          <cell r="B46">
            <v>287.57</v>
          </cell>
          <cell r="C46">
            <v>248.91</v>
          </cell>
        </row>
        <row r="47">
          <cell r="B47">
            <v>286.17</v>
          </cell>
          <cell r="C47">
            <v>253.22</v>
          </cell>
        </row>
        <row r="48">
          <cell r="B48">
            <v>273.89999999999998</v>
          </cell>
          <cell r="C48">
            <v>236.24</v>
          </cell>
        </row>
        <row r="49">
          <cell r="B49">
            <v>253.94</v>
          </cell>
          <cell r="C49">
            <v>205.23</v>
          </cell>
        </row>
        <row r="50">
          <cell r="B50">
            <v>247.73</v>
          </cell>
          <cell r="C50">
            <v>198.83</v>
          </cell>
        </row>
        <row r="51">
          <cell r="B51">
            <v>272.10000000000002</v>
          </cell>
          <cell r="C51">
            <v>223.11</v>
          </cell>
        </row>
        <row r="52">
          <cell r="A52">
            <v>2014</v>
          </cell>
          <cell r="B52">
            <v>289.44</v>
          </cell>
          <cell r="C52">
            <v>226.82</v>
          </cell>
        </row>
        <row r="53">
          <cell r="B53">
            <v>366.32</v>
          </cell>
          <cell r="C53">
            <v>243.48</v>
          </cell>
        </row>
        <row r="54">
          <cell r="B54">
            <v>437.24</v>
          </cell>
          <cell r="C54">
            <v>263.25</v>
          </cell>
        </row>
        <row r="55">
          <cell r="B55">
            <v>449.45</v>
          </cell>
          <cell r="C55">
            <v>256.77</v>
          </cell>
        </row>
        <row r="56">
          <cell r="B56">
            <v>429.28</v>
          </cell>
          <cell r="C56">
            <v>245.82</v>
          </cell>
        </row>
        <row r="57">
          <cell r="B57">
            <v>396.74</v>
          </cell>
          <cell r="C57">
            <v>235.14</v>
          </cell>
        </row>
        <row r="58">
          <cell r="B58">
            <v>387.87</v>
          </cell>
          <cell r="C58">
            <v>242.3</v>
          </cell>
        </row>
        <row r="59">
          <cell r="B59">
            <v>437.19</v>
          </cell>
          <cell r="C59">
            <v>248.42</v>
          </cell>
        </row>
        <row r="60">
          <cell r="B60">
            <v>433.52</v>
          </cell>
          <cell r="C60">
            <v>250.1</v>
          </cell>
        </row>
        <row r="61">
          <cell r="B61">
            <v>480.13</v>
          </cell>
          <cell r="C61">
            <v>264.25</v>
          </cell>
        </row>
        <row r="62">
          <cell r="B62">
            <v>460.96</v>
          </cell>
          <cell r="C62">
            <v>277.02</v>
          </cell>
        </row>
        <row r="63">
          <cell r="B63">
            <v>455.2</v>
          </cell>
          <cell r="C63">
            <v>275.25</v>
          </cell>
        </row>
        <row r="64">
          <cell r="A64">
            <v>2015</v>
          </cell>
          <cell r="B64">
            <v>465.92</v>
          </cell>
          <cell r="C64">
            <v>283.29000000000002</v>
          </cell>
        </row>
        <row r="65">
          <cell r="B65">
            <v>459.99</v>
          </cell>
          <cell r="C65">
            <v>299.58</v>
          </cell>
        </row>
        <row r="66">
          <cell r="B66">
            <v>447.1</v>
          </cell>
          <cell r="C66">
            <v>303.44</v>
          </cell>
        </row>
        <row r="67">
          <cell r="B67">
            <v>445.69</v>
          </cell>
          <cell r="C67">
            <v>295.88</v>
          </cell>
        </row>
        <row r="68">
          <cell r="B68">
            <v>421.95</v>
          </cell>
          <cell r="C68">
            <v>290.33</v>
          </cell>
        </row>
        <row r="69">
          <cell r="B69">
            <v>424.02</v>
          </cell>
          <cell r="C69">
            <v>301.02999999999997</v>
          </cell>
        </row>
        <row r="70">
          <cell r="B70">
            <v>414.5</v>
          </cell>
          <cell r="C70">
            <v>307.41000000000003</v>
          </cell>
        </row>
        <row r="71">
          <cell r="B71">
            <v>455.5</v>
          </cell>
          <cell r="C71">
            <v>324.95</v>
          </cell>
        </row>
        <row r="72">
          <cell r="B72">
            <v>456.95</v>
          </cell>
          <cell r="C72">
            <v>340.62</v>
          </cell>
        </row>
        <row r="73">
          <cell r="B73">
            <v>478.11</v>
          </cell>
          <cell r="C73">
            <v>363.91</v>
          </cell>
        </row>
        <row r="74">
          <cell r="B74">
            <v>469.39</v>
          </cell>
          <cell r="C74">
            <v>375.28</v>
          </cell>
        </row>
        <row r="75">
          <cell r="B75">
            <v>479.32</v>
          </cell>
          <cell r="C75">
            <v>378.98</v>
          </cell>
        </row>
        <row r="76">
          <cell r="A76">
            <v>2016</v>
          </cell>
          <cell r="B76">
            <v>491.31</v>
          </cell>
          <cell r="C76">
            <v>389.07</v>
          </cell>
        </row>
        <row r="77">
          <cell r="B77">
            <v>489.82</v>
          </cell>
          <cell r="C77">
            <v>393.61</v>
          </cell>
        </row>
        <row r="78">
          <cell r="B78">
            <v>491.07</v>
          </cell>
          <cell r="C78">
            <v>363.88</v>
          </cell>
        </row>
        <row r="79">
          <cell r="B79">
            <v>463.71</v>
          </cell>
          <cell r="C79">
            <v>379.33</v>
          </cell>
        </row>
        <row r="80">
          <cell r="B80">
            <v>460.37</v>
          </cell>
          <cell r="C80">
            <v>386.95</v>
          </cell>
        </row>
        <row r="81">
          <cell r="B81">
            <v>484.87</v>
          </cell>
          <cell r="C81">
            <v>391.41</v>
          </cell>
        </row>
        <row r="82">
          <cell r="B82">
            <v>498.52</v>
          </cell>
          <cell r="C82">
            <v>409.99</v>
          </cell>
        </row>
        <row r="83">
          <cell r="B83">
            <v>478.86</v>
          </cell>
          <cell r="C83">
            <v>422.88</v>
          </cell>
        </row>
        <row r="84">
          <cell r="B84">
            <v>502.95</v>
          </cell>
          <cell r="C84">
            <v>436.87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gricultura.gov.br/agrostat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gricultura.gov.br/agrostat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irton.camargo@agricultura.gov.br" TargetMode="External"/><Relationship Id="rId1" Type="http://schemas.openxmlformats.org/officeDocument/2006/relationships/hyperlink" Target="http://www.agricultura.gov.br/vegetal/estatisticas" TargetMode="Externa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tabSelected="1" workbookViewId="0">
      <selection activeCell="E14" sqref="E14"/>
    </sheetView>
  </sheetViews>
  <sheetFormatPr defaultRowHeight="12.75"/>
  <cols>
    <col min="1" max="1" width="2.7109375" customWidth="1"/>
    <col min="2" max="2" width="126.42578125" customWidth="1"/>
    <col min="3" max="3" width="2.7109375" customWidth="1"/>
    <col min="4" max="4" width="8.85546875" bestFit="1" customWidth="1"/>
  </cols>
  <sheetData>
    <row r="1" spans="1:3" ht="16.5" customHeight="1">
      <c r="A1" s="56"/>
      <c r="B1" s="277"/>
      <c r="C1" s="56"/>
    </row>
    <row r="2" spans="1:3" ht="18" customHeight="1">
      <c r="A2" s="58"/>
      <c r="B2" s="362"/>
      <c r="C2" s="57"/>
    </row>
    <row r="3" spans="1:3" ht="17.100000000000001" customHeight="1">
      <c r="A3" s="58"/>
      <c r="B3" s="363"/>
      <c r="C3" s="57"/>
    </row>
    <row r="4" spans="1:3" ht="17.100000000000001" customHeight="1">
      <c r="A4" s="58"/>
      <c r="B4" s="363" t="s">
        <v>318</v>
      </c>
      <c r="C4" s="57"/>
    </row>
    <row r="5" spans="1:3" ht="17.100000000000001" customHeight="1">
      <c r="A5" s="58"/>
      <c r="B5" s="363" t="s">
        <v>308</v>
      </c>
      <c r="C5" s="57"/>
    </row>
    <row r="6" spans="1:3" ht="17.100000000000001" customHeight="1">
      <c r="A6" s="58"/>
      <c r="B6" s="363" t="s">
        <v>541</v>
      </c>
      <c r="C6" s="57"/>
    </row>
    <row r="7" spans="1:3" ht="17.100000000000001" customHeight="1">
      <c r="A7" s="58"/>
      <c r="B7" s="363"/>
      <c r="C7" s="57"/>
    </row>
    <row r="8" spans="1:3" ht="17.100000000000001" customHeight="1">
      <c r="A8" s="58"/>
      <c r="B8" s="363"/>
      <c r="C8" s="57"/>
    </row>
    <row r="9" spans="1:3" ht="17.100000000000001" customHeight="1">
      <c r="A9" s="58"/>
      <c r="B9" s="363"/>
      <c r="C9" s="57"/>
    </row>
    <row r="10" spans="1:3" ht="17.100000000000001" customHeight="1">
      <c r="A10" s="58"/>
      <c r="B10" s="363"/>
      <c r="C10" s="57"/>
    </row>
    <row r="11" spans="1:3" ht="17.100000000000001" customHeight="1">
      <c r="A11" s="58"/>
      <c r="B11" s="363"/>
      <c r="C11" s="57"/>
    </row>
    <row r="12" spans="1:3" ht="17.100000000000001" customHeight="1">
      <c r="A12" s="58"/>
      <c r="B12" s="363"/>
      <c r="C12" s="57"/>
    </row>
    <row r="13" spans="1:3" ht="17.100000000000001" customHeight="1">
      <c r="A13" s="58"/>
      <c r="B13" s="363"/>
      <c r="C13" s="57"/>
    </row>
    <row r="14" spans="1:3" ht="17.100000000000001" customHeight="1">
      <c r="A14" s="58"/>
      <c r="B14" s="363"/>
      <c r="C14" s="57"/>
    </row>
    <row r="15" spans="1:3" ht="17.100000000000001" customHeight="1">
      <c r="A15" s="58"/>
      <c r="B15" s="363"/>
      <c r="C15" s="57"/>
    </row>
    <row r="16" spans="1:3" ht="17.100000000000001" customHeight="1">
      <c r="A16" s="58"/>
      <c r="B16" s="363"/>
      <c r="C16" s="57"/>
    </row>
    <row r="17" spans="1:4" ht="17.100000000000001" customHeight="1">
      <c r="A17" s="58"/>
      <c r="B17" s="363"/>
      <c r="C17" s="57"/>
    </row>
    <row r="18" spans="1:4" ht="17.100000000000001" customHeight="1">
      <c r="A18" s="58"/>
      <c r="B18" s="363"/>
      <c r="C18" s="57"/>
    </row>
    <row r="19" spans="1:4" ht="17.100000000000001" customHeight="1">
      <c r="A19" s="58"/>
      <c r="B19" s="363"/>
      <c r="C19" s="57"/>
    </row>
    <row r="20" spans="1:4" ht="17.100000000000001" customHeight="1">
      <c r="A20" s="58"/>
      <c r="B20" s="1310" t="s">
        <v>476</v>
      </c>
      <c r="C20" s="57"/>
    </row>
    <row r="21" spans="1:4" ht="17.100000000000001" customHeight="1">
      <c r="A21" s="58"/>
      <c r="B21" s="1310"/>
      <c r="C21" s="57"/>
    </row>
    <row r="22" spans="1:4" ht="17.100000000000001" customHeight="1">
      <c r="A22" s="58"/>
      <c r="B22" s="363"/>
      <c r="C22" s="57"/>
    </row>
    <row r="23" spans="1:4" ht="17.100000000000001" customHeight="1">
      <c r="A23" s="58"/>
      <c r="B23" s="363" t="s">
        <v>597</v>
      </c>
      <c r="C23" s="57"/>
    </row>
    <row r="24" spans="1:4" ht="17.100000000000001" customHeight="1">
      <c r="A24" s="58"/>
      <c r="B24" s="363"/>
      <c r="C24" s="57"/>
    </row>
    <row r="25" spans="1:4" ht="17.100000000000001" customHeight="1">
      <c r="A25" s="58"/>
      <c r="B25" s="363"/>
      <c r="C25" s="57"/>
    </row>
    <row r="26" spans="1:4" ht="17.100000000000001" customHeight="1">
      <c r="A26" s="58"/>
      <c r="B26" s="364" t="s">
        <v>596</v>
      </c>
      <c r="C26" s="58"/>
    </row>
    <row r="27" spans="1:4" ht="16.5" customHeight="1">
      <c r="A27" s="57"/>
      <c r="B27" s="57"/>
      <c r="C27" s="57"/>
      <c r="D27" s="51"/>
    </row>
    <row r="28" spans="1:4" ht="15">
      <c r="D28" s="51"/>
    </row>
    <row r="29" spans="1:4" ht="15">
      <c r="D29" s="51"/>
    </row>
    <row r="30" spans="1:4" ht="15">
      <c r="D30" s="51"/>
    </row>
    <row r="31" spans="1:4" ht="15">
      <c r="D31" s="51"/>
    </row>
  </sheetData>
  <mergeCells count="1">
    <mergeCell ref="B20:B2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36"/>
  <sheetViews>
    <sheetView showGridLines="0" zoomScaleNormal="100" workbookViewId="0">
      <selection activeCell="M23" sqref="M23"/>
    </sheetView>
  </sheetViews>
  <sheetFormatPr defaultRowHeight="12.75"/>
  <cols>
    <col min="1" max="1" width="2.7109375" customWidth="1"/>
    <col min="2" max="2" width="12.5703125" customWidth="1"/>
    <col min="3" max="3" width="11.7109375" customWidth="1"/>
    <col min="4" max="4" width="11.28515625" bestFit="1" customWidth="1"/>
    <col min="5" max="5" width="9.7109375" customWidth="1"/>
    <col min="6" max="6" width="8.5703125" bestFit="1" customWidth="1"/>
    <col min="7" max="7" width="9.42578125" bestFit="1" customWidth="1"/>
    <col min="8" max="8" width="13.42578125" customWidth="1"/>
    <col min="9" max="9" width="14.7109375" customWidth="1"/>
    <col min="10" max="10" width="21.7109375" customWidth="1"/>
    <col min="11" max="11" width="21.28515625" customWidth="1"/>
    <col min="13" max="13" width="10.140625" bestFit="1" customWidth="1"/>
  </cols>
  <sheetData>
    <row r="1" spans="1:13" ht="17.100000000000001" customHeight="1">
      <c r="A1" s="1566" t="s">
        <v>407</v>
      </c>
      <c r="B1" s="1566"/>
      <c r="C1" s="1566"/>
      <c r="D1" s="1566"/>
      <c r="E1" s="1566"/>
      <c r="F1" s="1566"/>
      <c r="G1" s="1566"/>
      <c r="H1" s="1566"/>
      <c r="I1" s="1566"/>
      <c r="J1" s="1566"/>
      <c r="K1" s="1566"/>
    </row>
    <row r="2" spans="1:13" ht="15" customHeight="1">
      <c r="A2" s="57"/>
      <c r="B2" s="63"/>
      <c r="C2" s="217"/>
      <c r="D2" s="217"/>
      <c r="E2" s="217"/>
      <c r="F2" s="217"/>
      <c r="G2" s="217"/>
      <c r="H2" s="64"/>
      <c r="I2" s="59"/>
      <c r="J2" s="59"/>
      <c r="K2" s="59"/>
    </row>
    <row r="3" spans="1:13" ht="12.75" customHeight="1">
      <c r="A3" s="57"/>
      <c r="B3" s="65"/>
      <c r="C3" s="66"/>
      <c r="D3" s="66"/>
      <c r="E3" s="66"/>
      <c r="F3" s="66"/>
      <c r="G3" s="66"/>
      <c r="H3" s="67"/>
      <c r="I3" s="59"/>
      <c r="J3" s="59"/>
      <c r="K3" s="59"/>
    </row>
    <row r="4" spans="1:13" ht="20.100000000000001" customHeight="1">
      <c r="A4" s="57"/>
      <c r="B4" s="1359" t="s">
        <v>20</v>
      </c>
      <c r="C4" s="1359" t="s">
        <v>205</v>
      </c>
      <c r="D4" s="1359" t="s">
        <v>21</v>
      </c>
      <c r="E4" s="1356" t="s">
        <v>22</v>
      </c>
      <c r="F4" s="1357"/>
      <c r="G4" s="1358"/>
      <c r="H4" s="68" t="s">
        <v>326</v>
      </c>
      <c r="I4" s="59"/>
      <c r="J4" s="59"/>
      <c r="K4" s="59"/>
    </row>
    <row r="5" spans="1:13" ht="20.100000000000001" customHeight="1">
      <c r="A5" s="57"/>
      <c r="B5" s="1360"/>
      <c r="C5" s="1360"/>
      <c r="D5" s="1360"/>
      <c r="E5" s="69" t="s">
        <v>24</v>
      </c>
      <c r="F5" s="69" t="s">
        <v>25</v>
      </c>
      <c r="G5" s="69" t="s">
        <v>26</v>
      </c>
      <c r="H5" s="70" t="s">
        <v>23</v>
      </c>
      <c r="I5" s="59"/>
      <c r="J5" s="59"/>
      <c r="K5" s="59"/>
    </row>
    <row r="6" spans="1:13" ht="20.100000000000001" customHeight="1">
      <c r="A6" s="57"/>
      <c r="B6" s="1360"/>
      <c r="C6" s="1360"/>
      <c r="D6" s="1360"/>
      <c r="E6" s="779" t="s">
        <v>131</v>
      </c>
      <c r="F6" s="205" t="s">
        <v>601</v>
      </c>
      <c r="G6" s="205" t="s">
        <v>600</v>
      </c>
      <c r="H6" s="418" t="s">
        <v>130</v>
      </c>
      <c r="I6" s="59"/>
      <c r="J6" s="59"/>
      <c r="K6" s="59"/>
    </row>
    <row r="7" spans="1:13" ht="20.100000000000001" customHeight="1">
      <c r="A7" s="57"/>
      <c r="B7" s="1361"/>
      <c r="C7" s="1361"/>
      <c r="D7" s="1361"/>
      <c r="E7" s="71">
        <v>2015</v>
      </c>
      <c r="F7" s="71">
        <v>2016</v>
      </c>
      <c r="G7" s="71">
        <v>2016</v>
      </c>
      <c r="H7" s="72">
        <v>2016</v>
      </c>
      <c r="I7" s="59"/>
      <c r="J7" s="59"/>
      <c r="K7" s="59"/>
    </row>
    <row r="8" spans="1:13" ht="20.100000000000001" customHeight="1">
      <c r="A8" s="57"/>
      <c r="B8" s="73"/>
      <c r="C8" s="74" t="s">
        <v>32</v>
      </c>
      <c r="D8" s="66"/>
      <c r="E8" s="66"/>
      <c r="F8" s="66"/>
      <c r="G8" s="66"/>
      <c r="H8" s="67"/>
      <c r="I8" s="59"/>
      <c r="J8" s="59"/>
      <c r="K8" s="59"/>
    </row>
    <row r="9" spans="1:13" ht="20.100000000000001" customHeight="1">
      <c r="A9" s="57"/>
      <c r="B9" s="73"/>
      <c r="C9" s="75"/>
      <c r="D9" s="75"/>
      <c r="E9" s="75"/>
      <c r="F9" s="75"/>
      <c r="G9" s="75"/>
      <c r="H9" s="76"/>
      <c r="I9" s="59"/>
      <c r="J9" s="59"/>
      <c r="K9" s="59"/>
      <c r="M9" s="1276"/>
    </row>
    <row r="10" spans="1:13" ht="20.100000000000001" customHeight="1">
      <c r="A10" s="57"/>
      <c r="B10" s="73"/>
      <c r="C10" s="89" t="s">
        <v>206</v>
      </c>
      <c r="D10" s="78" t="s">
        <v>548</v>
      </c>
      <c r="E10" s="79">
        <f>B30</f>
        <v>128.4</v>
      </c>
      <c r="F10" s="79">
        <f>C30</f>
        <v>152.33000000000001</v>
      </c>
      <c r="G10" s="79">
        <f>D30</f>
        <v>157.11000000000001</v>
      </c>
      <c r="H10" s="313">
        <f>E30</f>
        <v>155.72999999999999</v>
      </c>
      <c r="I10" s="59"/>
      <c r="J10" s="59"/>
      <c r="K10" s="59"/>
    </row>
    <row r="11" spans="1:13" ht="20.100000000000001" customHeight="1">
      <c r="A11" s="57"/>
      <c r="B11" s="73"/>
      <c r="C11" s="73"/>
      <c r="D11" s="78" t="s">
        <v>12</v>
      </c>
      <c r="E11" s="80">
        <f>($H$10/E10-1)*100</f>
        <v>21.285046728971956</v>
      </c>
      <c r="F11" s="80">
        <f>($H$10/F10-1)*100</f>
        <v>2.2319963237707352</v>
      </c>
      <c r="G11" s="80">
        <f>($H$10/G10-1)*100</f>
        <v>-0.87836547641780838</v>
      </c>
      <c r="H11" s="81">
        <f>($H$10/H10-1)*100</f>
        <v>0</v>
      </c>
      <c r="I11" s="59"/>
      <c r="J11" s="59"/>
      <c r="K11" s="59"/>
    </row>
    <row r="12" spans="1:13" ht="20.100000000000001" customHeight="1">
      <c r="A12" s="57"/>
      <c r="B12" s="73"/>
      <c r="C12" s="89" t="s">
        <v>33</v>
      </c>
      <c r="D12" s="78" t="s">
        <v>34</v>
      </c>
      <c r="E12" s="79">
        <f>B32</f>
        <v>1595.41</v>
      </c>
      <c r="F12" s="79">
        <f>C32</f>
        <v>1900.75</v>
      </c>
      <c r="G12" s="79">
        <f>D32</f>
        <v>1973.8</v>
      </c>
      <c r="H12" s="313">
        <f>E32</f>
        <v>2000</v>
      </c>
      <c r="I12" s="59"/>
      <c r="J12" s="59"/>
      <c r="K12" s="59"/>
    </row>
    <row r="13" spans="1:13" ht="20.100000000000001" customHeight="1">
      <c r="A13" s="57"/>
      <c r="B13" s="73"/>
      <c r="C13" s="73"/>
      <c r="D13" s="78" t="s">
        <v>12</v>
      </c>
      <c r="E13" s="80">
        <f>($H$12/E12-1)*100</f>
        <v>25.359625425439212</v>
      </c>
      <c r="F13" s="80">
        <f>($H$12/F12-1)*100</f>
        <v>5.2216230435354394</v>
      </c>
      <c r="G13" s="80">
        <f>($H$12/G12-1)*100</f>
        <v>1.327388793190809</v>
      </c>
      <c r="H13" s="80">
        <f>($H$12/H12-1)*100</f>
        <v>0</v>
      </c>
      <c r="I13" s="59"/>
      <c r="J13" s="59"/>
      <c r="K13" s="59"/>
    </row>
    <row r="14" spans="1:13" ht="20.100000000000001" customHeight="1">
      <c r="A14" s="57"/>
      <c r="B14" s="73"/>
      <c r="C14" s="83"/>
      <c r="D14" s="71"/>
      <c r="E14" s="84"/>
      <c r="F14" s="84"/>
      <c r="G14" s="84"/>
      <c r="H14" s="85"/>
      <c r="I14" s="59"/>
      <c r="J14" s="59"/>
      <c r="K14" s="59"/>
    </row>
    <row r="15" spans="1:13" ht="20.100000000000001" customHeight="1">
      <c r="A15" s="57"/>
      <c r="B15" s="73"/>
      <c r="C15" s="74" t="s">
        <v>549</v>
      </c>
      <c r="D15" s="86"/>
      <c r="E15" s="66"/>
      <c r="F15" s="66"/>
      <c r="G15" s="66"/>
      <c r="H15" s="87"/>
      <c r="I15" s="59"/>
      <c r="J15" s="59"/>
      <c r="K15" s="59"/>
    </row>
    <row r="16" spans="1:13" ht="20.100000000000001" customHeight="1">
      <c r="A16" s="57"/>
      <c r="B16" s="73"/>
      <c r="C16" s="89" t="s">
        <v>7</v>
      </c>
      <c r="D16" s="78" t="s">
        <v>28</v>
      </c>
      <c r="E16" s="79">
        <f>B29</f>
        <v>502.86</v>
      </c>
      <c r="F16" s="79">
        <f>C29</f>
        <v>492.17</v>
      </c>
      <c r="G16" s="79">
        <f>D29</f>
        <v>511</v>
      </c>
      <c r="H16" s="82">
        <f>E29</f>
        <v>500.6</v>
      </c>
      <c r="I16" s="59"/>
      <c r="J16" s="59"/>
      <c r="K16" s="59"/>
    </row>
    <row r="17" spans="1:15" ht="20.100000000000001" customHeight="1">
      <c r="A17" s="57"/>
      <c r="B17" s="73"/>
      <c r="C17" s="77"/>
      <c r="D17" s="78" t="s">
        <v>12</v>
      </c>
      <c r="E17" s="80">
        <f>($H$16/E16-1)*100</f>
        <v>-0.44942926460644905</v>
      </c>
      <c r="F17" s="80">
        <f>($H$16/F16-1)*100</f>
        <v>1.7128228051283001</v>
      </c>
      <c r="G17" s="80">
        <f>($H$16/G16-1)*100</f>
        <v>-2.0352250489236723</v>
      </c>
      <c r="H17" s="80">
        <f>($H$16/H16-1)*100</f>
        <v>0</v>
      </c>
      <c r="I17" s="59"/>
      <c r="J17" s="59"/>
      <c r="K17" s="59"/>
    </row>
    <row r="18" spans="1:15" ht="20.100000000000001" customHeight="1">
      <c r="A18" s="57"/>
      <c r="B18" s="73"/>
      <c r="C18" s="77"/>
      <c r="D18" s="78"/>
      <c r="E18" s="80"/>
      <c r="F18" s="80"/>
      <c r="G18" s="287" t="s">
        <v>295</v>
      </c>
      <c r="H18" s="81">
        <v>3.2462</v>
      </c>
      <c r="I18" s="59"/>
      <c r="J18" s="59"/>
      <c r="K18" s="59"/>
    </row>
    <row r="19" spans="1:15" ht="20.100000000000001" customHeight="1">
      <c r="A19" s="57"/>
      <c r="B19" s="73"/>
      <c r="C19" s="90" t="s">
        <v>550</v>
      </c>
      <c r="D19" s="91"/>
      <c r="E19" s="92"/>
      <c r="F19" s="92"/>
      <c r="G19" s="92"/>
      <c r="H19" s="93"/>
      <c r="I19" s="59"/>
      <c r="J19" s="59"/>
      <c r="K19" s="59"/>
    </row>
    <row r="20" spans="1:15" ht="20.100000000000001" customHeight="1">
      <c r="A20" s="57"/>
      <c r="B20" s="94"/>
      <c r="C20" s="89" t="s">
        <v>29</v>
      </c>
      <c r="D20" s="78" t="s">
        <v>28</v>
      </c>
      <c r="E20" s="79">
        <f>B31</f>
        <v>351.05</v>
      </c>
      <c r="F20" s="79">
        <f>C31</f>
        <v>418.5</v>
      </c>
      <c r="G20" s="79">
        <f>D31</f>
        <v>431.8</v>
      </c>
      <c r="H20" s="82">
        <f>E31</f>
        <v>440.8</v>
      </c>
      <c r="I20" s="59"/>
      <c r="J20" s="59"/>
      <c r="K20" s="59"/>
    </row>
    <row r="21" spans="1:15" ht="20.100000000000001" customHeight="1">
      <c r="A21" s="57"/>
      <c r="B21" s="94"/>
      <c r="C21" s="77"/>
      <c r="D21" s="78" t="s">
        <v>12</v>
      </c>
      <c r="E21" s="80">
        <f>($H$20/E20-1)*100</f>
        <v>25.566158666856566</v>
      </c>
      <c r="F21" s="80">
        <f>($H$20/F20-1)*100</f>
        <v>5.3285543608124319</v>
      </c>
      <c r="G21" s="80">
        <f>($H$20/G20-1)*100</f>
        <v>2.0842982862436354</v>
      </c>
      <c r="H21" s="80">
        <f>($H$20/H20-1)*100</f>
        <v>0</v>
      </c>
      <c r="I21" s="59"/>
      <c r="J21" s="59"/>
      <c r="K21" s="59"/>
      <c r="O21" s="1110"/>
    </row>
    <row r="22" spans="1:15" ht="20.100000000000001" customHeight="1">
      <c r="A22" s="57"/>
      <c r="B22" s="94"/>
      <c r="C22" s="1354" t="s">
        <v>393</v>
      </c>
      <c r="D22" s="1355"/>
      <c r="E22" s="217"/>
      <c r="F22" s="217"/>
      <c r="G22" s="217"/>
      <c r="H22" s="93"/>
      <c r="I22" s="59"/>
      <c r="J22" s="59"/>
      <c r="K22" s="59"/>
    </row>
    <row r="23" spans="1:15" ht="20.100000000000001" customHeight="1">
      <c r="A23" s="57"/>
      <c r="B23" s="94"/>
      <c r="C23" s="262" t="s">
        <v>206</v>
      </c>
      <c r="D23" s="260" t="s">
        <v>47</v>
      </c>
      <c r="E23" s="285" t="s">
        <v>306</v>
      </c>
      <c r="F23" s="284">
        <f>H10*1.3228</f>
        <v>205.99964399999999</v>
      </c>
      <c r="G23" s="258" t="s">
        <v>297</v>
      </c>
      <c r="H23" s="82">
        <f>F23*H18</f>
        <v>668.71604435279994</v>
      </c>
      <c r="I23" s="59"/>
      <c r="J23" s="59"/>
      <c r="K23" s="59"/>
    </row>
    <row r="24" spans="1:15" ht="24" customHeight="1">
      <c r="A24" s="57"/>
      <c r="B24" s="65"/>
      <c r="C24" s="263" t="s">
        <v>33</v>
      </c>
      <c r="D24" s="261" t="s">
        <v>225</v>
      </c>
      <c r="E24" s="265" t="s">
        <v>296</v>
      </c>
      <c r="F24" s="264">
        <f>H12/16.6</f>
        <v>120.48192771084337</v>
      </c>
      <c r="G24" s="259" t="s">
        <v>298</v>
      </c>
      <c r="H24" s="218">
        <f>F24*H18</f>
        <v>391.10843373493975</v>
      </c>
      <c r="I24" s="59"/>
      <c r="J24" s="59"/>
      <c r="K24" s="59"/>
    </row>
    <row r="25" spans="1:15" ht="17.100000000000001" customHeight="1">
      <c r="A25" s="57"/>
      <c r="B25" s="61" t="s">
        <v>333</v>
      </c>
      <c r="C25" s="62"/>
      <c r="D25" s="62"/>
      <c r="E25" s="62"/>
      <c r="F25" s="62"/>
      <c r="G25" s="62"/>
      <c r="H25" s="62"/>
      <c r="I25" s="59"/>
      <c r="J25" s="349" t="s">
        <v>307</v>
      </c>
      <c r="K25" s="350">
        <f ca="1">NOW()</f>
        <v>42653.424638310185</v>
      </c>
    </row>
    <row r="26" spans="1:15">
      <c r="K26" s="4"/>
    </row>
    <row r="27" spans="1:15">
      <c r="A27" s="3" t="s">
        <v>261</v>
      </c>
      <c r="K27" s="4"/>
    </row>
    <row r="28" spans="1:15">
      <c r="A28" s="119"/>
      <c r="B28" s="52" t="s">
        <v>24</v>
      </c>
      <c r="C28" s="52" t="s">
        <v>25</v>
      </c>
      <c r="D28" s="52" t="s">
        <v>26</v>
      </c>
      <c r="E28" s="118" t="s">
        <v>27</v>
      </c>
      <c r="K28" s="4"/>
    </row>
    <row r="29" spans="1:15">
      <c r="A29" s="54" t="s">
        <v>7</v>
      </c>
      <c r="B29" s="1190">
        <v>502.86</v>
      </c>
      <c r="C29" s="1190">
        <v>492.17</v>
      </c>
      <c r="D29" s="1190">
        <v>511</v>
      </c>
      <c r="E29" s="1190">
        <v>500.6</v>
      </c>
    </row>
    <row r="30" spans="1:15" ht="15">
      <c r="A30" s="53" t="s">
        <v>207</v>
      </c>
      <c r="B30" s="1191">
        <v>128.4</v>
      </c>
      <c r="C30" s="1191">
        <v>152.33000000000001</v>
      </c>
      <c r="D30" s="1191">
        <v>157.11000000000001</v>
      </c>
      <c r="E30" s="1191">
        <v>155.72999999999999</v>
      </c>
      <c r="G30" s="120"/>
      <c r="H30" s="120"/>
      <c r="I30" s="120"/>
    </row>
    <row r="31" spans="1:15" ht="14.25">
      <c r="A31" s="53" t="s">
        <v>29</v>
      </c>
      <c r="B31" s="1192">
        <v>351.05</v>
      </c>
      <c r="C31" s="1192">
        <v>418.5</v>
      </c>
      <c r="D31" s="1192">
        <v>431.8</v>
      </c>
      <c r="E31" s="1192">
        <v>440.8</v>
      </c>
      <c r="G31" s="121"/>
      <c r="H31" s="121"/>
      <c r="I31" s="121"/>
    </row>
    <row r="32" spans="1:15" ht="15">
      <c r="A32" s="55" t="s">
        <v>208</v>
      </c>
      <c r="B32" s="1193">
        <v>1595.41</v>
      </c>
      <c r="C32" s="1193">
        <v>1900.75</v>
      </c>
      <c r="D32" s="1193">
        <v>1973.8</v>
      </c>
      <c r="E32" s="1193">
        <v>2000</v>
      </c>
      <c r="G32" s="122"/>
      <c r="H32" s="123"/>
      <c r="I32" s="122"/>
    </row>
    <row r="36" spans="2:2">
      <c r="B36" s="1276"/>
    </row>
  </sheetData>
  <mergeCells count="6">
    <mergeCell ref="C22:D22"/>
    <mergeCell ref="A1:K1"/>
    <mergeCell ref="E4:G4"/>
    <mergeCell ref="B4:B7"/>
    <mergeCell ref="C4:C7"/>
    <mergeCell ref="D4:D7"/>
  </mergeCells>
  <phoneticPr fontId="13" type="noConversion"/>
  <printOptions horizontalCentered="1" verticalCentered="1"/>
  <pageMargins left="0.31496062992125984" right="0.31496062992125984" top="0.78740157480314965" bottom="0.78740157480314965" header="0.51181102362204722" footer="0.31496062992125984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X25"/>
  <sheetViews>
    <sheetView workbookViewId="0">
      <selection activeCell="U21" sqref="U21"/>
    </sheetView>
  </sheetViews>
  <sheetFormatPr defaultRowHeight="12.75"/>
  <cols>
    <col min="1" max="2" width="2.7109375" customWidth="1"/>
    <col min="3" max="3" width="12.28515625" customWidth="1"/>
    <col min="4" max="15" width="7.7109375" customWidth="1"/>
    <col min="16" max="16" width="11.5703125" customWidth="1"/>
    <col min="17" max="17" width="7.7109375" customWidth="1"/>
    <col min="18" max="19" width="2.7109375" customWidth="1"/>
    <col min="20" max="20" width="8.85546875" bestFit="1" customWidth="1"/>
  </cols>
  <sheetData>
    <row r="1" spans="1:24" ht="18" customHeight="1">
      <c r="A1" s="1566" t="s">
        <v>408</v>
      </c>
      <c r="B1" s="1566"/>
      <c r="C1" s="1566"/>
      <c r="D1" s="1566"/>
      <c r="E1" s="1566"/>
      <c r="F1" s="1566"/>
      <c r="G1" s="1566"/>
      <c r="H1" s="1566"/>
      <c r="I1" s="1566"/>
      <c r="J1" s="1566"/>
      <c r="K1" s="1566"/>
      <c r="L1" s="1566"/>
      <c r="M1" s="1566"/>
      <c r="N1" s="1566"/>
      <c r="O1" s="1566"/>
      <c r="P1" s="1566"/>
      <c r="Q1" s="1566"/>
      <c r="R1" s="1566"/>
      <c r="S1" s="1566"/>
    </row>
    <row r="2" spans="1:24" ht="21" customHeight="1">
      <c r="A2" s="60"/>
      <c r="B2" s="1326"/>
      <c r="C2" s="1326"/>
      <c r="D2" s="1326"/>
      <c r="E2" s="1326"/>
      <c r="F2" s="1326"/>
      <c r="G2" s="1326"/>
      <c r="H2" s="1326"/>
      <c r="I2" s="1326"/>
      <c r="J2" s="1326"/>
      <c r="K2" s="1326"/>
      <c r="L2" s="1326"/>
      <c r="M2" s="1326"/>
      <c r="N2" s="1326"/>
      <c r="O2" s="1326"/>
      <c r="P2" s="1326"/>
      <c r="Q2" s="1326"/>
      <c r="R2" s="1327"/>
      <c r="S2" s="57"/>
    </row>
    <row r="3" spans="1:24" ht="21" customHeight="1">
      <c r="A3" s="60"/>
      <c r="B3" s="95"/>
      <c r="C3" s="1363"/>
      <c r="D3" s="1363"/>
      <c r="E3" s="1363"/>
      <c r="F3" s="1363"/>
      <c r="G3" s="1363"/>
      <c r="H3" s="1363"/>
      <c r="I3" s="1363"/>
      <c r="J3" s="1363"/>
      <c r="K3" s="1363"/>
      <c r="L3" s="1363"/>
      <c r="M3" s="1363"/>
      <c r="N3" s="1363"/>
      <c r="O3" s="1363"/>
      <c r="P3" s="1363"/>
      <c r="Q3" s="1363"/>
      <c r="R3" s="96"/>
      <c r="S3" s="57"/>
    </row>
    <row r="4" spans="1:24" ht="21" customHeight="1">
      <c r="A4" s="60"/>
      <c r="B4" s="98"/>
      <c r="C4" s="132"/>
      <c r="D4" s="133"/>
      <c r="E4" s="133"/>
      <c r="F4" s="133"/>
      <c r="G4" s="133"/>
      <c r="H4" s="133"/>
      <c r="I4" s="133"/>
      <c r="J4" s="133"/>
      <c r="K4" s="133"/>
      <c r="L4" s="133"/>
      <c r="M4" s="132"/>
      <c r="N4" s="132"/>
      <c r="O4" s="292"/>
      <c r="P4" s="292"/>
      <c r="Q4" s="134"/>
      <c r="R4" s="106"/>
      <c r="S4" s="58"/>
    </row>
    <row r="5" spans="1:24" ht="21" customHeight="1">
      <c r="A5" s="60"/>
      <c r="B5" s="98"/>
      <c r="C5" s="1364"/>
      <c r="D5" s="1114"/>
      <c r="E5" s="1114"/>
      <c r="F5" s="1114"/>
      <c r="G5" s="1114"/>
      <c r="H5" s="1114"/>
      <c r="I5" s="1114"/>
      <c r="J5" s="1114"/>
      <c r="K5" s="1114"/>
      <c r="L5" s="1114"/>
      <c r="M5" s="1114"/>
      <c r="N5" s="1114"/>
      <c r="O5" s="1114"/>
      <c r="P5" s="1114"/>
      <c r="Q5" s="1114"/>
      <c r="R5" s="106"/>
      <c r="S5" s="58"/>
    </row>
    <row r="6" spans="1:24" ht="21" customHeight="1">
      <c r="A6" s="60"/>
      <c r="B6" s="99"/>
      <c r="C6" s="1364"/>
      <c r="D6" s="1362"/>
      <c r="E6" s="1362"/>
      <c r="F6" s="1362"/>
      <c r="G6" s="1115"/>
      <c r="H6" s="1116"/>
      <c r="I6" s="1115"/>
      <c r="J6" s="1115"/>
      <c r="K6" s="1116"/>
      <c r="L6" s="1115"/>
      <c r="M6" s="1117"/>
      <c r="N6" s="1117"/>
      <c r="O6" s="1117"/>
      <c r="P6" s="1117"/>
      <c r="Q6" s="1117"/>
      <c r="R6" s="103"/>
      <c r="S6" s="58"/>
    </row>
    <row r="7" spans="1:24" ht="21" customHeight="1">
      <c r="A7" s="60"/>
      <c r="B7" s="99"/>
      <c r="C7" s="1364"/>
      <c r="D7" s="1362"/>
      <c r="E7" s="1362"/>
      <c r="F7" s="1362"/>
      <c r="G7" s="1362"/>
      <c r="H7" s="1362"/>
      <c r="I7" s="1362"/>
      <c r="J7" s="1117"/>
      <c r="K7" s="1117"/>
      <c r="L7" s="1117"/>
      <c r="M7" s="1117"/>
      <c r="N7" s="1117"/>
      <c r="O7" s="1117"/>
      <c r="P7" s="1117"/>
      <c r="Q7" s="1117"/>
      <c r="R7" s="103"/>
      <c r="S7" s="58"/>
    </row>
    <row r="8" spans="1:24" ht="21" customHeight="1">
      <c r="A8" s="60"/>
      <c r="B8" s="99"/>
      <c r="C8" s="1364"/>
      <c r="D8" s="1362"/>
      <c r="E8" s="1362"/>
      <c r="F8" s="1362"/>
      <c r="G8" s="1362"/>
      <c r="H8" s="1362"/>
      <c r="I8" s="1362"/>
      <c r="J8" s="1365"/>
      <c r="K8" s="1365"/>
      <c r="L8" s="1365"/>
      <c r="M8" s="1362"/>
      <c r="N8" s="1362"/>
      <c r="O8" s="1362"/>
      <c r="P8" s="1362"/>
      <c r="Q8" s="1362"/>
      <c r="R8" s="103"/>
      <c r="S8" s="58"/>
    </row>
    <row r="9" spans="1:24" ht="21" customHeight="1">
      <c r="A9" s="60"/>
      <c r="B9" s="99"/>
      <c r="C9" s="1118"/>
      <c r="D9" s="1119"/>
      <c r="E9" s="1120"/>
      <c r="F9" s="124"/>
      <c r="G9" s="1119"/>
      <c r="H9" s="1120"/>
      <c r="I9" s="124"/>
      <c r="J9" s="1119"/>
      <c r="K9" s="1120"/>
      <c r="L9" s="124"/>
      <c r="M9" s="1119"/>
      <c r="N9" s="1120"/>
      <c r="O9" s="1119"/>
      <c r="P9" s="1121"/>
      <c r="Q9" s="124"/>
      <c r="R9" s="103"/>
      <c r="S9" s="58"/>
    </row>
    <row r="10" spans="1:24" ht="21" customHeight="1">
      <c r="A10" s="60"/>
      <c r="B10" s="99"/>
      <c r="C10" s="1118"/>
      <c r="D10" s="1119"/>
      <c r="E10" s="1120"/>
      <c r="F10" s="124"/>
      <c r="G10" s="1119"/>
      <c r="H10" s="1120"/>
      <c r="I10" s="124"/>
      <c r="J10" s="1119"/>
      <c r="K10" s="1120"/>
      <c r="L10" s="192"/>
      <c r="M10" s="1119"/>
      <c r="N10" s="1120"/>
      <c r="O10" s="1119"/>
      <c r="P10" s="1120"/>
      <c r="Q10" s="124"/>
      <c r="R10" s="103"/>
      <c r="S10" s="58"/>
    </row>
    <row r="11" spans="1:24" ht="21" customHeight="1">
      <c r="A11" s="60"/>
      <c r="B11" s="99"/>
      <c r="C11" s="1118"/>
      <c r="D11" s="1119"/>
      <c r="E11" s="1120"/>
      <c r="F11" s="124"/>
      <c r="G11" s="1119"/>
      <c r="H11" s="1120"/>
      <c r="I11" s="124"/>
      <c r="J11" s="1119"/>
      <c r="K11" s="1120"/>
      <c r="L11" s="124"/>
      <c r="M11" s="1119"/>
      <c r="N11" s="1120"/>
      <c r="O11" s="1119"/>
      <c r="P11" s="1120"/>
      <c r="Q11" s="124"/>
      <c r="R11" s="103"/>
      <c r="S11" s="58"/>
    </row>
    <row r="12" spans="1:24" ht="21" customHeight="1">
      <c r="A12" s="60"/>
      <c r="B12" s="99"/>
      <c r="C12" s="1118"/>
      <c r="D12" s="1119"/>
      <c r="E12" s="1120"/>
      <c r="F12" s="124"/>
      <c r="G12" s="1119"/>
      <c r="H12" s="1120"/>
      <c r="I12" s="124"/>
      <c r="J12" s="1119"/>
      <c r="K12" s="1120"/>
      <c r="L12" s="124"/>
      <c r="M12" s="1119"/>
      <c r="N12" s="1120"/>
      <c r="O12" s="1119"/>
      <c r="P12" s="1120"/>
      <c r="Q12" s="124"/>
      <c r="R12" s="103"/>
      <c r="S12" s="58"/>
      <c r="T12" s="51"/>
    </row>
    <row r="13" spans="1:24" ht="21" customHeight="1">
      <c r="A13" s="60"/>
      <c r="B13" s="99"/>
      <c r="C13" s="1118"/>
      <c r="D13" s="1119"/>
      <c r="E13" s="1119"/>
      <c r="F13" s="124"/>
      <c r="G13" s="1119"/>
      <c r="H13" s="1119"/>
      <c r="I13" s="124"/>
      <c r="J13" s="1119"/>
      <c r="K13" s="1119"/>
      <c r="L13" s="124"/>
      <c r="M13" s="1119"/>
      <c r="N13" s="1119"/>
      <c r="O13" s="1119"/>
      <c r="P13" s="1119"/>
      <c r="Q13" s="124"/>
      <c r="R13" s="103"/>
      <c r="S13" s="58"/>
      <c r="T13" s="51"/>
    </row>
    <row r="14" spans="1:24" ht="21" customHeight="1">
      <c r="A14" s="60"/>
      <c r="B14" s="99"/>
      <c r="C14" s="1118"/>
      <c r="D14" s="1119"/>
      <c r="E14" s="1119"/>
      <c r="F14" s="124"/>
      <c r="G14" s="1119"/>
      <c r="H14" s="1119"/>
      <c r="I14" s="124"/>
      <c r="J14" s="1119"/>
      <c r="K14" s="1119"/>
      <c r="L14" s="124"/>
      <c r="M14" s="1119"/>
      <c r="N14" s="1119"/>
      <c r="O14" s="1119"/>
      <c r="P14" s="1119"/>
      <c r="Q14" s="124"/>
      <c r="R14" s="103"/>
      <c r="S14" s="58"/>
      <c r="T14" s="51"/>
    </row>
    <row r="15" spans="1:24" ht="21" customHeight="1">
      <c r="A15" s="60"/>
      <c r="B15" s="99"/>
      <c r="C15" s="1118"/>
      <c r="D15" s="1119"/>
      <c r="E15" s="1119"/>
      <c r="F15" s="124"/>
      <c r="G15" s="1119"/>
      <c r="H15" s="1119"/>
      <c r="I15" s="124"/>
      <c r="J15" s="1119"/>
      <c r="K15" s="1119"/>
      <c r="L15" s="124"/>
      <c r="M15" s="1119"/>
      <c r="N15" s="1119"/>
      <c r="O15" s="1119"/>
      <c r="P15" s="1119"/>
      <c r="Q15" s="124"/>
      <c r="R15" s="103"/>
      <c r="S15" s="57"/>
      <c r="T15" s="51"/>
      <c r="U15" s="537"/>
      <c r="V15" s="537"/>
      <c r="W15" s="537"/>
      <c r="X15" s="537"/>
    </row>
    <row r="16" spans="1:24" ht="21" customHeight="1">
      <c r="A16" s="60"/>
      <c r="B16" s="99"/>
      <c r="C16" s="1118"/>
      <c r="D16" s="1119"/>
      <c r="E16" s="1120"/>
      <c r="F16" s="124"/>
      <c r="G16" s="1119"/>
      <c r="H16" s="1120"/>
      <c r="I16" s="124"/>
      <c r="J16" s="1119"/>
      <c r="K16" s="1122"/>
      <c r="L16" s="124"/>
      <c r="M16" s="1119"/>
      <c r="N16" s="1122"/>
      <c r="O16" s="1119"/>
      <c r="P16" s="1122"/>
      <c r="Q16" s="124"/>
      <c r="R16" s="103"/>
      <c r="S16" s="57"/>
      <c r="T16" s="51"/>
      <c r="U16" s="537"/>
      <c r="V16" s="537"/>
      <c r="W16" s="537"/>
      <c r="X16" s="537"/>
    </row>
    <row r="17" spans="1:24" ht="21" customHeight="1">
      <c r="A17" s="60"/>
      <c r="B17" s="99"/>
      <c r="C17" s="1118"/>
      <c r="D17" s="1119"/>
      <c r="E17" s="1120"/>
      <c r="F17" s="124"/>
      <c r="G17" s="1119"/>
      <c r="H17" s="1120"/>
      <c r="I17" s="124"/>
      <c r="J17" s="1119"/>
      <c r="K17" s="1120"/>
      <c r="L17" s="124"/>
      <c r="M17" s="1119"/>
      <c r="N17" s="1120"/>
      <c r="O17" s="1119"/>
      <c r="P17" s="1120"/>
      <c r="Q17" s="124"/>
      <c r="R17" s="103"/>
      <c r="S17" s="57"/>
      <c r="T17" s="51"/>
      <c r="U17" s="537"/>
      <c r="V17" s="537"/>
      <c r="W17" s="537"/>
      <c r="X17" s="537"/>
    </row>
    <row r="18" spans="1:24" ht="21" customHeight="1">
      <c r="A18" s="60"/>
      <c r="B18" s="99"/>
      <c r="C18" s="1118"/>
      <c r="D18" s="1119"/>
      <c r="E18" s="1120"/>
      <c r="F18" s="124"/>
      <c r="G18" s="1119"/>
      <c r="H18" s="1120"/>
      <c r="I18" s="124"/>
      <c r="J18" s="1119"/>
      <c r="K18" s="1120"/>
      <c r="L18" s="124"/>
      <c r="M18" s="1119"/>
      <c r="N18" s="1120"/>
      <c r="O18" s="1119"/>
      <c r="P18" s="1120"/>
      <c r="Q18" s="124"/>
      <c r="R18" s="103"/>
      <c r="S18" s="57"/>
      <c r="T18" s="51"/>
      <c r="U18" s="537"/>
      <c r="V18" s="537"/>
      <c r="W18" s="537"/>
      <c r="X18" s="537"/>
    </row>
    <row r="19" spans="1:24" ht="21" customHeight="1">
      <c r="A19" s="60"/>
      <c r="B19" s="99"/>
      <c r="C19" s="1118"/>
      <c r="D19" s="1119"/>
      <c r="E19" s="1120"/>
      <c r="F19" s="124"/>
      <c r="G19" s="1119"/>
      <c r="H19" s="1120"/>
      <c r="I19" s="124"/>
      <c r="J19" s="1119"/>
      <c r="K19" s="1120"/>
      <c r="L19" s="124"/>
      <c r="M19" s="1119"/>
      <c r="N19" s="1120"/>
      <c r="O19" s="1119"/>
      <c r="P19" s="1120"/>
      <c r="Q19" s="124"/>
      <c r="R19" s="103"/>
      <c r="S19" s="57"/>
      <c r="T19" s="51"/>
    </row>
    <row r="20" spans="1:24" ht="21" customHeight="1">
      <c r="A20" s="60"/>
      <c r="B20" s="99"/>
      <c r="C20" s="1113"/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3"/>
      <c r="O20" s="1123"/>
      <c r="P20" s="1123"/>
      <c r="Q20" s="1123"/>
      <c r="R20" s="103"/>
      <c r="S20" s="57"/>
      <c r="T20" s="51"/>
    </row>
    <row r="21" spans="1:24" ht="21" customHeight="1">
      <c r="A21" s="60"/>
      <c r="B21" s="116"/>
      <c r="C21" s="784" t="s">
        <v>477</v>
      </c>
      <c r="D21" s="295"/>
      <c r="E21" s="295"/>
      <c r="F21" s="295"/>
      <c r="G21" s="295"/>
      <c r="H21" s="295"/>
      <c r="I21" s="295"/>
      <c r="J21" s="296"/>
      <c r="K21" s="296"/>
      <c r="L21" s="295"/>
      <c r="M21" s="296"/>
      <c r="N21" s="296"/>
      <c r="O21" s="296"/>
      <c r="P21" s="296"/>
      <c r="Q21" s="295"/>
      <c r="R21" s="128"/>
      <c r="S21" s="57"/>
      <c r="T21" s="51"/>
    </row>
    <row r="22" spans="1:24" ht="21" customHeight="1">
      <c r="A22" s="60"/>
      <c r="B22" s="176"/>
      <c r="C22" s="785" t="s">
        <v>339</v>
      </c>
      <c r="D22" s="297"/>
      <c r="E22" s="297"/>
      <c r="F22" s="297"/>
      <c r="G22" s="297"/>
      <c r="H22" s="297"/>
      <c r="I22" s="297"/>
      <c r="J22" s="298"/>
      <c r="K22" s="298"/>
      <c r="L22" s="297"/>
      <c r="M22" s="298"/>
      <c r="N22" s="298"/>
      <c r="O22" s="298"/>
      <c r="P22" s="298"/>
      <c r="Q22" s="297"/>
      <c r="R22" s="177"/>
      <c r="S22" s="57"/>
      <c r="T22" s="51"/>
    </row>
    <row r="23" spans="1:24" ht="18" customHeight="1">
      <c r="A23" s="57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57"/>
      <c r="T23" s="51"/>
    </row>
    <row r="24" spans="1:24" ht="15">
      <c r="T24" s="51"/>
    </row>
    <row r="25" spans="1:24">
      <c r="K25" s="537"/>
      <c r="L25" s="537"/>
      <c r="M25" s="537"/>
      <c r="N25" s="537"/>
    </row>
  </sheetData>
  <mergeCells count="12">
    <mergeCell ref="M8:N8"/>
    <mergeCell ref="O8:Q8"/>
    <mergeCell ref="A1:S1"/>
    <mergeCell ref="B2:R2"/>
    <mergeCell ref="C3:Q3"/>
    <mergeCell ref="C5:C8"/>
    <mergeCell ref="D6:F6"/>
    <mergeCell ref="D7:F7"/>
    <mergeCell ref="G7:I7"/>
    <mergeCell ref="D8:F8"/>
    <mergeCell ref="G8:I8"/>
    <mergeCell ref="J8:L8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26"/>
  <sheetViews>
    <sheetView workbookViewId="0">
      <selection activeCell="U23" sqref="U23"/>
    </sheetView>
  </sheetViews>
  <sheetFormatPr defaultRowHeight="12.75"/>
  <cols>
    <col min="1" max="2" width="2.7109375" customWidth="1"/>
    <col min="3" max="3" width="12.28515625" customWidth="1"/>
    <col min="4" max="5" width="7.7109375" customWidth="1"/>
    <col min="6" max="6" width="7" bestFit="1" customWidth="1"/>
    <col min="7" max="8" width="7.7109375" customWidth="1"/>
    <col min="9" max="9" width="7" bestFit="1" customWidth="1"/>
    <col min="10" max="14" width="7.7109375" customWidth="1"/>
    <col min="15" max="15" width="7" bestFit="1" customWidth="1"/>
    <col min="16" max="18" width="7.7109375" customWidth="1"/>
    <col min="19" max="20" width="2.7109375" customWidth="1"/>
  </cols>
  <sheetData>
    <row r="1" spans="1:20" ht="18" customHeight="1">
      <c r="A1" s="1566" t="s">
        <v>409</v>
      </c>
      <c r="B1" s="1566"/>
      <c r="C1" s="1566"/>
      <c r="D1" s="1566"/>
      <c r="E1" s="1566"/>
      <c r="F1" s="1566"/>
      <c r="G1" s="1566"/>
      <c r="H1" s="1566"/>
      <c r="I1" s="1566"/>
      <c r="J1" s="1566"/>
      <c r="K1" s="1566"/>
      <c r="L1" s="1566"/>
      <c r="M1" s="1566"/>
      <c r="N1" s="1566"/>
      <c r="O1" s="1566"/>
      <c r="P1" s="1566"/>
      <c r="Q1" s="1566"/>
      <c r="R1" s="1566"/>
      <c r="S1" s="1566"/>
      <c r="T1" s="1566"/>
    </row>
    <row r="2" spans="1:20" ht="20.100000000000001" customHeight="1">
      <c r="A2" s="60"/>
      <c r="B2" s="1326"/>
      <c r="C2" s="1326"/>
      <c r="D2" s="1326"/>
      <c r="E2" s="1326"/>
      <c r="F2" s="1326"/>
      <c r="G2" s="1326"/>
      <c r="H2" s="1326"/>
      <c r="I2" s="1326"/>
      <c r="J2" s="1326"/>
      <c r="K2" s="1326"/>
      <c r="L2" s="1326"/>
      <c r="M2" s="1326"/>
      <c r="N2" s="1326"/>
      <c r="O2" s="1326"/>
      <c r="P2" s="1326"/>
      <c r="Q2" s="1326"/>
      <c r="R2" s="1326"/>
      <c r="S2" s="1327"/>
      <c r="T2" s="57"/>
    </row>
    <row r="3" spans="1:20" ht="20.100000000000001" customHeight="1">
      <c r="A3" s="60"/>
      <c r="B3" s="95"/>
      <c r="C3" s="1363" t="s">
        <v>437</v>
      </c>
      <c r="D3" s="1363"/>
      <c r="E3" s="1363"/>
      <c r="F3" s="1363"/>
      <c r="G3" s="1363"/>
      <c r="H3" s="1363"/>
      <c r="I3" s="1363"/>
      <c r="J3" s="1363"/>
      <c r="K3" s="1363"/>
      <c r="L3" s="1363"/>
      <c r="M3" s="1363"/>
      <c r="N3" s="1363"/>
      <c r="O3" s="1363"/>
      <c r="P3" s="1363"/>
      <c r="Q3" s="1363"/>
      <c r="R3" s="1363"/>
      <c r="S3" s="96"/>
      <c r="T3" s="57"/>
    </row>
    <row r="4" spans="1:20" ht="20.100000000000001" customHeight="1">
      <c r="A4" s="60"/>
      <c r="B4" s="98"/>
      <c r="C4" s="132"/>
      <c r="D4" s="133"/>
      <c r="E4" s="133"/>
      <c r="F4" s="133"/>
      <c r="G4" s="133"/>
      <c r="H4" s="133"/>
      <c r="I4" s="133"/>
      <c r="J4" s="133"/>
      <c r="K4" s="133"/>
      <c r="L4" s="133"/>
      <c r="M4" s="132"/>
      <c r="N4" s="132"/>
      <c r="O4" s="132"/>
      <c r="P4" s="292"/>
      <c r="Q4" s="292"/>
      <c r="R4" s="134" t="s">
        <v>52</v>
      </c>
      <c r="S4" s="106"/>
      <c r="T4" s="58"/>
    </row>
    <row r="5" spans="1:20" ht="20.100000000000001" customHeight="1">
      <c r="A5" s="60"/>
      <c r="B5" s="98"/>
      <c r="C5" s="1375" t="s">
        <v>53</v>
      </c>
      <c r="D5" s="474">
        <v>2014</v>
      </c>
      <c r="E5" s="475">
        <v>2015</v>
      </c>
      <c r="F5" s="476">
        <v>2016</v>
      </c>
      <c r="G5" s="474">
        <v>2014</v>
      </c>
      <c r="H5" s="475">
        <v>2015</v>
      </c>
      <c r="I5" s="476">
        <v>2016</v>
      </c>
      <c r="J5" s="474">
        <v>2014</v>
      </c>
      <c r="K5" s="475">
        <v>2015</v>
      </c>
      <c r="L5" s="476">
        <v>2016</v>
      </c>
      <c r="M5" s="474">
        <v>2014</v>
      </c>
      <c r="N5" s="475">
        <v>2015</v>
      </c>
      <c r="O5" s="476">
        <v>2016</v>
      </c>
      <c r="P5" s="474">
        <v>2014</v>
      </c>
      <c r="Q5" s="475">
        <v>2015</v>
      </c>
      <c r="R5" s="475">
        <v>2016</v>
      </c>
      <c r="S5" s="106"/>
      <c r="T5" s="58"/>
    </row>
    <row r="6" spans="1:20" ht="20.100000000000001" customHeight="1">
      <c r="A6" s="60"/>
      <c r="B6" s="99"/>
      <c r="C6" s="1376"/>
      <c r="D6" s="1366" t="s">
        <v>54</v>
      </c>
      <c r="E6" s="1367"/>
      <c r="F6" s="1368"/>
      <c r="G6" s="477"/>
      <c r="H6" s="485" t="s">
        <v>337</v>
      </c>
      <c r="I6" s="479"/>
      <c r="J6" s="478"/>
      <c r="K6" s="485" t="s">
        <v>338</v>
      </c>
      <c r="L6" s="479"/>
      <c r="M6" s="473" t="s">
        <v>335</v>
      </c>
      <c r="N6" s="473"/>
      <c r="O6" s="473"/>
      <c r="P6" s="480" t="s">
        <v>336</v>
      </c>
      <c r="Q6" s="473"/>
      <c r="R6" s="473"/>
      <c r="S6" s="103"/>
      <c r="T6" s="58"/>
    </row>
    <row r="7" spans="1:20" ht="20.100000000000001" customHeight="1">
      <c r="A7" s="60"/>
      <c r="B7" s="99"/>
      <c r="C7" s="1376"/>
      <c r="D7" s="1366" t="s">
        <v>55</v>
      </c>
      <c r="E7" s="1367"/>
      <c r="F7" s="1368"/>
      <c r="G7" s="1366" t="s">
        <v>56</v>
      </c>
      <c r="H7" s="1367"/>
      <c r="I7" s="1368"/>
      <c r="J7" s="473" t="s">
        <v>334</v>
      </c>
      <c r="K7" s="473"/>
      <c r="L7" s="481"/>
      <c r="M7" s="473" t="s">
        <v>436</v>
      </c>
      <c r="N7" s="473"/>
      <c r="O7" s="473"/>
      <c r="P7" s="480" t="s">
        <v>57</v>
      </c>
      <c r="Q7" s="473"/>
      <c r="R7" s="473"/>
      <c r="S7" s="103"/>
      <c r="T7" s="58"/>
    </row>
    <row r="8" spans="1:20" ht="20.100000000000001" customHeight="1">
      <c r="A8" s="60"/>
      <c r="B8" s="99"/>
      <c r="C8" s="1377"/>
      <c r="D8" s="1369" t="s">
        <v>58</v>
      </c>
      <c r="E8" s="1370"/>
      <c r="F8" s="1371"/>
      <c r="G8" s="1370" t="s">
        <v>59</v>
      </c>
      <c r="H8" s="1370"/>
      <c r="I8" s="1370"/>
      <c r="J8" s="1372" t="s">
        <v>60</v>
      </c>
      <c r="K8" s="1373"/>
      <c r="L8" s="1374"/>
      <c r="M8" s="1370" t="s">
        <v>61</v>
      </c>
      <c r="N8" s="1370"/>
      <c r="O8" s="1370"/>
      <c r="P8" s="1369" t="s">
        <v>61</v>
      </c>
      <c r="Q8" s="1370"/>
      <c r="R8" s="1370"/>
      <c r="S8" s="103"/>
      <c r="T8" s="58"/>
    </row>
    <row r="9" spans="1:20" ht="20.100000000000001" customHeight="1">
      <c r="A9" s="60"/>
      <c r="B9" s="99"/>
      <c r="C9" s="482" t="s">
        <v>62</v>
      </c>
      <c r="D9" s="10">
        <v>289.44</v>
      </c>
      <c r="E9" s="781">
        <v>465.92</v>
      </c>
      <c r="F9" s="783">
        <v>491.31</v>
      </c>
      <c r="G9" s="10">
        <v>226.82</v>
      </c>
      <c r="H9" s="219">
        <v>283.29000000000002</v>
      </c>
      <c r="I9" s="783">
        <v>389.07</v>
      </c>
      <c r="J9" s="10">
        <v>244.45</v>
      </c>
      <c r="K9" s="219">
        <v>340</v>
      </c>
      <c r="L9" s="786">
        <v>482</v>
      </c>
      <c r="M9" s="10">
        <v>214.09</v>
      </c>
      <c r="N9" s="219">
        <v>273.81</v>
      </c>
      <c r="O9" s="783">
        <v>465.25</v>
      </c>
      <c r="P9" s="10">
        <v>231.82</v>
      </c>
      <c r="Q9" s="219">
        <v>280.95</v>
      </c>
      <c r="R9" s="799">
        <v>372.7</v>
      </c>
      <c r="S9" s="103"/>
      <c r="T9" s="58"/>
    </row>
    <row r="10" spans="1:20" ht="20.100000000000001" customHeight="1">
      <c r="A10" s="60"/>
      <c r="B10" s="99"/>
      <c r="C10" s="483" t="s">
        <v>63</v>
      </c>
      <c r="D10" s="10">
        <v>366.32</v>
      </c>
      <c r="E10" s="781">
        <v>459.99</v>
      </c>
      <c r="F10" s="535">
        <v>489.82</v>
      </c>
      <c r="G10" s="10">
        <v>243.48</v>
      </c>
      <c r="H10" s="781">
        <v>299.58</v>
      </c>
      <c r="I10" s="535">
        <v>393.61</v>
      </c>
      <c r="J10" s="10">
        <v>268.5</v>
      </c>
      <c r="K10" s="781">
        <v>328.33</v>
      </c>
      <c r="L10" s="535">
        <v>486.26</v>
      </c>
      <c r="M10" s="10">
        <v>236.25</v>
      </c>
      <c r="N10" s="781">
        <v>278.89</v>
      </c>
      <c r="O10" s="535">
        <v>465.45</v>
      </c>
      <c r="P10" s="10">
        <v>243</v>
      </c>
      <c r="Q10" s="219">
        <v>285</v>
      </c>
      <c r="R10">
        <v>380.16</v>
      </c>
      <c r="S10" s="103"/>
      <c r="T10" s="58"/>
    </row>
    <row r="11" spans="1:20" ht="20.100000000000001" customHeight="1">
      <c r="A11" s="60"/>
      <c r="B11" s="99"/>
      <c r="C11" s="483" t="s">
        <v>64</v>
      </c>
      <c r="D11" s="10">
        <v>437.24</v>
      </c>
      <c r="E11" s="781">
        <v>477.1</v>
      </c>
      <c r="F11" s="535">
        <v>491.07</v>
      </c>
      <c r="G11" s="10">
        <v>263.25</v>
      </c>
      <c r="H11" s="781">
        <v>303.44</v>
      </c>
      <c r="I11" s="535">
        <v>363.88</v>
      </c>
      <c r="J11" s="10">
        <v>332.63</v>
      </c>
      <c r="K11" s="781">
        <v>330</v>
      </c>
      <c r="L11" s="1108">
        <v>487</v>
      </c>
      <c r="M11" s="10">
        <v>288.68</v>
      </c>
      <c r="N11" s="781">
        <v>290</v>
      </c>
      <c r="O11" s="535">
        <v>448.41</v>
      </c>
      <c r="P11" s="10">
        <v>282.37</v>
      </c>
      <c r="Q11" s="220">
        <v>280</v>
      </c>
      <c r="R11">
        <v>351.59</v>
      </c>
      <c r="S11" s="103"/>
      <c r="T11" s="58"/>
    </row>
    <row r="12" spans="1:20" ht="20.100000000000001" customHeight="1">
      <c r="A12" s="60"/>
      <c r="B12" s="99"/>
      <c r="C12" s="483" t="s">
        <v>65</v>
      </c>
      <c r="D12" s="10">
        <v>449.45</v>
      </c>
      <c r="E12" s="781">
        <v>445.69</v>
      </c>
      <c r="F12" s="535">
        <v>466.71</v>
      </c>
      <c r="G12" s="10">
        <v>256.77</v>
      </c>
      <c r="H12" s="781">
        <v>295.88</v>
      </c>
      <c r="I12" s="535">
        <v>379.33</v>
      </c>
      <c r="J12" s="10">
        <v>329.5</v>
      </c>
      <c r="K12" s="781">
        <v>330</v>
      </c>
      <c r="L12" s="1108">
        <v>470.6</v>
      </c>
      <c r="M12" s="10">
        <v>278</v>
      </c>
      <c r="N12" s="781">
        <v>299</v>
      </c>
      <c r="O12" s="535">
        <v>452.85</v>
      </c>
      <c r="P12" s="10">
        <v>265</v>
      </c>
      <c r="Q12" s="220">
        <v>297.5</v>
      </c>
      <c r="R12" s="799">
        <v>361.9</v>
      </c>
      <c r="S12" s="103"/>
      <c r="T12" s="58"/>
    </row>
    <row r="13" spans="1:20" ht="20.100000000000001" customHeight="1">
      <c r="A13" s="60"/>
      <c r="B13" s="99"/>
      <c r="C13" s="483" t="s">
        <v>66</v>
      </c>
      <c r="D13" s="10">
        <v>429.28</v>
      </c>
      <c r="E13" s="781">
        <v>421.95</v>
      </c>
      <c r="F13" s="535">
        <v>460.37</v>
      </c>
      <c r="G13" s="10">
        <v>245.82</v>
      </c>
      <c r="H13" s="781">
        <v>293.33</v>
      </c>
      <c r="I13" s="535">
        <v>386.95</v>
      </c>
      <c r="J13" s="10">
        <v>342.14</v>
      </c>
      <c r="K13" s="781">
        <v>318</v>
      </c>
      <c r="L13" s="535">
        <v>461.19</v>
      </c>
      <c r="M13" s="10">
        <v>279.05</v>
      </c>
      <c r="N13" s="781">
        <v>292</v>
      </c>
      <c r="O13" s="535">
        <v>446.29</v>
      </c>
      <c r="P13" s="10">
        <v>258.10000000000002</v>
      </c>
      <c r="Q13" s="220">
        <v>292</v>
      </c>
      <c r="R13">
        <v>372.95</v>
      </c>
      <c r="S13" s="103"/>
      <c r="T13" s="58"/>
    </row>
    <row r="14" spans="1:20" ht="20.100000000000001" customHeight="1">
      <c r="A14" s="60"/>
      <c r="B14" s="99"/>
      <c r="C14" s="483" t="s">
        <v>67</v>
      </c>
      <c r="D14" s="10">
        <v>396.74</v>
      </c>
      <c r="E14" s="10">
        <v>424.02</v>
      </c>
      <c r="F14" s="535">
        <v>484.97</v>
      </c>
      <c r="G14" s="10">
        <v>235.14</v>
      </c>
      <c r="H14" s="10">
        <v>301.02999999999997</v>
      </c>
      <c r="I14" s="535">
        <v>391.41</v>
      </c>
      <c r="J14" s="10">
        <v>318</v>
      </c>
      <c r="K14" s="10">
        <v>315.24</v>
      </c>
      <c r="L14" s="535">
        <v>482.14</v>
      </c>
      <c r="M14" s="10">
        <v>262.25</v>
      </c>
      <c r="N14" s="10">
        <v>280</v>
      </c>
      <c r="O14" s="535">
        <v>435.86</v>
      </c>
      <c r="P14" s="10">
        <v>241.2</v>
      </c>
      <c r="Q14" s="467">
        <v>287.62</v>
      </c>
      <c r="R14">
        <v>377.77</v>
      </c>
      <c r="S14" s="103"/>
      <c r="T14" s="58"/>
    </row>
    <row r="15" spans="1:20" ht="20.100000000000001" customHeight="1">
      <c r="A15" s="60"/>
      <c r="B15" s="99"/>
      <c r="C15" s="483" t="s">
        <v>68</v>
      </c>
      <c r="D15" s="10">
        <v>387.87</v>
      </c>
      <c r="E15" s="10">
        <v>414.5</v>
      </c>
      <c r="F15" s="535">
        <v>498.52</v>
      </c>
      <c r="G15" s="10">
        <v>242.44</v>
      </c>
      <c r="H15" s="10">
        <v>307.41000000000003</v>
      </c>
      <c r="I15" s="535">
        <v>409.99</v>
      </c>
      <c r="J15" s="10">
        <v>300.43</v>
      </c>
      <c r="K15" s="10">
        <v>320</v>
      </c>
      <c r="L15" s="535">
        <v>494.62</v>
      </c>
      <c r="M15" s="10">
        <v>243.91</v>
      </c>
      <c r="N15" s="10">
        <v>280</v>
      </c>
      <c r="O15" s="1108">
        <v>452</v>
      </c>
      <c r="P15" s="10">
        <v>239.48</v>
      </c>
      <c r="Q15" s="467">
        <v>297.39</v>
      </c>
      <c r="R15" s="1209">
        <v>399.81</v>
      </c>
      <c r="S15" s="103"/>
      <c r="T15" s="58"/>
    </row>
    <row r="16" spans="1:20" ht="20.100000000000001" customHeight="1">
      <c r="A16" s="60"/>
      <c r="B16" s="99"/>
      <c r="C16" s="483" t="s">
        <v>69</v>
      </c>
      <c r="D16" s="10">
        <v>437.19</v>
      </c>
      <c r="E16" s="10">
        <v>455.5</v>
      </c>
      <c r="F16" s="1108">
        <v>478.9</v>
      </c>
      <c r="G16" s="10">
        <v>248.42</v>
      </c>
      <c r="H16" s="10">
        <v>324.95</v>
      </c>
      <c r="I16" s="535">
        <v>422.88</v>
      </c>
      <c r="J16" s="10">
        <v>315.70999999999998</v>
      </c>
      <c r="K16" s="175">
        <v>335</v>
      </c>
      <c r="L16" s="535">
        <v>477.52</v>
      </c>
      <c r="M16" s="10">
        <v>272.86</v>
      </c>
      <c r="N16" s="175">
        <v>292</v>
      </c>
      <c r="O16" s="535">
        <v>451.04</v>
      </c>
      <c r="P16" s="10">
        <v>251.43</v>
      </c>
      <c r="Q16" s="175">
        <v>313.95999999999998</v>
      </c>
      <c r="R16" s="1209">
        <v>413.83</v>
      </c>
      <c r="S16" s="103"/>
      <c r="T16" s="57"/>
    </row>
    <row r="17" spans="1:20" ht="20.100000000000001" customHeight="1">
      <c r="A17" s="60"/>
      <c r="B17" s="99"/>
      <c r="C17" s="483" t="s">
        <v>70</v>
      </c>
      <c r="D17" s="10">
        <v>433.48</v>
      </c>
      <c r="E17" s="781">
        <v>456.95</v>
      </c>
      <c r="F17" s="535">
        <v>502.95</v>
      </c>
      <c r="G17" s="10">
        <v>250.1</v>
      </c>
      <c r="H17" s="781">
        <v>340.62</v>
      </c>
      <c r="I17" s="535">
        <v>436.88</v>
      </c>
      <c r="J17" s="10">
        <v>324.32</v>
      </c>
      <c r="K17" s="782">
        <v>495.95</v>
      </c>
      <c r="L17" s="1108">
        <v>499</v>
      </c>
      <c r="M17" s="10">
        <v>272.73</v>
      </c>
      <c r="N17" s="782">
        <v>432.14</v>
      </c>
      <c r="O17" s="535">
        <v>473.47</v>
      </c>
      <c r="P17" s="10">
        <v>255.45</v>
      </c>
      <c r="Q17" s="510">
        <v>332.05</v>
      </c>
      <c r="R17">
        <v>427.71</v>
      </c>
      <c r="S17" s="103"/>
      <c r="T17" s="57"/>
    </row>
    <row r="18" spans="1:20" ht="20.100000000000001" customHeight="1">
      <c r="A18" s="60"/>
      <c r="B18" s="99"/>
      <c r="C18" s="483" t="s">
        <v>71</v>
      </c>
      <c r="D18" s="10">
        <v>480.13</v>
      </c>
      <c r="E18" s="781">
        <v>478.11</v>
      </c>
      <c r="F18" s="535"/>
      <c r="G18" s="10">
        <v>264.25</v>
      </c>
      <c r="H18" s="781">
        <v>363.9</v>
      </c>
      <c r="I18" s="535"/>
      <c r="J18" s="10">
        <v>338.7</v>
      </c>
      <c r="K18" s="781">
        <v>502.86</v>
      </c>
      <c r="L18" s="535"/>
      <c r="M18" s="10">
        <v>284.35000000000002</v>
      </c>
      <c r="N18" s="781">
        <v>443.76</v>
      </c>
      <c r="O18" s="535"/>
      <c r="P18" s="10">
        <v>272.61</v>
      </c>
      <c r="Q18" s="220">
        <v>351.05</v>
      </c>
      <c r="S18" s="103"/>
      <c r="T18" s="57"/>
    </row>
    <row r="19" spans="1:20" ht="20.100000000000001" customHeight="1">
      <c r="A19" s="60"/>
      <c r="B19" s="99"/>
      <c r="C19" s="483" t="s">
        <v>72</v>
      </c>
      <c r="D19" s="10">
        <v>460.96</v>
      </c>
      <c r="E19" s="781">
        <v>469.39</v>
      </c>
      <c r="F19" s="535"/>
      <c r="G19" s="10">
        <v>277.02</v>
      </c>
      <c r="H19" s="781">
        <v>375.28</v>
      </c>
      <c r="I19" s="535"/>
      <c r="J19" s="10">
        <v>345.5</v>
      </c>
      <c r="K19" s="781">
        <v>492.45</v>
      </c>
      <c r="L19" s="535"/>
      <c r="M19" s="10">
        <v>281.75</v>
      </c>
      <c r="N19" s="781">
        <v>438.25</v>
      </c>
      <c r="O19" s="535"/>
      <c r="P19" s="10">
        <v>280.75</v>
      </c>
      <c r="Q19" s="220">
        <v>362.29</v>
      </c>
      <c r="S19" s="103"/>
      <c r="T19" s="57"/>
    </row>
    <row r="20" spans="1:20" ht="20.100000000000001" customHeight="1">
      <c r="A20" s="60"/>
      <c r="B20" s="99"/>
      <c r="C20" s="483" t="s">
        <v>73</v>
      </c>
      <c r="D20" s="175">
        <v>455.2</v>
      </c>
      <c r="E20" s="221">
        <v>479.32</v>
      </c>
      <c r="F20" s="535"/>
      <c r="G20" s="175">
        <v>275.25</v>
      </c>
      <c r="H20" s="221">
        <v>378.98</v>
      </c>
      <c r="I20" s="535"/>
      <c r="J20" s="175">
        <v>340.5</v>
      </c>
      <c r="K20" s="221">
        <v>477.75</v>
      </c>
      <c r="L20" s="535"/>
      <c r="M20" s="175">
        <v>290</v>
      </c>
      <c r="N20" s="221">
        <v>446.15</v>
      </c>
      <c r="O20" s="535"/>
      <c r="P20" s="175">
        <v>285</v>
      </c>
      <c r="Q20" s="221">
        <v>364.55</v>
      </c>
      <c r="S20" s="103"/>
      <c r="T20" s="57"/>
    </row>
    <row r="21" spans="1:20" ht="20.100000000000001" customHeight="1">
      <c r="A21" s="60"/>
      <c r="B21" s="99"/>
      <c r="C21" s="484" t="s">
        <v>74</v>
      </c>
      <c r="D21" s="293">
        <f t="shared" ref="D21:J21" si="0">AVERAGE(D9:D20)</f>
        <v>418.60833333333335</v>
      </c>
      <c r="E21" s="293">
        <f t="shared" si="0"/>
        <v>454.03666666666663</v>
      </c>
      <c r="F21" s="294">
        <f t="shared" si="0"/>
        <v>484.95777777777778</v>
      </c>
      <c r="G21" s="293">
        <f t="shared" si="0"/>
        <v>252.39666666666665</v>
      </c>
      <c r="H21" s="293">
        <f t="shared" si="0"/>
        <v>322.3075</v>
      </c>
      <c r="I21" s="294">
        <f t="shared" si="0"/>
        <v>397.11111111111109</v>
      </c>
      <c r="J21" s="293">
        <f t="shared" si="0"/>
        <v>316.69833333333332</v>
      </c>
      <c r="K21" s="293">
        <f>AVERAGE(K17:K20)</f>
        <v>492.2525</v>
      </c>
      <c r="L21" s="294">
        <f t="shared" ref="L21:R21" si="1">AVERAGE(L9:L20)</f>
        <v>482.25888888888886</v>
      </c>
      <c r="M21" s="293">
        <f t="shared" si="1"/>
        <v>266.99333333333334</v>
      </c>
      <c r="N21" s="293">
        <f t="shared" si="1"/>
        <v>337.16666666666663</v>
      </c>
      <c r="O21" s="294">
        <f t="shared" si="1"/>
        <v>454.51333333333332</v>
      </c>
      <c r="P21" s="293">
        <f t="shared" si="1"/>
        <v>258.85083333333336</v>
      </c>
      <c r="Q21" s="293">
        <f t="shared" si="1"/>
        <v>312.03000000000003</v>
      </c>
      <c r="R21" s="293">
        <f t="shared" si="1"/>
        <v>384.26888888888885</v>
      </c>
      <c r="S21" s="103"/>
      <c r="T21" s="57"/>
    </row>
    <row r="22" spans="1:20" ht="20.100000000000001" customHeight="1">
      <c r="A22" s="60"/>
      <c r="B22" s="116"/>
      <c r="C22" s="784" t="s">
        <v>438</v>
      </c>
      <c r="D22" s="295"/>
      <c r="E22" s="295"/>
      <c r="F22" s="295"/>
      <c r="G22" s="295"/>
      <c r="H22" s="295"/>
      <c r="I22" s="295"/>
      <c r="J22" s="296"/>
      <c r="K22" s="296"/>
      <c r="L22" s="295"/>
      <c r="M22" s="296"/>
      <c r="N22" s="296"/>
      <c r="O22" s="295"/>
      <c r="P22" s="296"/>
      <c r="Q22" s="296"/>
      <c r="R22" s="295"/>
      <c r="S22" s="128"/>
      <c r="T22" s="57"/>
    </row>
    <row r="23" spans="1:20" ht="30.75" customHeight="1">
      <c r="A23" s="60"/>
      <c r="B23" s="176"/>
      <c r="C23" s="785" t="s">
        <v>339</v>
      </c>
      <c r="D23" s="297"/>
      <c r="E23" s="297"/>
      <c r="F23" s="297"/>
      <c r="G23" s="297"/>
      <c r="H23" s="297"/>
      <c r="I23" s="297"/>
      <c r="J23" s="298"/>
      <c r="K23" s="298"/>
      <c r="L23" s="297"/>
      <c r="M23" s="298"/>
      <c r="N23" s="298"/>
      <c r="O23" s="297"/>
      <c r="P23" s="298"/>
      <c r="Q23" s="298"/>
      <c r="R23" s="297"/>
      <c r="S23" s="177"/>
      <c r="T23" s="57"/>
    </row>
    <row r="24" spans="1:20" ht="18" customHeight="1">
      <c r="A24" s="57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57"/>
    </row>
    <row r="26" spans="1:20">
      <c r="K26" s="537"/>
      <c r="L26" s="537"/>
      <c r="M26" s="537"/>
      <c r="N26" s="537"/>
      <c r="O26" s="537"/>
    </row>
  </sheetData>
  <mergeCells count="12">
    <mergeCell ref="A1:T1"/>
    <mergeCell ref="D6:F6"/>
    <mergeCell ref="D7:F7"/>
    <mergeCell ref="D8:F8"/>
    <mergeCell ref="G8:I8"/>
    <mergeCell ref="B2:S2"/>
    <mergeCell ref="G7:I7"/>
    <mergeCell ref="J8:L8"/>
    <mergeCell ref="M8:O8"/>
    <mergeCell ref="P8:R8"/>
    <mergeCell ref="C3:R3"/>
    <mergeCell ref="C5:C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32"/>
  <sheetViews>
    <sheetView workbookViewId="0">
      <selection activeCell="L32" sqref="L32"/>
    </sheetView>
  </sheetViews>
  <sheetFormatPr defaultRowHeight="12.75"/>
  <cols>
    <col min="1" max="1" width="3.28515625" customWidth="1"/>
    <col min="2" max="2" width="5.7109375" customWidth="1"/>
    <col min="3" max="3" width="14.7109375" customWidth="1"/>
    <col min="4" max="4" width="44.5703125" customWidth="1"/>
    <col min="5" max="5" width="13.7109375" customWidth="1"/>
    <col min="6" max="6" width="9.7109375" customWidth="1"/>
    <col min="7" max="7" width="13.7109375" customWidth="1"/>
    <col min="8" max="8" width="9.7109375" customWidth="1"/>
    <col min="9" max="9" width="10.7109375" customWidth="1"/>
    <col min="10" max="10" width="5.7109375" customWidth="1"/>
    <col min="11" max="11" width="3.5703125" customWidth="1"/>
  </cols>
  <sheetData>
    <row r="1" spans="1:11" ht="15" customHeight="1">
      <c r="A1" s="1566" t="s">
        <v>410</v>
      </c>
      <c r="B1" s="1566"/>
      <c r="C1" s="1566"/>
      <c r="D1" s="1566"/>
      <c r="E1" s="1566"/>
      <c r="F1" s="1566"/>
      <c r="G1" s="1566"/>
      <c r="H1" s="1566"/>
      <c r="I1" s="1566"/>
      <c r="J1" s="1566"/>
      <c r="K1" s="1566"/>
    </row>
    <row r="2" spans="1:11" ht="12" customHeight="1">
      <c r="A2" s="60"/>
      <c r="B2" s="1379"/>
      <c r="C2" s="1380"/>
      <c r="D2" s="1380"/>
      <c r="E2" s="1380"/>
      <c r="F2" s="1380"/>
      <c r="G2" s="1380"/>
      <c r="H2" s="1380"/>
      <c r="I2" s="1380"/>
      <c r="J2" s="1381"/>
      <c r="K2" s="57"/>
    </row>
    <row r="3" spans="1:11" ht="14.25" customHeight="1">
      <c r="A3" s="58"/>
      <c r="B3" s="1382" t="s">
        <v>75</v>
      </c>
      <c r="C3" s="1383"/>
      <c r="D3" s="1383"/>
      <c r="E3" s="1383"/>
      <c r="F3" s="1383"/>
      <c r="G3" s="1383"/>
      <c r="H3" s="1383"/>
      <c r="I3" s="1383"/>
      <c r="J3" s="1384"/>
      <c r="K3" s="57"/>
    </row>
    <row r="4" spans="1:11" ht="18" customHeight="1">
      <c r="A4" s="58"/>
      <c r="B4" s="1382" t="s">
        <v>440</v>
      </c>
      <c r="C4" s="1383"/>
      <c r="D4" s="1383"/>
      <c r="E4" s="1383"/>
      <c r="F4" s="1383"/>
      <c r="G4" s="1383"/>
      <c r="H4" s="1383"/>
      <c r="I4" s="1383"/>
      <c r="J4" s="1384"/>
      <c r="K4" s="57"/>
    </row>
    <row r="5" spans="1:11" ht="18" customHeight="1">
      <c r="A5" s="58"/>
      <c r="B5" s="378"/>
      <c r="C5" s="1385" t="s">
        <v>76</v>
      </c>
      <c r="D5" s="1386"/>
      <c r="E5" s="1389" t="s">
        <v>439</v>
      </c>
      <c r="F5" s="1390"/>
      <c r="G5" s="1389" t="s">
        <v>203</v>
      </c>
      <c r="H5" s="1390"/>
      <c r="I5" s="1391" t="s">
        <v>77</v>
      </c>
      <c r="J5" s="129"/>
      <c r="K5" s="57"/>
    </row>
    <row r="6" spans="1:11" ht="14.1" customHeight="1">
      <c r="A6" s="58"/>
      <c r="B6" s="378"/>
      <c r="C6" s="1387"/>
      <c r="D6" s="1388"/>
      <c r="E6" s="12" t="s">
        <v>78</v>
      </c>
      <c r="F6" s="12" t="s">
        <v>79</v>
      </c>
      <c r="G6" s="12" t="s">
        <v>80</v>
      </c>
      <c r="H6" s="11" t="s">
        <v>79</v>
      </c>
      <c r="I6" s="1392"/>
      <c r="J6" s="129"/>
      <c r="K6" s="57"/>
    </row>
    <row r="7" spans="1:11" ht="14.1" customHeight="1">
      <c r="A7" s="58"/>
      <c r="B7" s="282"/>
      <c r="C7" s="1215" t="s">
        <v>19</v>
      </c>
      <c r="D7" s="1216"/>
      <c r="E7" s="1240">
        <v>27957062</v>
      </c>
      <c r="F7" s="1217">
        <f t="shared" ref="F7:F30" si="0">E7/$E$30</f>
        <v>0.31688684039890319</v>
      </c>
      <c r="G7" s="1241">
        <v>31403497</v>
      </c>
      <c r="H7" s="1217">
        <f t="shared" ref="H7:H30" si="1">G7/$G$30</f>
        <v>0.32459105745168726</v>
      </c>
      <c r="I7" s="1219">
        <f>(E7/G7-1)*100</f>
        <v>-10.974685398890449</v>
      </c>
      <c r="J7" s="129"/>
      <c r="K7" s="57"/>
    </row>
    <row r="8" spans="1:11" ht="14.1" customHeight="1">
      <c r="A8" s="58"/>
      <c r="B8" s="282"/>
      <c r="C8" s="1215" t="s">
        <v>81</v>
      </c>
      <c r="D8" s="1220"/>
      <c r="E8" s="1214">
        <v>14724197</v>
      </c>
      <c r="F8" s="1221">
        <f t="shared" si="0"/>
        <v>0.16689537207954858</v>
      </c>
      <c r="G8" s="1242">
        <v>17429297</v>
      </c>
      <c r="H8" s="1221">
        <f t="shared" si="1"/>
        <v>0.18015171825830481</v>
      </c>
      <c r="I8" s="1219">
        <f t="shared" ref="I8:I29" si="2">(E8/G8-1)*100</f>
        <v>-15.520419440898847</v>
      </c>
      <c r="J8" s="129"/>
      <c r="K8" s="57"/>
    </row>
    <row r="9" spans="1:11" ht="14.1" customHeight="1">
      <c r="A9" s="58"/>
      <c r="B9" s="282"/>
      <c r="C9" s="1215" t="s">
        <v>82</v>
      </c>
      <c r="D9" s="1220"/>
      <c r="E9" s="1214">
        <v>8532375</v>
      </c>
      <c r="F9" s="1221">
        <f t="shared" si="0"/>
        <v>9.671249986313267E-2</v>
      </c>
      <c r="G9" s="1242">
        <v>10366872</v>
      </c>
      <c r="H9" s="1221">
        <f t="shared" si="1"/>
        <v>0.10715347863794557</v>
      </c>
      <c r="I9" s="1219">
        <f t="shared" si="2"/>
        <v>-17.695762038925533</v>
      </c>
      <c r="J9" s="129"/>
      <c r="K9" s="57"/>
    </row>
    <row r="10" spans="1:11" ht="14.1" customHeight="1">
      <c r="A10" s="58"/>
      <c r="B10" s="282"/>
      <c r="C10" s="1223" t="s">
        <v>83</v>
      </c>
      <c r="D10" s="1224"/>
      <c r="E10" s="1243">
        <v>10333743</v>
      </c>
      <c r="F10" s="1225">
        <f t="shared" si="0"/>
        <v>0.11713059007288687</v>
      </c>
      <c r="G10" s="1244">
        <v>9950706</v>
      </c>
      <c r="H10" s="1225">
        <f t="shared" si="1"/>
        <v>0.10285192706184439</v>
      </c>
      <c r="I10" s="1227">
        <f t="shared" si="2"/>
        <v>3.8493449610510044</v>
      </c>
      <c r="J10" s="129"/>
      <c r="K10" s="57"/>
    </row>
    <row r="11" spans="1:11" ht="14.1" customHeight="1">
      <c r="A11" s="58"/>
      <c r="B11" s="282"/>
      <c r="C11" s="1228" t="s">
        <v>84</v>
      </c>
      <c r="D11" s="1229"/>
      <c r="E11" s="1234">
        <f>E12+E13+E14+E15+E16</f>
        <v>6158740</v>
      </c>
      <c r="F11" s="1231">
        <f t="shared" si="0"/>
        <v>6.9807895387517499E-2</v>
      </c>
      <c r="G11" s="1234">
        <v>6661872</v>
      </c>
      <c r="H11" s="1231">
        <f t="shared" si="1"/>
        <v>6.8858066255735359E-2</v>
      </c>
      <c r="I11" s="1219">
        <f t="shared" si="2"/>
        <v>-7.5524116944906794</v>
      </c>
      <c r="J11" s="129"/>
      <c r="K11" s="57"/>
    </row>
    <row r="12" spans="1:11" ht="14.1" customHeight="1">
      <c r="A12" s="58"/>
      <c r="B12" s="282"/>
      <c r="C12" s="1228"/>
      <c r="D12" s="1229" t="s">
        <v>85</v>
      </c>
      <c r="E12" s="1234">
        <v>5555415</v>
      </c>
      <c r="F12" s="1231">
        <f t="shared" si="0"/>
        <v>6.296934586526555E-2</v>
      </c>
      <c r="G12" s="1245">
        <v>6041101</v>
      </c>
      <c r="H12" s="1231">
        <f t="shared" si="1"/>
        <v>6.2441687999347503E-2</v>
      </c>
      <c r="I12" s="1219">
        <f t="shared" si="2"/>
        <v>-8.0396934267445648</v>
      </c>
      <c r="J12" s="129"/>
      <c r="K12" s="57"/>
    </row>
    <row r="13" spans="1:11" ht="14.1" customHeight="1">
      <c r="A13" s="58"/>
      <c r="B13" s="282"/>
      <c r="C13" s="1228"/>
      <c r="D13" s="1229" t="s">
        <v>86</v>
      </c>
      <c r="E13" s="1234">
        <v>556404</v>
      </c>
      <c r="F13" s="1231">
        <f t="shared" si="0"/>
        <v>6.3067108248109661E-3</v>
      </c>
      <c r="G13" s="1245">
        <v>563324</v>
      </c>
      <c r="H13" s="1231">
        <f t="shared" si="1"/>
        <v>5.8225978096615883E-3</v>
      </c>
      <c r="I13" s="1219">
        <f t="shared" si="2"/>
        <v>-1.2284227194296671</v>
      </c>
      <c r="J13" s="129"/>
      <c r="K13" s="57"/>
    </row>
    <row r="14" spans="1:11" ht="14.1" customHeight="1">
      <c r="A14" s="58"/>
      <c r="B14" s="282"/>
      <c r="C14" s="1228"/>
      <c r="D14" s="1229" t="s">
        <v>87</v>
      </c>
      <c r="E14" s="1234">
        <v>10079</v>
      </c>
      <c r="F14" s="1231">
        <f t="shared" si="0"/>
        <v>1.1424313700704835E-4</v>
      </c>
      <c r="G14" s="1245">
        <v>11603</v>
      </c>
      <c r="H14" s="1231">
        <f t="shared" si="1"/>
        <v>1.199302752687679E-4</v>
      </c>
      <c r="I14" s="1219">
        <f t="shared" si="2"/>
        <v>-13.134534172196844</v>
      </c>
      <c r="J14" s="129"/>
      <c r="K14" s="57"/>
    </row>
    <row r="15" spans="1:11" ht="14.1" customHeight="1">
      <c r="A15" s="58"/>
      <c r="B15" s="282"/>
      <c r="C15" s="1228"/>
      <c r="D15" s="1229" t="s">
        <v>88</v>
      </c>
      <c r="E15" s="1234">
        <v>36754</v>
      </c>
      <c r="F15" s="1231">
        <f t="shared" si="0"/>
        <v>4.1659810075970381E-4</v>
      </c>
      <c r="G15" s="1245">
        <v>45830</v>
      </c>
      <c r="H15" s="1231">
        <f t="shared" si="1"/>
        <v>4.7370546544580136E-4</v>
      </c>
      <c r="I15" s="1219">
        <f t="shared" si="2"/>
        <v>-19.80362208160593</v>
      </c>
      <c r="J15" s="129"/>
      <c r="K15" s="57"/>
    </row>
    <row r="16" spans="1:11" ht="14.1" customHeight="1">
      <c r="A16" s="58"/>
      <c r="B16" s="282"/>
      <c r="C16" s="1235"/>
      <c r="D16" s="1246" t="s">
        <v>89</v>
      </c>
      <c r="E16" s="1247">
        <v>88</v>
      </c>
      <c r="F16" s="1248">
        <f t="shared" si="0"/>
        <v>9.9745967423556454E-7</v>
      </c>
      <c r="G16" s="1249">
        <v>15</v>
      </c>
      <c r="H16" s="1248">
        <f t="shared" si="1"/>
        <v>1.5504215539356361E-7</v>
      </c>
      <c r="I16" s="1227">
        <f t="shared" si="2"/>
        <v>486.66666666666663</v>
      </c>
      <c r="J16" s="129"/>
      <c r="K16" s="57"/>
    </row>
    <row r="17" spans="1:11" ht="14.1" customHeight="1">
      <c r="A17" s="58"/>
      <c r="B17" s="282"/>
      <c r="C17" s="1215" t="s">
        <v>90</v>
      </c>
      <c r="D17" s="1220"/>
      <c r="E17" s="1214">
        <v>5878405</v>
      </c>
      <c r="F17" s="1221">
        <f t="shared" si="0"/>
        <v>6.6630362912780836E-2</v>
      </c>
      <c r="G17" s="1242">
        <v>4641435</v>
      </c>
      <c r="H17" s="1221">
        <f t="shared" si="1"/>
        <v>4.7974539101274992E-2</v>
      </c>
      <c r="I17" s="1219">
        <f t="shared" si="2"/>
        <v>26.65059405119321</v>
      </c>
      <c r="J17" s="129"/>
      <c r="K17" s="57"/>
    </row>
    <row r="18" spans="1:11" ht="14.1" customHeight="1">
      <c r="A18" s="58"/>
      <c r="B18" s="282"/>
      <c r="C18" s="1215" t="s">
        <v>91</v>
      </c>
      <c r="D18" s="1220"/>
      <c r="E18" s="1214">
        <v>2713224</v>
      </c>
      <c r="F18" s="1221">
        <f t="shared" si="0"/>
        <v>3.0753767354183129E-2</v>
      </c>
      <c r="G18" s="1242">
        <v>3449009</v>
      </c>
      <c r="H18" s="1221">
        <f t="shared" si="1"/>
        <v>3.5649452622119965E-2</v>
      </c>
      <c r="I18" s="1219">
        <f t="shared" si="2"/>
        <v>-21.333229342109572</v>
      </c>
      <c r="J18" s="129"/>
      <c r="K18" s="57"/>
    </row>
    <row r="19" spans="1:11" ht="14.1" customHeight="1">
      <c r="A19" s="58"/>
      <c r="B19" s="282"/>
      <c r="C19" s="1215" t="s">
        <v>92</v>
      </c>
      <c r="D19" s="1220"/>
      <c r="E19" s="1214">
        <v>2186217</v>
      </c>
      <c r="F19" s="1221">
        <f t="shared" si="0"/>
        <v>2.4780264734411965E-2</v>
      </c>
      <c r="G19" s="1242">
        <v>2501868</v>
      </c>
      <c r="H19" s="1221">
        <f t="shared" si="1"/>
        <v>2.5859667148678947E-2</v>
      </c>
      <c r="I19" s="1219">
        <f t="shared" si="2"/>
        <v>-12.616612866865873</v>
      </c>
      <c r="J19" s="129"/>
      <c r="K19" s="57"/>
    </row>
    <row r="20" spans="1:11" ht="14.1" customHeight="1">
      <c r="A20" s="58"/>
      <c r="B20" s="282"/>
      <c r="C20" s="1215" t="s">
        <v>93</v>
      </c>
      <c r="D20" s="1220"/>
      <c r="E20" s="1214">
        <v>2050442</v>
      </c>
      <c r="F20" s="1221">
        <f t="shared" si="0"/>
        <v>2.3241286469987719E-2</v>
      </c>
      <c r="G20" s="1242">
        <v>2168269</v>
      </c>
      <c r="H20" s="1221">
        <f t="shared" si="1"/>
        <v>2.2411539948869786E-2</v>
      </c>
      <c r="I20" s="1219">
        <f t="shared" si="2"/>
        <v>-5.4341504674927377</v>
      </c>
      <c r="J20" s="129"/>
      <c r="K20" s="57"/>
    </row>
    <row r="21" spans="1:11" ht="14.1" customHeight="1">
      <c r="A21" s="58"/>
      <c r="B21" s="282"/>
      <c r="C21" s="1215" t="s">
        <v>94</v>
      </c>
      <c r="D21" s="1220"/>
      <c r="E21" s="1214">
        <v>1776262</v>
      </c>
      <c r="F21" s="1221">
        <f t="shared" si="0"/>
        <v>2.0133519498602412E-2</v>
      </c>
      <c r="G21" s="1242">
        <v>1841766</v>
      </c>
      <c r="H21" s="1221">
        <f t="shared" si="1"/>
        <v>1.9036758024705471E-2</v>
      </c>
      <c r="I21" s="1219">
        <f t="shared" si="2"/>
        <v>-3.5565864501788003</v>
      </c>
      <c r="J21" s="129"/>
      <c r="K21" s="57"/>
    </row>
    <row r="22" spans="1:11" ht="14.1" customHeight="1">
      <c r="A22" s="58"/>
      <c r="B22" s="282"/>
      <c r="C22" s="1215" t="s">
        <v>95</v>
      </c>
      <c r="D22" s="1220"/>
      <c r="E22" s="1214">
        <v>888817</v>
      </c>
      <c r="F22" s="1221">
        <f t="shared" si="0"/>
        <v>1.0074535400852633E-2</v>
      </c>
      <c r="G22" s="1242">
        <v>841296</v>
      </c>
      <c r="H22" s="1221">
        <f t="shared" si="1"/>
        <v>8.6957563442655664E-3</v>
      </c>
      <c r="I22" s="1219">
        <f t="shared" si="2"/>
        <v>5.6485470036705232</v>
      </c>
      <c r="J22" s="129"/>
      <c r="K22" s="57"/>
    </row>
    <row r="23" spans="1:11" ht="14.1" customHeight="1">
      <c r="A23" s="58"/>
      <c r="B23" s="379"/>
      <c r="C23" s="1215" t="s">
        <v>96</v>
      </c>
      <c r="D23" s="1220"/>
      <c r="E23" s="1214">
        <v>278158</v>
      </c>
      <c r="F23" s="1221">
        <f t="shared" si="0"/>
        <v>3.1528566825683654E-3</v>
      </c>
      <c r="G23" s="1242">
        <v>742199</v>
      </c>
      <c r="H23" s="1221">
        <f t="shared" si="1"/>
        <v>7.6714755127298339E-3</v>
      </c>
      <c r="I23" s="1219">
        <f t="shared" si="2"/>
        <v>-62.522450178456189</v>
      </c>
      <c r="J23" s="129"/>
      <c r="K23" s="57"/>
    </row>
    <row r="24" spans="1:11" ht="14.1" customHeight="1">
      <c r="A24" s="58"/>
      <c r="B24" s="379"/>
      <c r="C24" s="1215" t="s">
        <v>97</v>
      </c>
      <c r="D24" s="1220"/>
      <c r="E24" s="1213">
        <v>480905</v>
      </c>
      <c r="F24" s="1221">
        <f>E25/$E$30</f>
        <v>4.8084470507259707E-3</v>
      </c>
      <c r="G24" s="1242">
        <v>485415</v>
      </c>
      <c r="H24" s="1221">
        <f t="shared" si="1"/>
        <v>5.0173191906911115E-3</v>
      </c>
      <c r="I24" s="1219">
        <f t="shared" si="2"/>
        <v>-0.92910190249579916</v>
      </c>
      <c r="J24" s="129"/>
      <c r="K24" s="57"/>
    </row>
    <row r="25" spans="1:11" ht="14.1" customHeight="1">
      <c r="A25" s="57"/>
      <c r="B25" s="137"/>
      <c r="C25" s="1215" t="s">
        <v>98</v>
      </c>
      <c r="D25" s="1220"/>
      <c r="E25" s="1214">
        <v>424221</v>
      </c>
      <c r="F25" s="1221">
        <f>E26/$E$30</f>
        <v>3.6178995861426465E-3</v>
      </c>
      <c r="G25" s="1242">
        <v>428043</v>
      </c>
      <c r="H25" s="1221">
        <f t="shared" si="1"/>
        <v>4.4243139547418099E-3</v>
      </c>
      <c r="I25" s="1219">
        <f t="shared" si="2"/>
        <v>-0.892900946867492</v>
      </c>
      <c r="J25" s="129"/>
      <c r="K25" s="57"/>
    </row>
    <row r="26" spans="1:11" ht="14.1" customHeight="1">
      <c r="A26" s="57"/>
      <c r="B26" s="171"/>
      <c r="C26" s="1215" t="s">
        <v>99</v>
      </c>
      <c r="D26" s="1220"/>
      <c r="E26" s="1214">
        <v>319186</v>
      </c>
      <c r="F26" s="1221">
        <f t="shared" si="0"/>
        <v>3.6178995861426465E-3</v>
      </c>
      <c r="G26" s="1242">
        <v>345407</v>
      </c>
      <c r="H26" s="1221">
        <f t="shared" si="1"/>
        <v>3.570176384534975E-3</v>
      </c>
      <c r="I26" s="1219">
        <f t="shared" si="2"/>
        <v>-7.5913342810076223</v>
      </c>
      <c r="J26" s="129"/>
      <c r="K26" s="57"/>
    </row>
    <row r="27" spans="1:11" ht="14.1" customHeight="1">
      <c r="A27" s="57"/>
      <c r="B27" s="171"/>
      <c r="C27" s="1215" t="s">
        <v>100</v>
      </c>
      <c r="D27" s="1220"/>
      <c r="E27" s="1214">
        <v>374780</v>
      </c>
      <c r="F27" s="1221">
        <f t="shared" si="0"/>
        <v>4.2480447353409646E-3</v>
      </c>
      <c r="G27" s="1242">
        <v>337424</v>
      </c>
      <c r="H27" s="1221">
        <f t="shared" si="1"/>
        <v>3.4876629494345205E-3</v>
      </c>
      <c r="I27" s="1219">
        <f t="shared" si="2"/>
        <v>11.070937455545549</v>
      </c>
      <c r="J27" s="129"/>
      <c r="K27" s="57"/>
    </row>
    <row r="28" spans="1:11" ht="14.1" customHeight="1">
      <c r="A28" s="57"/>
      <c r="B28" s="171"/>
      <c r="C28" s="1215" t="s">
        <v>101</v>
      </c>
      <c r="D28" s="1220"/>
      <c r="E28" s="1214">
        <v>220162</v>
      </c>
      <c r="F28" s="1221">
        <f t="shared" si="0"/>
        <v>2.4954854181710269E-3</v>
      </c>
      <c r="G28" s="1242">
        <v>207219</v>
      </c>
      <c r="H28" s="1221">
        <f t="shared" si="1"/>
        <v>2.141845359899924E-3</v>
      </c>
      <c r="I28" s="1219">
        <f t="shared" si="2"/>
        <v>6.246048866175391</v>
      </c>
      <c r="J28" s="129"/>
      <c r="K28" s="57"/>
    </row>
    <row r="29" spans="1:11" ht="15" customHeight="1">
      <c r="A29" s="57"/>
      <c r="B29" s="171"/>
      <c r="C29" s="1215" t="s">
        <v>102</v>
      </c>
      <c r="D29" s="1224"/>
      <c r="E29" s="1239">
        <f>E30-SUM(E7:E11,E17:E28)</f>
        <v>2927222</v>
      </c>
      <c r="F29" s="1225">
        <f t="shared" si="0"/>
        <v>3.3179385256081564E-2</v>
      </c>
      <c r="G29" s="1239">
        <f>G30-SUM(G7:G11,G17:G28)</f>
        <v>2946287</v>
      </c>
      <c r="H29" s="1221">
        <f t="shared" si="1"/>
        <v>3.0453245792535756E-2</v>
      </c>
      <c r="I29" s="1219">
        <f t="shared" si="2"/>
        <v>-0.64708563693897103</v>
      </c>
      <c r="J29" s="129"/>
      <c r="K29" s="57"/>
    </row>
    <row r="30" spans="1:11" ht="15" customHeight="1">
      <c r="A30" s="57"/>
      <c r="B30" s="171"/>
      <c r="C30" s="13" t="s">
        <v>103</v>
      </c>
      <c r="D30" s="14"/>
      <c r="E30" s="1112">
        <v>88224118</v>
      </c>
      <c r="F30" s="793">
        <f t="shared" si="0"/>
        <v>1</v>
      </c>
      <c r="G30" s="1112">
        <v>96747881</v>
      </c>
      <c r="H30" s="794">
        <f t="shared" si="1"/>
        <v>1</v>
      </c>
      <c r="I30" s="795">
        <f>(E30/G30-1)*100</f>
        <v>-8.8102839172260481</v>
      </c>
      <c r="J30" s="129"/>
      <c r="K30" s="57"/>
    </row>
    <row r="31" spans="1:11" ht="15" customHeight="1">
      <c r="A31" s="57"/>
      <c r="B31" s="111"/>
      <c r="C31" s="1378" t="s">
        <v>104</v>
      </c>
      <c r="D31" s="1378"/>
      <c r="E31" s="1378"/>
      <c r="F31" s="1378"/>
      <c r="G31" s="172"/>
      <c r="H31" s="172"/>
      <c r="I31" s="172"/>
      <c r="J31" s="130"/>
      <c r="K31" s="57"/>
    </row>
    <row r="32" spans="1:11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</row>
  </sheetData>
  <mergeCells count="9">
    <mergeCell ref="A1:K1"/>
    <mergeCell ref="C31:F31"/>
    <mergeCell ref="B2:J2"/>
    <mergeCell ref="B4:J4"/>
    <mergeCell ref="C5:D6"/>
    <mergeCell ref="E5:F5"/>
    <mergeCell ref="G5:H5"/>
    <mergeCell ref="I5:I6"/>
    <mergeCell ref="B3:J3"/>
  </mergeCells>
  <conditionalFormatting sqref="I7:I30">
    <cfRule type="cellIs" dxfId="1" priority="7" stopIfTrue="1" operator="lessThan">
      <formula>0</formula>
    </cfRule>
  </conditionalFormatting>
  <hyperlinks>
    <hyperlink ref="D31:F31" r:id="rId1" display="Fonte: AgroStat Brasil a partir de dados da SECEX/MDIC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32"/>
  <sheetViews>
    <sheetView workbookViewId="0">
      <selection activeCell="L31" sqref="L31"/>
    </sheetView>
  </sheetViews>
  <sheetFormatPr defaultRowHeight="12.75"/>
  <cols>
    <col min="1" max="1" width="2.7109375" customWidth="1"/>
    <col min="2" max="2" width="5.7109375" customWidth="1"/>
    <col min="3" max="3" width="14.7109375" customWidth="1"/>
    <col min="4" max="4" width="42.5703125" customWidth="1"/>
    <col min="5" max="5" width="13.7109375" customWidth="1"/>
    <col min="6" max="6" width="9.7109375" customWidth="1"/>
    <col min="7" max="7" width="13.7109375" customWidth="1"/>
    <col min="8" max="8" width="11.42578125" customWidth="1"/>
    <col min="9" max="9" width="10.7109375" customWidth="1"/>
    <col min="10" max="10" width="5.7109375" customWidth="1"/>
    <col min="11" max="11" width="2.7109375" customWidth="1"/>
  </cols>
  <sheetData>
    <row r="1" spans="1:11" ht="15" customHeight="1">
      <c r="A1" s="1566" t="s">
        <v>411</v>
      </c>
      <c r="B1" s="1566"/>
      <c r="C1" s="1566"/>
      <c r="D1" s="1566"/>
      <c r="E1" s="1566"/>
      <c r="F1" s="1566"/>
      <c r="G1" s="1566"/>
      <c r="H1" s="1566"/>
      <c r="I1" s="1566"/>
      <c r="J1" s="1566"/>
      <c r="K1" s="1566"/>
    </row>
    <row r="2" spans="1:11" ht="18" customHeight="1">
      <c r="A2" s="60"/>
      <c r="B2" s="1379"/>
      <c r="C2" s="1380"/>
      <c r="D2" s="1380"/>
      <c r="E2" s="1380"/>
      <c r="F2" s="1380"/>
      <c r="G2" s="1380"/>
      <c r="H2" s="1380"/>
      <c r="I2" s="1380"/>
      <c r="J2" s="1381"/>
      <c r="K2" s="57"/>
    </row>
    <row r="3" spans="1:11" ht="18" customHeight="1">
      <c r="A3" s="58"/>
      <c r="B3" s="1382" t="s">
        <v>75</v>
      </c>
      <c r="C3" s="1383"/>
      <c r="D3" s="1383"/>
      <c r="E3" s="1383"/>
      <c r="F3" s="1383"/>
      <c r="G3" s="1383"/>
      <c r="H3" s="1383"/>
      <c r="I3" s="1383"/>
      <c r="J3" s="1384"/>
      <c r="K3" s="57"/>
    </row>
    <row r="4" spans="1:11" ht="14.1" customHeight="1">
      <c r="A4" s="58"/>
      <c r="B4" s="1382" t="s">
        <v>441</v>
      </c>
      <c r="C4" s="1383"/>
      <c r="D4" s="1383"/>
      <c r="E4" s="1383"/>
      <c r="F4" s="1383"/>
      <c r="G4" s="1383"/>
      <c r="H4" s="1383"/>
      <c r="I4" s="1383"/>
      <c r="J4" s="1384"/>
      <c r="K4" s="57"/>
    </row>
    <row r="5" spans="1:11" ht="14.1" customHeight="1">
      <c r="A5" s="58"/>
      <c r="B5" s="378"/>
      <c r="C5" s="1385" t="s">
        <v>76</v>
      </c>
      <c r="D5" s="1386"/>
      <c r="E5" s="1389" t="s">
        <v>605</v>
      </c>
      <c r="F5" s="1390"/>
      <c r="G5" s="1389" t="s">
        <v>606</v>
      </c>
      <c r="H5" s="1390"/>
      <c r="I5" s="1391" t="s">
        <v>77</v>
      </c>
      <c r="J5" s="129"/>
      <c r="K5" s="57"/>
    </row>
    <row r="6" spans="1:11" ht="14.1" customHeight="1">
      <c r="A6" s="58"/>
      <c r="B6" s="378"/>
      <c r="C6" s="1387"/>
      <c r="D6" s="1388"/>
      <c r="E6" s="12" t="s">
        <v>78</v>
      </c>
      <c r="F6" s="11" t="s">
        <v>79</v>
      </c>
      <c r="G6" s="12" t="s">
        <v>80</v>
      </c>
      <c r="H6" s="12" t="s">
        <v>79</v>
      </c>
      <c r="I6" s="1392"/>
      <c r="J6" s="129"/>
      <c r="K6" s="57"/>
    </row>
    <row r="7" spans="1:11" ht="14.1" customHeight="1">
      <c r="A7" s="58"/>
      <c r="B7" s="282"/>
      <c r="C7" s="1215" t="s">
        <v>19</v>
      </c>
      <c r="D7" s="1216"/>
      <c r="E7" s="1289">
        <v>23518175.949999999</v>
      </c>
      <c r="F7" s="1217">
        <f>E7/$E$30</f>
        <v>0.34913488270000848</v>
      </c>
      <c r="G7" s="1291">
        <v>24487980.232000001</v>
      </c>
      <c r="H7" s="1218">
        <f>G7/$G$30</f>
        <v>0.36573505477046686</v>
      </c>
      <c r="I7" s="1281">
        <f>(E7/G7-1)*100</f>
        <v>-3.9603277722868202</v>
      </c>
      <c r="J7" s="129"/>
      <c r="K7" s="57"/>
    </row>
    <row r="8" spans="1:11" ht="14.1" customHeight="1">
      <c r="A8" s="58"/>
      <c r="B8" s="282"/>
      <c r="C8" s="1215" t="s">
        <v>81</v>
      </c>
      <c r="D8" s="1220"/>
      <c r="E8" s="1290">
        <v>10741069.522</v>
      </c>
      <c r="F8" s="1221">
        <f>E8/$E$30</f>
        <v>0.15945463013835925</v>
      </c>
      <c r="G8" s="1291">
        <v>10973048.567</v>
      </c>
      <c r="H8" s="1222">
        <f>G8/$G$30</f>
        <v>0.16388564841319159</v>
      </c>
      <c r="I8" s="1281">
        <f>(E8/G8-1)*100</f>
        <v>-2.1140801809412024</v>
      </c>
      <c r="J8" s="129"/>
      <c r="K8" s="57"/>
    </row>
    <row r="9" spans="1:11" ht="14.1" customHeight="1">
      <c r="A9" s="58"/>
      <c r="B9" s="282"/>
      <c r="C9" s="1215" t="s">
        <v>82</v>
      </c>
      <c r="D9" s="1220"/>
      <c r="E9" s="1290">
        <v>8167130.4440000001</v>
      </c>
      <c r="F9" s="1221">
        <f>E9/$E$30</f>
        <v>0.12124367704467354</v>
      </c>
      <c r="G9" s="1291">
        <v>5929445.574</v>
      </c>
      <c r="H9" s="1222">
        <f>G9/$G$30</f>
        <v>8.8557981557480056E-2</v>
      </c>
      <c r="I9" s="1281">
        <f>(E9/G9-1)*100</f>
        <v>37.738517742906929</v>
      </c>
      <c r="J9" s="129"/>
      <c r="K9" s="57"/>
    </row>
    <row r="10" spans="1:11" ht="14.1" customHeight="1">
      <c r="A10" s="58"/>
      <c r="B10" s="282"/>
      <c r="C10" s="1223" t="s">
        <v>83</v>
      </c>
      <c r="D10" s="1224"/>
      <c r="E10" s="1292">
        <v>7577807.665</v>
      </c>
      <c r="F10" s="1225">
        <f t="shared" ref="F10:F30" si="0">E10/$E$30</f>
        <v>0.11249499093244943</v>
      </c>
      <c r="G10" s="1293">
        <v>7623990.7779999999</v>
      </c>
      <c r="H10" s="1226">
        <f t="shared" ref="H10:H30" si="1">G10/$G$30</f>
        <v>0.11386650341695539</v>
      </c>
      <c r="I10" s="1282">
        <f t="shared" ref="I10:I30" si="2">(E10/G10-1)*100</f>
        <v>-0.60576034710413396</v>
      </c>
      <c r="J10" s="129"/>
      <c r="K10" s="57"/>
    </row>
    <row r="11" spans="1:11" ht="14.1" customHeight="1">
      <c r="A11" s="58"/>
      <c r="B11" s="282"/>
      <c r="C11" s="1228" t="s">
        <v>84</v>
      </c>
      <c r="D11" s="1229"/>
      <c r="E11" s="1230">
        <f>SUM(E12+E13+E14+E15+E16)</f>
        <v>3708852.8019999997</v>
      </c>
      <c r="F11" s="1288">
        <f t="shared" si="0"/>
        <v>5.5059112183309764E-2</v>
      </c>
      <c r="G11" s="1286">
        <f>SUM(G12+G13+G14+G15+G16)</f>
        <v>4608327.7340000011</v>
      </c>
      <c r="H11" s="1232">
        <f t="shared" si="1"/>
        <v>6.8826705192790757E-2</v>
      </c>
      <c r="I11" s="1283">
        <f t="shared" si="2"/>
        <v>-19.51846708652517</v>
      </c>
      <c r="J11" s="129"/>
      <c r="K11" s="57"/>
    </row>
    <row r="12" spans="1:11" ht="14.1" customHeight="1">
      <c r="A12" s="58"/>
      <c r="B12" s="282"/>
      <c r="C12" s="1228"/>
      <c r="D12" s="1233" t="s">
        <v>85</v>
      </c>
      <c r="E12" s="1230">
        <f>'12.Exportações'!D13</f>
        <v>3262104.7289999998</v>
      </c>
      <c r="F12" s="1221">
        <f t="shared" si="0"/>
        <v>4.8426993417172638E-2</v>
      </c>
      <c r="G12" s="1287">
        <f>'12.Exportações'!G13</f>
        <v>4142558.7</v>
      </c>
      <c r="H12" s="1222">
        <f t="shared" si="1"/>
        <v>6.1870310196286582E-2</v>
      </c>
      <c r="I12" s="1281">
        <f t="shared" si="2"/>
        <v>-21.253868315734437</v>
      </c>
      <c r="J12" s="129"/>
      <c r="K12" s="57"/>
    </row>
    <row r="13" spans="1:11" ht="14.1" customHeight="1">
      <c r="A13" s="58"/>
      <c r="B13" s="282"/>
      <c r="C13" s="1228"/>
      <c r="D13" s="1233" t="s">
        <v>86</v>
      </c>
      <c r="E13" s="1230">
        <f>'12.Exportações'!D14</f>
        <v>407074.223</v>
      </c>
      <c r="F13" s="1221">
        <f t="shared" si="0"/>
        <v>6.0431477083707288E-3</v>
      </c>
      <c r="G13" s="1287">
        <f>'12.Exportações'!G14</f>
        <v>428462.66499999998</v>
      </c>
      <c r="H13" s="1222">
        <f t="shared" si="1"/>
        <v>6.3992136046443033E-3</v>
      </c>
      <c r="I13" s="1281">
        <f t="shared" si="2"/>
        <v>-4.9919033202110992</v>
      </c>
      <c r="J13" s="129"/>
      <c r="K13" s="57"/>
    </row>
    <row r="14" spans="1:11" ht="14.1" customHeight="1">
      <c r="A14" s="58"/>
      <c r="B14" s="282"/>
      <c r="C14" s="1228"/>
      <c r="D14" s="1233" t="s">
        <v>87</v>
      </c>
      <c r="E14" s="1230">
        <f>'12.Exportações'!D15</f>
        <v>7664.5640000000003</v>
      </c>
      <c r="F14" s="1221">
        <f t="shared" si="0"/>
        <v>1.1378291661631641E-4</v>
      </c>
      <c r="G14" s="1287">
        <f>'12.Exportações'!G15</f>
        <v>7765.0869999999995</v>
      </c>
      <c r="H14" s="1222">
        <f t="shared" si="1"/>
        <v>1.1597381622888104E-4</v>
      </c>
      <c r="I14" s="1281">
        <f t="shared" si="2"/>
        <v>-1.2945508530683436</v>
      </c>
      <c r="J14" s="129"/>
      <c r="K14" s="57"/>
    </row>
    <row r="15" spans="1:11" ht="14.1" customHeight="1">
      <c r="A15" s="58"/>
      <c r="B15" s="282"/>
      <c r="C15" s="1228"/>
      <c r="D15" s="1233" t="s">
        <v>88</v>
      </c>
      <c r="E15" s="1230">
        <f>'12.Exportações'!D16</f>
        <v>31984.341999999997</v>
      </c>
      <c r="F15" s="1221">
        <f t="shared" si="0"/>
        <v>4.7481783945097807E-4</v>
      </c>
      <c r="G15" s="1287">
        <f>'12.Exportações'!G16</f>
        <v>29481.876</v>
      </c>
      <c r="H15" s="1222">
        <f t="shared" si="1"/>
        <v>4.4032032986966648E-4</v>
      </c>
      <c r="I15" s="1281">
        <f t="shared" si="2"/>
        <v>8.4881504826897611</v>
      </c>
      <c r="J15" s="129"/>
      <c r="K15" s="57"/>
    </row>
    <row r="16" spans="1:11" ht="14.1" customHeight="1">
      <c r="A16" s="58"/>
      <c r="B16" s="282"/>
      <c r="C16" s="1235"/>
      <c r="D16" s="1236" t="s">
        <v>89</v>
      </c>
      <c r="E16" s="1237">
        <f>'12.Exportações'!D17</f>
        <v>24.943999999999999</v>
      </c>
      <c r="F16" s="1238">
        <v>0</v>
      </c>
      <c r="G16" s="1238">
        <f>'12.Exportações'!G17</f>
        <v>59.405999999999999</v>
      </c>
      <c r="H16" s="1237">
        <v>0</v>
      </c>
      <c r="I16" s="1282">
        <f t="shared" si="2"/>
        <v>-58.010975322358014</v>
      </c>
      <c r="J16" s="129"/>
      <c r="K16" s="57"/>
    </row>
    <row r="17" spans="1:11" ht="14.1" customHeight="1">
      <c r="A17" s="58"/>
      <c r="B17" s="282"/>
      <c r="C17" s="1215" t="s">
        <v>90</v>
      </c>
      <c r="D17" s="1220"/>
      <c r="E17" s="1290">
        <v>3625251.6090000002</v>
      </c>
      <c r="F17" s="1221">
        <f t="shared" si="0"/>
        <v>5.3818025596761132E-2</v>
      </c>
      <c r="G17" s="1291">
        <v>2887102.0529999998</v>
      </c>
      <c r="H17" s="1222">
        <f t="shared" si="1"/>
        <v>4.311970270631188E-2</v>
      </c>
      <c r="I17" s="1281">
        <f t="shared" si="2"/>
        <v>25.567144577829737</v>
      </c>
      <c r="J17" s="129"/>
      <c r="K17" s="57"/>
    </row>
    <row r="18" spans="1:11" ht="14.1" customHeight="1">
      <c r="A18" s="58"/>
      <c r="B18" s="282"/>
      <c r="C18" s="1215" t="s">
        <v>91</v>
      </c>
      <c r="D18" s="1220"/>
      <c r="E18" s="1290">
        <v>1873153.1669999999</v>
      </c>
      <c r="F18" s="1221">
        <f t="shared" si="0"/>
        <v>2.7807560953284488E-2</v>
      </c>
      <c r="G18" s="1291">
        <v>2089345.94</v>
      </c>
      <c r="H18" s="1222">
        <f t="shared" si="1"/>
        <v>3.1204984835858082E-2</v>
      </c>
      <c r="I18" s="1281">
        <f t="shared" si="2"/>
        <v>-10.347390006654432</v>
      </c>
      <c r="J18" s="129"/>
      <c r="K18" s="57"/>
    </row>
    <row r="19" spans="1:11" ht="14.1" customHeight="1">
      <c r="A19" s="58"/>
      <c r="B19" s="282"/>
      <c r="C19" s="1215" t="s">
        <v>92</v>
      </c>
      <c r="D19" s="1220"/>
      <c r="E19" s="1290">
        <v>1442738.0919999999</v>
      </c>
      <c r="F19" s="1221">
        <f t="shared" si="0"/>
        <v>2.1417910793258353E-2</v>
      </c>
      <c r="G19" s="1280">
        <v>1649792.3459999999</v>
      </c>
      <c r="H19" s="1222">
        <f t="shared" si="1"/>
        <v>2.4640125004500083E-2</v>
      </c>
      <c r="I19" s="1281">
        <f t="shared" si="2"/>
        <v>-12.550322136116876</v>
      </c>
      <c r="J19" s="129"/>
      <c r="K19" s="57"/>
    </row>
    <row r="20" spans="1:11" ht="14.1" customHeight="1">
      <c r="A20" s="58"/>
      <c r="B20" s="282"/>
      <c r="C20" s="1215" t="s">
        <v>93</v>
      </c>
      <c r="D20" s="1220"/>
      <c r="E20" s="1290">
        <v>1599655.452</v>
      </c>
      <c r="F20" s="1221">
        <f t="shared" si="0"/>
        <v>2.3747399448912153E-2</v>
      </c>
      <c r="G20" s="1291">
        <v>1518657.2609999999</v>
      </c>
      <c r="H20" s="1222">
        <f t="shared" si="1"/>
        <v>2.2681584649582143E-2</v>
      </c>
      <c r="I20" s="1281">
        <f t="shared" si="2"/>
        <v>5.333539902654838</v>
      </c>
      <c r="J20" s="129"/>
      <c r="K20" s="57"/>
    </row>
    <row r="21" spans="1:11" ht="14.1" customHeight="1">
      <c r="A21" s="58"/>
      <c r="B21" s="282"/>
      <c r="C21" s="1215" t="s">
        <v>94</v>
      </c>
      <c r="D21" s="1220"/>
      <c r="E21" s="1290">
        <v>1127159.9909999999</v>
      </c>
      <c r="F21" s="1221">
        <f t="shared" si="0"/>
        <v>1.6733052430536289E-2</v>
      </c>
      <c r="G21" s="1291">
        <v>1004943.287</v>
      </c>
      <c r="H21" s="1222">
        <f t="shared" si="1"/>
        <v>1.5009118131836214E-2</v>
      </c>
      <c r="I21" s="1281">
        <f t="shared" si="2"/>
        <v>12.16155235633709</v>
      </c>
      <c r="J21" s="129"/>
      <c r="K21" s="57"/>
    </row>
    <row r="22" spans="1:11" ht="14.1" customHeight="1">
      <c r="A22" s="58"/>
      <c r="B22" s="282"/>
      <c r="C22" s="1215" t="s">
        <v>95</v>
      </c>
      <c r="D22" s="1220"/>
      <c r="E22" s="1290">
        <v>536426.89800000004</v>
      </c>
      <c r="F22" s="1221">
        <f t="shared" si="0"/>
        <v>7.9634297535884982E-3</v>
      </c>
      <c r="G22" s="1291">
        <v>546343.78200000001</v>
      </c>
      <c r="H22" s="1222">
        <f t="shared" si="1"/>
        <v>8.1598021208854257E-3</v>
      </c>
      <c r="I22" s="1281">
        <f t="shared" si="2"/>
        <v>-1.8151362432820672</v>
      </c>
      <c r="J22" s="129"/>
      <c r="K22" s="57"/>
    </row>
    <row r="23" spans="1:11" ht="14.1" customHeight="1">
      <c r="A23" s="57"/>
      <c r="B23" s="379"/>
      <c r="C23" s="1215" t="s">
        <v>96</v>
      </c>
      <c r="D23" s="1220"/>
      <c r="E23" s="1290">
        <v>192827.67800000001</v>
      </c>
      <c r="F23" s="1221">
        <f t="shared" si="0"/>
        <v>2.862588870964077E-3</v>
      </c>
      <c r="G23" s="1291">
        <v>232897.921</v>
      </c>
      <c r="H23" s="1222">
        <f t="shared" si="1"/>
        <v>3.4783976908619898E-3</v>
      </c>
      <c r="I23" s="1281">
        <f t="shared" si="2"/>
        <v>-17.205066849866814</v>
      </c>
      <c r="J23" s="129"/>
      <c r="K23" s="57"/>
    </row>
    <row r="24" spans="1:11" ht="14.1" customHeight="1">
      <c r="A24" s="57"/>
      <c r="B24" s="379"/>
      <c r="C24" s="1215" t="s">
        <v>97</v>
      </c>
      <c r="D24" s="1220"/>
      <c r="E24" s="1290">
        <v>250901.2</v>
      </c>
      <c r="F24" s="1221">
        <f t="shared" si="0"/>
        <v>3.7247089747745243E-3</v>
      </c>
      <c r="G24" s="1291">
        <v>297012.00400000002</v>
      </c>
      <c r="H24" s="1222">
        <f t="shared" si="1"/>
        <v>4.4359600310553745E-3</v>
      </c>
      <c r="I24" s="1281">
        <f t="shared" si="2"/>
        <v>-15.524895754718383</v>
      </c>
      <c r="J24" s="129"/>
      <c r="K24" s="57"/>
    </row>
    <row r="25" spans="1:11" ht="14.1" customHeight="1">
      <c r="A25" s="57"/>
      <c r="B25" s="137"/>
      <c r="C25" s="1215" t="s">
        <v>98</v>
      </c>
      <c r="D25" s="1220"/>
      <c r="E25" s="1290">
        <v>244553.80499999999</v>
      </c>
      <c r="F25" s="1221">
        <f t="shared" si="0"/>
        <v>3.6304798554122452E-3</v>
      </c>
      <c r="G25" s="1291">
        <v>317452.34299999999</v>
      </c>
      <c r="H25" s="1222">
        <f t="shared" si="1"/>
        <v>4.7412423954180695E-3</v>
      </c>
      <c r="I25" s="1281">
        <f t="shared" si="2"/>
        <v>-22.963616305707969</v>
      </c>
      <c r="J25" s="129"/>
      <c r="K25" s="57"/>
    </row>
    <row r="26" spans="1:11" ht="14.1" customHeight="1">
      <c r="A26" s="57"/>
      <c r="B26" s="171"/>
      <c r="C26" s="1215" t="s">
        <v>99</v>
      </c>
      <c r="D26" s="1220"/>
      <c r="E26" s="1290">
        <v>119701.785</v>
      </c>
      <c r="F26" s="1221">
        <f t="shared" si="0"/>
        <v>1.777011480559003E-3</v>
      </c>
      <c r="G26" s="1291">
        <v>228717.02900000001</v>
      </c>
      <c r="H26" s="1222">
        <f t="shared" si="1"/>
        <v>3.41595486176287E-3</v>
      </c>
      <c r="I26" s="1281">
        <f t="shared" si="2"/>
        <v>-47.663807315370462</v>
      </c>
      <c r="J26" s="129"/>
      <c r="K26" s="57"/>
    </row>
    <row r="27" spans="1:11" ht="14.1" customHeight="1">
      <c r="A27" s="57"/>
      <c r="B27" s="171"/>
      <c r="C27" s="1215" t="s">
        <v>100</v>
      </c>
      <c r="D27" s="1220"/>
      <c r="E27" s="1290">
        <v>300389.15299999999</v>
      </c>
      <c r="F27" s="1221">
        <f t="shared" si="0"/>
        <v>4.4593735466550884E-3</v>
      </c>
      <c r="G27" s="1291">
        <v>261485.45800000001</v>
      </c>
      <c r="H27" s="1222">
        <f t="shared" si="1"/>
        <v>3.9053608095590939E-3</v>
      </c>
      <c r="I27" s="1281">
        <f t="shared" si="2"/>
        <v>14.877957381477014</v>
      </c>
      <c r="J27" s="129"/>
      <c r="K27" s="57"/>
    </row>
    <row r="28" spans="1:11" ht="14.1" customHeight="1">
      <c r="A28" s="57"/>
      <c r="B28" s="171"/>
      <c r="C28" s="1215" t="s">
        <v>101</v>
      </c>
      <c r="D28" s="1220"/>
      <c r="E28" s="1290">
        <v>173134.79199999999</v>
      </c>
      <c r="F28" s="1221">
        <f t="shared" si="0"/>
        <v>2.5702416473421426E-3</v>
      </c>
      <c r="G28" s="1291">
        <v>151938.37</v>
      </c>
      <c r="H28" s="1222">
        <f t="shared" si="1"/>
        <v>2.2692434225779741E-3</v>
      </c>
      <c r="I28" s="1281">
        <f t="shared" si="2"/>
        <v>13.950670920057906</v>
      </c>
      <c r="J28" s="129"/>
      <c r="K28" s="57"/>
    </row>
    <row r="29" spans="1:11" ht="15" customHeight="1">
      <c r="A29" s="57"/>
      <c r="B29" s="171"/>
      <c r="C29" s="1215" t="s">
        <v>102</v>
      </c>
      <c r="D29" s="1224"/>
      <c r="E29" s="1239">
        <f>E30-SUM(E7:E11,E17:E28)</f>
        <v>2162359.6150000021</v>
      </c>
      <c r="F29" s="1225">
        <f t="shared" si="0"/>
        <v>3.2100923649151507E-2</v>
      </c>
      <c r="G29" s="1239">
        <f>G30-SUM(G7:G11,G17:G28)</f>
        <v>2147037.8379999995</v>
      </c>
      <c r="H29" s="1226">
        <f t="shared" si="1"/>
        <v>3.2066629988906248E-2</v>
      </c>
      <c r="I29" s="1284">
        <f t="shared" si="2"/>
        <v>0.71362398597851762</v>
      </c>
      <c r="J29" s="129"/>
      <c r="K29" s="57"/>
    </row>
    <row r="30" spans="1:11">
      <c r="A30" s="57"/>
      <c r="B30" s="171"/>
      <c r="C30" s="13" t="s">
        <v>103</v>
      </c>
      <c r="D30" s="14"/>
      <c r="E30" s="1294">
        <v>67361289.620000005</v>
      </c>
      <c r="F30" s="1295">
        <f t="shared" si="0"/>
        <v>1</v>
      </c>
      <c r="G30" s="1296">
        <v>66955518.516999997</v>
      </c>
      <c r="H30" s="794">
        <f t="shared" si="1"/>
        <v>1</v>
      </c>
      <c r="I30" s="1285">
        <f t="shared" si="2"/>
        <v>0.60603085748187624</v>
      </c>
      <c r="J30" s="129"/>
      <c r="K30" s="57"/>
    </row>
    <row r="31" spans="1:11" ht="15" customHeight="1">
      <c r="A31" s="57"/>
      <c r="B31" s="111"/>
      <c r="C31" s="1378" t="s">
        <v>104</v>
      </c>
      <c r="D31" s="1378"/>
      <c r="E31" s="1378"/>
      <c r="F31" s="1378"/>
      <c r="G31" s="172"/>
      <c r="H31" s="172"/>
      <c r="I31" s="172"/>
      <c r="J31" s="130"/>
      <c r="K31" s="57"/>
    </row>
    <row r="32" spans="1:11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</row>
  </sheetData>
  <mergeCells count="9">
    <mergeCell ref="A1:K1"/>
    <mergeCell ref="C31:F31"/>
    <mergeCell ref="C5:D6"/>
    <mergeCell ref="E5:F5"/>
    <mergeCell ref="G5:H5"/>
    <mergeCell ref="I5:I6"/>
    <mergeCell ref="B2:J2"/>
    <mergeCell ref="B4:J4"/>
    <mergeCell ref="B3:J3"/>
  </mergeCells>
  <conditionalFormatting sqref="I7:I30">
    <cfRule type="cellIs" dxfId="0" priority="2" stopIfTrue="1" operator="lessThan">
      <formula>0</formula>
    </cfRule>
  </conditionalFormatting>
  <hyperlinks>
    <hyperlink ref="D31:F31" r:id="rId1" display="Fonte: AgroStat Brasil a partir de dados da SECEX/MDIC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M25" sqref="M25"/>
    </sheetView>
  </sheetViews>
  <sheetFormatPr defaultRowHeight="12.75"/>
  <cols>
    <col min="1" max="1" width="2.7109375" customWidth="1"/>
    <col min="2" max="2" width="12.140625" customWidth="1"/>
    <col min="3" max="3" width="24.28515625" customWidth="1"/>
    <col min="4" max="9" width="13.7109375" customWidth="1"/>
    <col min="10" max="10" width="10.5703125" customWidth="1"/>
    <col min="11" max="11" width="2.7109375" customWidth="1"/>
  </cols>
  <sheetData>
    <row r="1" spans="1:11" ht="15" customHeight="1">
      <c r="A1" s="1566" t="s">
        <v>412</v>
      </c>
      <c r="B1" s="1566"/>
      <c r="C1" s="1566"/>
      <c r="D1" s="1566"/>
      <c r="E1" s="1566"/>
      <c r="F1" s="1566"/>
      <c r="G1" s="1566"/>
      <c r="H1" s="1566"/>
      <c r="I1" s="1566"/>
      <c r="J1" s="1566"/>
      <c r="K1" s="1566"/>
    </row>
    <row r="2" spans="1:11" ht="18" customHeight="1">
      <c r="A2" s="58"/>
      <c r="B2" s="279"/>
      <c r="C2" s="380"/>
      <c r="D2" s="380"/>
      <c r="E2" s="380"/>
      <c r="F2" s="380"/>
      <c r="G2" s="380"/>
      <c r="H2" s="380"/>
      <c r="I2" s="380"/>
      <c r="J2" s="280"/>
      <c r="K2" s="58"/>
    </row>
    <row r="3" spans="1:11" ht="18" customHeight="1">
      <c r="A3" s="58"/>
      <c r="B3" s="1397" t="s">
        <v>157</v>
      </c>
      <c r="C3" s="1398"/>
      <c r="D3" s="1398"/>
      <c r="E3" s="1398"/>
      <c r="F3" s="1398"/>
      <c r="G3" s="1398"/>
      <c r="H3" s="1398"/>
      <c r="I3" s="1398"/>
      <c r="J3" s="1399"/>
      <c r="K3" s="57"/>
    </row>
    <row r="4" spans="1:11" ht="18" customHeight="1" thickBot="1">
      <c r="A4" s="58"/>
      <c r="B4" s="1397"/>
      <c r="C4" s="1398"/>
      <c r="D4" s="1398"/>
      <c r="E4" s="1398"/>
      <c r="F4" s="1398"/>
      <c r="G4" s="1398"/>
      <c r="H4" s="1398"/>
      <c r="I4" s="1398"/>
      <c r="J4" s="1399"/>
      <c r="K4" s="57"/>
    </row>
    <row r="5" spans="1:11" ht="18" customHeight="1">
      <c r="A5" s="58"/>
      <c r="B5" s="378"/>
      <c r="C5" s="1393" t="s">
        <v>84</v>
      </c>
      <c r="D5" s="1400" t="s">
        <v>602</v>
      </c>
      <c r="E5" s="1396"/>
      <c r="F5" s="1400" t="s">
        <v>603</v>
      </c>
      <c r="G5" s="1396"/>
      <c r="H5" s="1401" t="s">
        <v>105</v>
      </c>
      <c r="I5" s="1402"/>
      <c r="J5" s="129"/>
      <c r="K5" s="57"/>
    </row>
    <row r="6" spans="1:11" ht="18" customHeight="1">
      <c r="A6" s="58"/>
      <c r="B6" s="378"/>
      <c r="C6" s="1394"/>
      <c r="D6" s="305" t="s">
        <v>106</v>
      </c>
      <c r="E6" s="305" t="s">
        <v>327</v>
      </c>
      <c r="F6" s="305" t="s">
        <v>106</v>
      </c>
      <c r="G6" s="305" t="s">
        <v>327</v>
      </c>
      <c r="H6" s="1403" t="s">
        <v>446</v>
      </c>
      <c r="I6" s="1404"/>
      <c r="J6" s="129"/>
      <c r="K6" s="57"/>
    </row>
    <row r="7" spans="1:11" ht="18" customHeight="1" thickBot="1">
      <c r="A7" s="58"/>
      <c r="B7" s="378"/>
      <c r="C7" s="224"/>
      <c r="D7" s="306" t="s">
        <v>111</v>
      </c>
      <c r="E7" s="306" t="s">
        <v>110</v>
      </c>
      <c r="F7" s="306" t="s">
        <v>111</v>
      </c>
      <c r="G7" s="306" t="s">
        <v>110</v>
      </c>
      <c r="H7" s="306" t="s">
        <v>106</v>
      </c>
      <c r="I7" s="307" t="s">
        <v>327</v>
      </c>
      <c r="J7" s="129"/>
      <c r="K7" s="57"/>
    </row>
    <row r="8" spans="1:11" ht="18" customHeight="1">
      <c r="A8" s="58"/>
      <c r="B8" s="282"/>
      <c r="C8" s="522" t="s">
        <v>13</v>
      </c>
      <c r="D8" s="1308">
        <v>27608</v>
      </c>
      <c r="E8" s="1308">
        <v>230.59399999999999</v>
      </c>
      <c r="F8" s="1277">
        <v>27302</v>
      </c>
      <c r="G8" s="789">
        <v>525.95000000000005</v>
      </c>
      <c r="H8" s="524">
        <f t="shared" ref="H8:I11" si="0">SUM(D8-F8)*100/F8</f>
        <v>1.1207970112079702</v>
      </c>
      <c r="I8" s="525">
        <f t="shared" si="0"/>
        <v>-56.156668884874996</v>
      </c>
      <c r="J8" s="129"/>
      <c r="K8" s="57"/>
    </row>
    <row r="9" spans="1:11" ht="18" customHeight="1">
      <c r="A9" s="58"/>
      <c r="B9" s="282"/>
      <c r="C9" s="522" t="s">
        <v>112</v>
      </c>
      <c r="D9" s="790">
        <v>1445054</v>
      </c>
      <c r="E9" s="790">
        <v>6297.4840000000004</v>
      </c>
      <c r="F9" s="1278">
        <v>59942</v>
      </c>
      <c r="G9" s="790">
        <v>292.98</v>
      </c>
      <c r="H9" s="524">
        <f t="shared" si="0"/>
        <v>2310.7537286043175</v>
      </c>
      <c r="I9" s="525">
        <f t="shared" si="0"/>
        <v>2049.4586661205549</v>
      </c>
      <c r="J9" s="129"/>
      <c r="K9" s="57"/>
    </row>
    <row r="10" spans="1:11" ht="18" customHeight="1">
      <c r="A10" s="58"/>
      <c r="B10" s="282"/>
      <c r="C10" s="522" t="s">
        <v>158</v>
      </c>
      <c r="D10" s="790">
        <v>40297632</v>
      </c>
      <c r="E10" s="790">
        <v>45817.415000000001</v>
      </c>
      <c r="F10" s="1278">
        <v>50550509</v>
      </c>
      <c r="G10" s="1185">
        <v>54760.143833333299</v>
      </c>
      <c r="H10" s="524">
        <f t="shared" si="0"/>
        <v>-20.282440677303565</v>
      </c>
      <c r="I10" s="525">
        <f t="shared" si="0"/>
        <v>-16.330725610493609</v>
      </c>
      <c r="J10" s="129"/>
      <c r="K10" s="57"/>
    </row>
    <row r="11" spans="1:11" ht="18" customHeight="1">
      <c r="A11" s="58"/>
      <c r="B11" s="282"/>
      <c r="C11" s="526" t="s">
        <v>114</v>
      </c>
      <c r="D11" s="790">
        <v>3887504</v>
      </c>
      <c r="E11" s="1136">
        <v>17899.664999999997</v>
      </c>
      <c r="F11" s="1278">
        <v>12585986</v>
      </c>
      <c r="G11" s="790">
        <v>49558.860333333301</v>
      </c>
      <c r="H11" s="528">
        <f t="shared" si="0"/>
        <v>-69.1124398199712</v>
      </c>
      <c r="I11" s="529">
        <f t="shared" si="0"/>
        <v>-63.882008424716176</v>
      </c>
      <c r="J11" s="129"/>
      <c r="K11" s="57"/>
    </row>
    <row r="12" spans="1:11" ht="18" customHeight="1" thickBot="1">
      <c r="A12" s="58"/>
      <c r="B12" s="282"/>
      <c r="C12" s="747" t="s">
        <v>278</v>
      </c>
      <c r="D12" s="791">
        <v>0</v>
      </c>
      <c r="E12" s="791">
        <v>0</v>
      </c>
      <c r="F12" s="1279">
        <v>2389</v>
      </c>
      <c r="G12" s="791">
        <v>20.367999999999999</v>
      </c>
      <c r="H12" s="530">
        <v>0</v>
      </c>
      <c r="I12" s="531">
        <v>0</v>
      </c>
      <c r="J12" s="129"/>
      <c r="K12" s="57"/>
    </row>
    <row r="13" spans="1:11" ht="18" customHeight="1" thickBot="1">
      <c r="A13" s="58"/>
      <c r="B13" s="282"/>
      <c r="C13" s="308" t="s">
        <v>115</v>
      </c>
      <c r="D13" s="532">
        <f>SUM(D8:D12)</f>
        <v>45657798</v>
      </c>
      <c r="E13" s="532">
        <f>SUM(E8:E12)</f>
        <v>70245.157999999996</v>
      </c>
      <c r="F13" s="532">
        <f>SUM(F8:F12)</f>
        <v>63226128</v>
      </c>
      <c r="G13" s="532">
        <f>SUM(G8:G12)</f>
        <v>105158.3021666666</v>
      </c>
      <c r="H13" s="533">
        <f>SUM(D13-F13)*100/F13</f>
        <v>-27.786503073539471</v>
      </c>
      <c r="I13" s="534">
        <f>SUM(E13-G13)*100/G13</f>
        <v>-33.20055901181474</v>
      </c>
      <c r="J13" s="129"/>
      <c r="K13" s="57"/>
    </row>
    <row r="14" spans="1:11" ht="18" customHeight="1" thickBot="1">
      <c r="A14" s="58"/>
      <c r="B14" s="282"/>
      <c r="C14" s="190"/>
      <c r="D14" s="190"/>
      <c r="E14" s="190"/>
      <c r="F14" s="191"/>
      <c r="G14" s="191"/>
      <c r="H14" s="191"/>
      <c r="I14" s="192"/>
      <c r="J14" s="129"/>
      <c r="K14" s="57"/>
    </row>
    <row r="15" spans="1:11" ht="18" customHeight="1">
      <c r="A15" s="58"/>
      <c r="B15" s="282"/>
      <c r="C15" s="1393" t="s">
        <v>84</v>
      </c>
      <c r="D15" s="1395" t="s">
        <v>165</v>
      </c>
      <c r="E15" s="1396"/>
      <c r="F15" s="1395" t="s">
        <v>203</v>
      </c>
      <c r="G15" s="1396"/>
      <c r="H15" s="1395" t="s">
        <v>439</v>
      </c>
      <c r="I15" s="1396"/>
      <c r="J15" s="129"/>
      <c r="K15" s="57"/>
    </row>
    <row r="16" spans="1:11" ht="18" customHeight="1">
      <c r="A16" s="58"/>
      <c r="B16" s="282"/>
      <c r="C16" s="1394"/>
      <c r="D16" s="305" t="s">
        <v>106</v>
      </c>
      <c r="E16" s="305" t="s">
        <v>327</v>
      </c>
      <c r="F16" s="305" t="s">
        <v>106</v>
      </c>
      <c r="G16" s="305" t="s">
        <v>327</v>
      </c>
      <c r="H16" s="305" t="s">
        <v>106</v>
      </c>
      <c r="I16" s="420" t="s">
        <v>327</v>
      </c>
      <c r="J16" s="129"/>
      <c r="K16" s="57"/>
    </row>
    <row r="17" spans="1:11" ht="18" customHeight="1" thickBot="1">
      <c r="A17" s="58"/>
      <c r="B17" s="282"/>
      <c r="C17" s="224"/>
      <c r="D17" s="306" t="s">
        <v>111</v>
      </c>
      <c r="E17" s="306" t="s">
        <v>110</v>
      </c>
      <c r="F17" s="306" t="s">
        <v>111</v>
      </c>
      <c r="G17" s="306" t="s">
        <v>110</v>
      </c>
      <c r="H17" s="306" t="s">
        <v>111</v>
      </c>
      <c r="I17" s="307" t="s">
        <v>110</v>
      </c>
      <c r="J17" s="129"/>
      <c r="K17" s="57"/>
    </row>
    <row r="18" spans="1:11" ht="18" customHeight="1">
      <c r="A18" s="58"/>
      <c r="B18" s="282"/>
      <c r="C18" s="15" t="s">
        <v>13</v>
      </c>
      <c r="D18" s="16">
        <v>139325</v>
      </c>
      <c r="E18" s="16">
        <v>500</v>
      </c>
      <c r="F18" s="513">
        <v>35635</v>
      </c>
      <c r="G18" s="513">
        <v>256.95</v>
      </c>
      <c r="H18" s="513">
        <v>28836</v>
      </c>
      <c r="I18" s="523">
        <v>942.63400000000001</v>
      </c>
      <c r="J18" s="124"/>
      <c r="K18" s="114"/>
    </row>
    <row r="19" spans="1:11" ht="18" customHeight="1">
      <c r="A19" s="58"/>
      <c r="B19" s="282"/>
      <c r="C19" s="15" t="s">
        <v>112</v>
      </c>
      <c r="D19" s="16">
        <v>361438</v>
      </c>
      <c r="E19" s="16">
        <v>435</v>
      </c>
      <c r="F19" s="513">
        <v>95261</v>
      </c>
      <c r="G19" s="513">
        <v>577.70000000000005</v>
      </c>
      <c r="H19" s="513">
        <v>359174</v>
      </c>
      <c r="I19" s="523">
        <v>1506</v>
      </c>
      <c r="J19" s="124"/>
      <c r="K19" s="114"/>
    </row>
    <row r="20" spans="1:11" ht="18" customHeight="1">
      <c r="A20" s="58"/>
      <c r="B20" s="282"/>
      <c r="C20" s="15" t="s">
        <v>158</v>
      </c>
      <c r="D20" s="16">
        <v>32092593</v>
      </c>
      <c r="E20" s="16">
        <v>32780</v>
      </c>
      <c r="F20" s="513">
        <v>47884086</v>
      </c>
      <c r="G20" s="513">
        <v>48577.17</v>
      </c>
      <c r="H20" s="513">
        <v>67041713</v>
      </c>
      <c r="I20" s="523">
        <v>80517.600000000006</v>
      </c>
      <c r="J20" s="124"/>
      <c r="K20" s="114"/>
    </row>
    <row r="21" spans="1:11" ht="18" customHeight="1">
      <c r="A21" s="58"/>
      <c r="B21" s="282"/>
      <c r="C21" s="223" t="s">
        <v>114</v>
      </c>
      <c r="D21" s="419">
        <v>7538246</v>
      </c>
      <c r="E21" s="419">
        <v>28903</v>
      </c>
      <c r="F21" s="527">
        <v>11985311</v>
      </c>
      <c r="G21" s="527">
        <v>43141.06</v>
      </c>
      <c r="H21" s="527">
        <v>16590835</v>
      </c>
      <c r="I21" s="529">
        <v>66068.639999999999</v>
      </c>
      <c r="J21" s="124"/>
      <c r="K21" s="114"/>
    </row>
    <row r="22" spans="1:11" ht="18" customHeight="1" thickBot="1">
      <c r="A22" s="58"/>
      <c r="B22" s="282"/>
      <c r="C22" s="227" t="s">
        <v>278</v>
      </c>
      <c r="D22" s="16">
        <v>1662</v>
      </c>
      <c r="E22" s="16">
        <v>6</v>
      </c>
      <c r="F22" s="516">
        <v>1260</v>
      </c>
      <c r="G22" s="516">
        <v>8.23</v>
      </c>
      <c r="H22" s="516">
        <v>2389</v>
      </c>
      <c r="I22" s="531">
        <v>20.3</v>
      </c>
      <c r="J22" s="124"/>
      <c r="K22" s="114"/>
    </row>
    <row r="23" spans="1:11" ht="18" customHeight="1" thickBot="1">
      <c r="A23" s="58"/>
      <c r="B23" s="282"/>
      <c r="C23" s="308" t="s">
        <v>115</v>
      </c>
      <c r="D23" s="314">
        <f t="shared" ref="D23:I23" si="1">SUM(D18:D22)</f>
        <v>40133264</v>
      </c>
      <c r="E23" s="314">
        <f t="shared" si="1"/>
        <v>62624</v>
      </c>
      <c r="F23" s="314">
        <f t="shared" si="1"/>
        <v>60001553</v>
      </c>
      <c r="G23" s="314">
        <f t="shared" si="1"/>
        <v>92561.11</v>
      </c>
      <c r="H23" s="421">
        <f t="shared" si="1"/>
        <v>84022947</v>
      </c>
      <c r="I23" s="422">
        <f t="shared" si="1"/>
        <v>149055.174</v>
      </c>
      <c r="J23" s="129"/>
      <c r="K23" s="57"/>
    </row>
    <row r="24" spans="1:11" ht="18" customHeight="1">
      <c r="A24" s="57"/>
      <c r="B24" s="282"/>
      <c r="C24" s="396" t="s">
        <v>116</v>
      </c>
      <c r="D24" s="190"/>
      <c r="E24" s="190"/>
      <c r="F24" s="191"/>
      <c r="G24" s="191"/>
      <c r="H24" s="191"/>
      <c r="I24" s="192"/>
      <c r="J24" s="129"/>
      <c r="K24" s="57"/>
    </row>
    <row r="25" spans="1:11" ht="18" customHeight="1">
      <c r="A25" s="57"/>
      <c r="B25" s="282"/>
      <c r="C25" s="396" t="s">
        <v>319</v>
      </c>
      <c r="D25" s="190"/>
      <c r="E25" s="190"/>
      <c r="F25" s="191"/>
      <c r="G25" s="191"/>
      <c r="H25" s="191"/>
      <c r="I25" s="192"/>
      <c r="J25" s="129"/>
      <c r="K25" s="57"/>
    </row>
    <row r="26" spans="1:11" ht="18" customHeight="1">
      <c r="A26" s="57"/>
      <c r="B26" s="111"/>
      <c r="C26" s="423"/>
      <c r="D26" s="424"/>
      <c r="E26" s="424"/>
      <c r="F26" s="425"/>
      <c r="G26" s="425"/>
      <c r="H26" s="425"/>
      <c r="I26" s="426"/>
      <c r="J26" s="130"/>
      <c r="K26" s="57"/>
    </row>
    <row r="27" spans="1:11" ht="15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11">
      <c r="C28" s="3"/>
      <c r="D28" s="3"/>
      <c r="E28" s="3"/>
      <c r="F28" s="3"/>
      <c r="G28" s="3"/>
    </row>
    <row r="29" spans="1:11">
      <c r="C29" s="3"/>
      <c r="D29" s="3"/>
      <c r="E29" s="3"/>
      <c r="F29" s="3"/>
      <c r="G29" s="3"/>
    </row>
  </sheetData>
  <mergeCells count="12">
    <mergeCell ref="A1:K1"/>
    <mergeCell ref="C15:C16"/>
    <mergeCell ref="D15:E15"/>
    <mergeCell ref="F15:G15"/>
    <mergeCell ref="H15:I15"/>
    <mergeCell ref="B3:J3"/>
    <mergeCell ref="C5:C6"/>
    <mergeCell ref="D5:E5"/>
    <mergeCell ref="F5:G5"/>
    <mergeCell ref="B4:J4"/>
    <mergeCell ref="H5:I5"/>
    <mergeCell ref="H6:I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O23" sqref="O23"/>
    </sheetView>
  </sheetViews>
  <sheetFormatPr defaultRowHeight="12.75"/>
  <cols>
    <col min="1" max="1" width="3.28515625" customWidth="1"/>
    <col min="2" max="2" width="4.7109375" customWidth="1"/>
    <col min="3" max="3" width="25.85546875" customWidth="1"/>
    <col min="4" max="5" width="11.28515625" bestFit="1" customWidth="1"/>
    <col min="6" max="6" width="10.140625" customWidth="1"/>
    <col min="7" max="8" width="11.28515625" bestFit="1" customWidth="1"/>
    <col min="9" max="9" width="10.140625" bestFit="1" customWidth="1"/>
    <col min="10" max="10" width="8.140625" bestFit="1" customWidth="1"/>
    <col min="11" max="11" width="10.28515625" bestFit="1" customWidth="1"/>
    <col min="12" max="12" width="9.5703125" bestFit="1" customWidth="1"/>
    <col min="13" max="13" width="4.85546875" customWidth="1"/>
    <col min="14" max="14" width="3.5703125" customWidth="1"/>
    <col min="16" max="16" width="22.140625" customWidth="1"/>
  </cols>
  <sheetData>
    <row r="1" spans="1:14" ht="15" customHeight="1">
      <c r="A1" s="1566" t="s">
        <v>474</v>
      </c>
      <c r="B1" s="1566"/>
      <c r="C1" s="1566"/>
      <c r="D1" s="1566"/>
      <c r="E1" s="1566"/>
      <c r="F1" s="1566"/>
      <c r="G1" s="1566"/>
      <c r="H1" s="1566"/>
      <c r="I1" s="1566"/>
      <c r="J1" s="1566"/>
      <c r="K1" s="1566"/>
      <c r="L1" s="1566"/>
      <c r="M1" s="1566"/>
      <c r="N1" s="1566"/>
    </row>
    <row r="2" spans="1:14" ht="20.100000000000001" customHeight="1">
      <c r="A2" s="60"/>
      <c r="B2" s="279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280"/>
      <c r="N2" s="114"/>
    </row>
    <row r="3" spans="1:14" ht="20.100000000000001" customHeight="1">
      <c r="A3" s="60"/>
      <c r="B3" s="1382"/>
      <c r="C3" s="1383"/>
      <c r="D3" s="1383"/>
      <c r="E3" s="1383"/>
      <c r="F3" s="1383"/>
      <c r="G3" s="1383"/>
      <c r="H3" s="1383"/>
      <c r="I3" s="1383"/>
      <c r="J3" s="1383"/>
      <c r="K3" s="1383"/>
      <c r="L3" s="1383"/>
      <c r="M3" s="1384"/>
      <c r="N3" s="57"/>
    </row>
    <row r="4" spans="1:14" ht="20.100000000000001" customHeight="1">
      <c r="A4" s="60"/>
      <c r="B4" s="751"/>
      <c r="C4" s="751"/>
      <c r="D4" s="751"/>
      <c r="E4" s="751"/>
      <c r="F4" s="751"/>
      <c r="G4" s="751"/>
      <c r="H4" s="751"/>
      <c r="I4" s="751"/>
      <c r="J4" s="751"/>
      <c r="K4" s="751"/>
      <c r="L4" s="751"/>
      <c r="M4" s="752"/>
      <c r="N4" s="57"/>
    </row>
    <row r="5" spans="1:14" ht="20.100000000000001" customHeight="1">
      <c r="A5" s="60"/>
      <c r="B5" s="751"/>
      <c r="C5" s="751"/>
      <c r="D5" s="751"/>
      <c r="E5" s="751"/>
      <c r="F5" s="751"/>
      <c r="G5" s="751"/>
      <c r="H5" s="751"/>
      <c r="I5" s="751"/>
      <c r="J5" s="751"/>
      <c r="K5" s="751"/>
      <c r="L5" s="751"/>
      <c r="M5" s="752"/>
      <c r="N5" s="57"/>
    </row>
    <row r="6" spans="1:14" ht="20.100000000000001" customHeight="1">
      <c r="A6" s="60"/>
      <c r="B6" s="98"/>
      <c r="C6" s="1405"/>
      <c r="D6" s="1405"/>
      <c r="E6" s="286"/>
      <c r="F6" s="1405"/>
      <c r="G6" s="1405"/>
      <c r="H6" s="286"/>
      <c r="I6" s="1405"/>
      <c r="J6" s="1405"/>
      <c r="K6" s="1405"/>
      <c r="L6" s="286"/>
      <c r="M6" s="129"/>
      <c r="N6" s="57"/>
    </row>
    <row r="7" spans="1:14" ht="20.100000000000001" customHeight="1">
      <c r="A7" s="60"/>
      <c r="B7" s="98"/>
      <c r="C7" s="1405"/>
      <c r="D7" s="1405"/>
      <c r="E7" s="286"/>
      <c r="F7" s="286"/>
      <c r="G7" s="286"/>
      <c r="H7" s="286"/>
      <c r="I7" s="286"/>
      <c r="J7" s="286"/>
      <c r="K7" s="1405"/>
      <c r="L7" s="286"/>
      <c r="M7" s="129"/>
      <c r="N7" s="57"/>
    </row>
    <row r="8" spans="1:14" ht="20.100000000000001" customHeight="1">
      <c r="A8" s="60"/>
      <c r="B8" s="99"/>
      <c r="C8" s="1410" t="s">
        <v>277</v>
      </c>
      <c r="D8" s="1410"/>
      <c r="E8" s="1410"/>
      <c r="F8" s="1410"/>
      <c r="G8" s="1410"/>
      <c r="H8" s="1410"/>
      <c r="I8" s="1410"/>
      <c r="J8" s="1410"/>
      <c r="K8" s="1410"/>
      <c r="L8" s="1410"/>
      <c r="M8" s="129"/>
      <c r="N8" s="57"/>
    </row>
    <row r="9" spans="1:14" ht="20.100000000000001" customHeight="1" thickBot="1">
      <c r="A9" s="60"/>
      <c r="B9" s="99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129"/>
      <c r="N9" s="57"/>
    </row>
    <row r="10" spans="1:14" ht="20.100000000000001" customHeight="1">
      <c r="A10" s="60"/>
      <c r="B10" s="99"/>
      <c r="C10" s="1393" t="s">
        <v>84</v>
      </c>
      <c r="D10" s="1406" t="s">
        <v>602</v>
      </c>
      <c r="E10" s="1407"/>
      <c r="F10" s="1408"/>
      <c r="G10" s="1406" t="s">
        <v>603</v>
      </c>
      <c r="H10" s="1407"/>
      <c r="I10" s="1408"/>
      <c r="J10" s="1401" t="s">
        <v>302</v>
      </c>
      <c r="K10" s="1409"/>
      <c r="L10" s="1409"/>
      <c r="M10" s="129"/>
      <c r="N10" s="57"/>
    </row>
    <row r="11" spans="1:14" ht="20.100000000000001" customHeight="1">
      <c r="A11" s="60"/>
      <c r="B11" s="99"/>
      <c r="C11" s="1394"/>
      <c r="D11" s="305" t="s">
        <v>106</v>
      </c>
      <c r="E11" s="305" t="s">
        <v>107</v>
      </c>
      <c r="F11" s="222" t="s">
        <v>276</v>
      </c>
      <c r="G11" s="305" t="s">
        <v>106</v>
      </c>
      <c r="H11" s="305" t="s">
        <v>107</v>
      </c>
      <c r="I11" s="222" t="s">
        <v>276</v>
      </c>
      <c r="J11" s="1403" t="s">
        <v>446</v>
      </c>
      <c r="K11" s="1404"/>
      <c r="L11" s="1404"/>
      <c r="M11" s="129"/>
      <c r="N11" s="57"/>
    </row>
    <row r="12" spans="1:14" ht="20.100000000000001" customHeight="1" thickBot="1">
      <c r="A12" s="60"/>
      <c r="B12" s="99"/>
      <c r="C12" s="224"/>
      <c r="D12" s="306" t="s">
        <v>279</v>
      </c>
      <c r="E12" s="306" t="s">
        <v>110</v>
      </c>
      <c r="F12" s="225" t="s">
        <v>111</v>
      </c>
      <c r="G12" s="306" t="s">
        <v>279</v>
      </c>
      <c r="H12" s="306" t="s">
        <v>110</v>
      </c>
      <c r="I12" s="225" t="s">
        <v>111</v>
      </c>
      <c r="J12" s="306" t="s">
        <v>106</v>
      </c>
      <c r="K12" s="307" t="s">
        <v>107</v>
      </c>
      <c r="L12" s="226" t="s">
        <v>276</v>
      </c>
      <c r="M12" s="129"/>
      <c r="N12" s="57"/>
    </row>
    <row r="13" spans="1:14" ht="20.100000000000001" customHeight="1">
      <c r="A13" s="60"/>
      <c r="B13" s="99"/>
      <c r="C13" s="223" t="s">
        <v>13</v>
      </c>
      <c r="D13" s="513">
        <f>'14.Exp. Verde'!C19</f>
        <v>3262104.7289999998</v>
      </c>
      <c r="E13" s="513">
        <f>'14.Exp. Verde'!D19</f>
        <v>21511102.899999999</v>
      </c>
      <c r="F13" s="514">
        <f t="shared" ref="F13:F18" si="0">(D13*1000)/E13</f>
        <v>151.64748846977997</v>
      </c>
      <c r="G13" s="513">
        <f>'14.Exp. Verde'!F15</f>
        <v>4142558.7</v>
      </c>
      <c r="H13" s="513">
        <f>'14.Exp. Verde'!$G$15</f>
        <v>24017900.136666667</v>
      </c>
      <c r="I13" s="515">
        <f t="shared" ref="I13:I18" si="1">(G13*1000)/H13</f>
        <v>172.47797169727622</v>
      </c>
      <c r="J13" s="849">
        <f t="shared" ref="J13:L18" si="2">SUM(D13-G13)*100/G13</f>
        <v>-21.253868315734437</v>
      </c>
      <c r="K13" s="853">
        <f t="shared" si="2"/>
        <v>-10.437204012018075</v>
      </c>
      <c r="L13" s="850">
        <f t="shared" si="2"/>
        <v>-12.077184710901374</v>
      </c>
      <c r="M13" s="129"/>
      <c r="N13" s="57"/>
    </row>
    <row r="14" spans="1:14" ht="20.100000000000001" customHeight="1">
      <c r="A14" s="60"/>
      <c r="B14" s="99"/>
      <c r="C14" s="15" t="s">
        <v>112</v>
      </c>
      <c r="D14" s="513">
        <f>'15.Exp. Solúvel'!C19</f>
        <v>407074.223</v>
      </c>
      <c r="E14" s="513">
        <f>'15.Exp. Solúvel'!D19</f>
        <v>2675959.5909666657</v>
      </c>
      <c r="F14" s="514">
        <f t="shared" si="0"/>
        <v>152.12270931675326</v>
      </c>
      <c r="G14" s="513">
        <f>'15.Exp. Solúvel'!F15</f>
        <v>428462.66499999998</v>
      </c>
      <c r="H14" s="513">
        <f>'15.Exp. Solúvel'!G15</f>
        <v>2555097.1796666668</v>
      </c>
      <c r="I14" s="515">
        <f t="shared" si="1"/>
        <v>167.68938121402351</v>
      </c>
      <c r="J14" s="849">
        <f t="shared" si="2"/>
        <v>-4.9919033202111054</v>
      </c>
      <c r="K14" s="853">
        <f t="shared" si="2"/>
        <v>4.7302471413539875</v>
      </c>
      <c r="L14" s="850">
        <f t="shared" si="2"/>
        <v>-9.2830397396495634</v>
      </c>
      <c r="M14" s="129"/>
      <c r="N14" s="57"/>
    </row>
    <row r="15" spans="1:14" ht="20.100000000000001" customHeight="1">
      <c r="A15" s="60"/>
      <c r="B15" s="99"/>
      <c r="C15" s="15" t="s">
        <v>158</v>
      </c>
      <c r="D15" s="513">
        <f>'16.Exp. Torrado'!C19</f>
        <v>7664.5640000000003</v>
      </c>
      <c r="E15" s="513">
        <f>'16.Exp. Torrado'!D19</f>
        <v>27145.747166666653</v>
      </c>
      <c r="F15" s="514">
        <f t="shared" si="0"/>
        <v>282.34861073971928</v>
      </c>
      <c r="G15" s="513">
        <f>'16.Exp. Torrado'!F15</f>
        <v>7765.0869999999995</v>
      </c>
      <c r="H15" s="513">
        <f>'16.Exp. Torrado'!G15</f>
        <v>25010.481333333333</v>
      </c>
      <c r="I15" s="515">
        <f t="shared" si="1"/>
        <v>310.47331302860169</v>
      </c>
      <c r="J15" s="849">
        <f t="shared" si="2"/>
        <v>-1.2945508530683461</v>
      </c>
      <c r="K15" s="853">
        <f t="shared" si="2"/>
        <v>8.5374839647227923</v>
      </c>
      <c r="L15" s="850">
        <f t="shared" si="2"/>
        <v>-9.0586537098895477</v>
      </c>
      <c r="M15" s="129"/>
      <c r="N15" s="57"/>
    </row>
    <row r="16" spans="1:14" ht="20.100000000000001" customHeight="1">
      <c r="A16" s="60"/>
      <c r="B16" s="99"/>
      <c r="C16" s="15" t="s">
        <v>114</v>
      </c>
      <c r="D16" s="513">
        <f>'17.Exp. Extrato'!C19</f>
        <v>31984.341999999997</v>
      </c>
      <c r="E16" s="513">
        <f>'17.Exp. Extrato'!D19</f>
        <v>267737.44</v>
      </c>
      <c r="F16" s="514">
        <f t="shared" si="0"/>
        <v>119.46159640579216</v>
      </c>
      <c r="G16" s="513">
        <f>'17.Exp. Extrato'!F15</f>
        <v>29481.876</v>
      </c>
      <c r="H16" s="513">
        <f>'17.Exp. Extrato'!G15</f>
        <v>219833.1933333333</v>
      </c>
      <c r="I16" s="515">
        <f t="shared" si="1"/>
        <v>134.11021126048331</v>
      </c>
      <c r="J16" s="849">
        <f t="shared" si="2"/>
        <v>8.4881504826897611</v>
      </c>
      <c r="K16" s="853">
        <f t="shared" si="2"/>
        <v>21.791179912502766</v>
      </c>
      <c r="L16" s="850">
        <f t="shared" si="2"/>
        <v>-10.922818417039867</v>
      </c>
      <c r="M16" s="129"/>
      <c r="N16" s="57"/>
    </row>
    <row r="17" spans="1:14" ht="20.100000000000001" customHeight="1" thickBot="1">
      <c r="A17" s="60"/>
      <c r="B17" s="99"/>
      <c r="C17" s="227" t="s">
        <v>275</v>
      </c>
      <c r="D17" s="516">
        <v>24.943999999999999</v>
      </c>
      <c r="E17" s="516">
        <v>170.21299999999999</v>
      </c>
      <c r="F17" s="514">
        <f t="shared" si="0"/>
        <v>146.54579849952708</v>
      </c>
      <c r="G17" s="516">
        <v>59.405999999999999</v>
      </c>
      <c r="H17" s="516">
        <v>479.27</v>
      </c>
      <c r="I17" s="515">
        <f t="shared" si="1"/>
        <v>123.95100882592276</v>
      </c>
      <c r="J17" s="849">
        <f t="shared" si="2"/>
        <v>-58.010975322358014</v>
      </c>
      <c r="K17" s="853">
        <f t="shared" si="2"/>
        <v>-64.48494585515472</v>
      </c>
      <c r="L17" s="850">
        <f t="shared" si="2"/>
        <v>18.228806596755117</v>
      </c>
      <c r="M17" s="129"/>
      <c r="N17" s="57"/>
    </row>
    <row r="18" spans="1:14" ht="20.100000000000001" customHeight="1" thickBot="1">
      <c r="A18" s="60"/>
      <c r="B18" s="99"/>
      <c r="C18" s="303" t="s">
        <v>115</v>
      </c>
      <c r="D18" s="517">
        <f>SUM(D13:D17)</f>
        <v>3708852.8019999997</v>
      </c>
      <c r="E18" s="517">
        <f>SUM(E13:E17)</f>
        <v>24482115.891133331</v>
      </c>
      <c r="F18" s="518">
        <f t="shared" si="0"/>
        <v>151.49233091177516</v>
      </c>
      <c r="G18" s="517">
        <f>SUM(G13:G17)</f>
        <v>4608327.7340000011</v>
      </c>
      <c r="H18" s="517">
        <f>SUM(H13:H17)</f>
        <v>26818320.261</v>
      </c>
      <c r="I18" s="519">
        <f t="shared" si="1"/>
        <v>171.83506234361622</v>
      </c>
      <c r="J18" s="851">
        <f>SUM(D18-G18)*100/G18</f>
        <v>-19.51846708652517</v>
      </c>
      <c r="K18" s="854">
        <f>SUM(E18-H18)*100/H18</f>
        <v>-8.7112255619679768</v>
      </c>
      <c r="L18" s="852">
        <f t="shared" si="2"/>
        <v>-11.838521867651188</v>
      </c>
      <c r="M18" s="129"/>
      <c r="N18" s="57"/>
    </row>
    <row r="19" spans="1:14" ht="20.100000000000001" customHeight="1">
      <c r="A19" s="60"/>
      <c r="B19" s="99"/>
      <c r="C19" s="304" t="s">
        <v>116</v>
      </c>
      <c r="D19" s="180"/>
      <c r="E19" s="180"/>
      <c r="F19" s="180"/>
      <c r="G19" s="180"/>
      <c r="H19" s="180"/>
      <c r="I19" s="180"/>
      <c r="J19" s="180"/>
      <c r="K19" s="180"/>
      <c r="L19" s="180"/>
      <c r="M19" s="129"/>
      <c r="N19" s="57"/>
    </row>
    <row r="20" spans="1:14" ht="20.100000000000001" customHeight="1">
      <c r="A20" s="60"/>
      <c r="B20" s="99"/>
      <c r="C20" s="304"/>
      <c r="D20" s="180"/>
      <c r="E20" s="180"/>
      <c r="F20" s="180"/>
      <c r="G20" s="180"/>
      <c r="H20" s="180"/>
      <c r="I20" s="180"/>
      <c r="J20" s="180"/>
      <c r="K20" s="180"/>
      <c r="L20" s="180"/>
      <c r="M20" s="129"/>
      <c r="N20" s="57"/>
    </row>
    <row r="21" spans="1:14" ht="20.100000000000001" customHeight="1">
      <c r="A21" s="60"/>
      <c r="B21" s="99"/>
      <c r="C21" s="304"/>
      <c r="D21" s="180"/>
      <c r="E21" s="180"/>
      <c r="F21" s="180"/>
      <c r="G21" s="180"/>
      <c r="H21" s="180"/>
      <c r="I21" s="180"/>
      <c r="J21" s="180"/>
      <c r="K21" s="180"/>
      <c r="L21" s="180"/>
      <c r="M21" s="129"/>
      <c r="N21" s="57"/>
    </row>
    <row r="22" spans="1:14" ht="20.100000000000001" customHeight="1">
      <c r="A22" s="60"/>
      <c r="B22" s="99"/>
      <c r="C22" s="304"/>
      <c r="D22" s="180"/>
      <c r="E22" s="180"/>
      <c r="F22" s="180"/>
      <c r="G22" s="180"/>
      <c r="H22" s="180"/>
      <c r="I22" s="180"/>
      <c r="J22" s="180"/>
      <c r="K22" s="180"/>
      <c r="L22" s="180"/>
      <c r="M22" s="129"/>
      <c r="N22" s="57"/>
    </row>
    <row r="23" spans="1:14" ht="20.100000000000001" customHeight="1">
      <c r="A23" s="57"/>
      <c r="B23" s="171"/>
      <c r="C23" s="193"/>
      <c r="D23" s="193"/>
      <c r="E23" s="193"/>
      <c r="F23" s="194"/>
      <c r="G23" s="191"/>
      <c r="H23" s="191"/>
      <c r="I23" s="194"/>
      <c r="J23" s="191"/>
      <c r="K23" s="192"/>
      <c r="L23" s="192"/>
      <c r="M23" s="129"/>
      <c r="N23" s="57"/>
    </row>
    <row r="24" spans="1:14" ht="20.100000000000001" customHeight="1">
      <c r="A24" s="57"/>
      <c r="B24" s="111"/>
      <c r="C24" s="1378"/>
      <c r="D24" s="1378"/>
      <c r="E24" s="1378"/>
      <c r="F24" s="1378"/>
      <c r="G24" s="1378"/>
      <c r="H24" s="301"/>
      <c r="I24" s="172"/>
      <c r="J24" s="172"/>
      <c r="K24" s="172"/>
      <c r="L24" s="172"/>
      <c r="M24" s="130"/>
      <c r="N24" s="57"/>
    </row>
    <row r="25" spans="1:14" ht="15" customHeight="1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</row>
  </sheetData>
  <mergeCells count="13">
    <mergeCell ref="A1:N1"/>
    <mergeCell ref="C24:G24"/>
    <mergeCell ref="C10:C11"/>
    <mergeCell ref="B3:M3"/>
    <mergeCell ref="C6:D7"/>
    <mergeCell ref="F6:G6"/>
    <mergeCell ref="I6:J6"/>
    <mergeCell ref="K6:K7"/>
    <mergeCell ref="D10:F10"/>
    <mergeCell ref="G10:I10"/>
    <mergeCell ref="J10:L10"/>
    <mergeCell ref="J11:L11"/>
    <mergeCell ref="C8:L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X26" sqref="X26"/>
    </sheetView>
  </sheetViews>
  <sheetFormatPr defaultRowHeight="12.75"/>
  <cols>
    <col min="1" max="1" width="2.85546875" customWidth="1"/>
    <col min="2" max="2" width="10" customWidth="1"/>
    <col min="3" max="11" width="5.7109375" customWidth="1"/>
    <col min="12" max="12" width="6" bestFit="1" customWidth="1"/>
    <col min="13" max="21" width="6.28515625" customWidth="1"/>
    <col min="22" max="22" width="7.140625" bestFit="1" customWidth="1"/>
    <col min="23" max="23" width="2.85546875" customWidth="1"/>
  </cols>
  <sheetData>
    <row r="1" spans="1:23" ht="14.25">
      <c r="A1" s="1569" t="s">
        <v>475</v>
      </c>
      <c r="B1" s="1569"/>
      <c r="C1" s="1569"/>
      <c r="D1" s="1569"/>
      <c r="E1" s="1569"/>
      <c r="F1" s="1569"/>
      <c r="G1" s="1569"/>
      <c r="H1" s="1569"/>
      <c r="I1" s="1569"/>
      <c r="J1" s="1569"/>
      <c r="K1" s="1569"/>
      <c r="L1" s="1569"/>
      <c r="M1" s="1569"/>
      <c r="N1" s="1569"/>
      <c r="O1" s="1569"/>
      <c r="P1" s="1569"/>
      <c r="Q1" s="1569"/>
      <c r="R1" s="1569"/>
      <c r="S1" s="1569"/>
      <c r="T1" s="1569"/>
      <c r="U1" s="1569"/>
      <c r="V1" s="1569"/>
      <c r="W1" s="1569"/>
    </row>
    <row r="2" spans="1:23" ht="15" customHeight="1">
      <c r="A2" s="278"/>
      <c r="B2" s="279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280"/>
      <c r="W2" s="278"/>
    </row>
    <row r="3" spans="1:23" ht="15" customHeight="1">
      <c r="A3" s="278"/>
      <c r="B3" s="1417" t="s">
        <v>515</v>
      </c>
      <c r="C3" s="1418"/>
      <c r="D3" s="1418"/>
      <c r="E3" s="1418"/>
      <c r="F3" s="1418"/>
      <c r="G3" s="1418"/>
      <c r="H3" s="1418"/>
      <c r="I3" s="1418"/>
      <c r="J3" s="1418"/>
      <c r="K3" s="1418"/>
      <c r="L3" s="1418"/>
      <c r="M3" s="1418"/>
      <c r="N3" s="1418"/>
      <c r="O3" s="1418"/>
      <c r="P3" s="1418"/>
      <c r="Q3" s="1418"/>
      <c r="R3" s="1418"/>
      <c r="S3" s="1418"/>
      <c r="T3" s="1418"/>
      <c r="U3" s="1418"/>
      <c r="V3" s="1419"/>
      <c r="W3" s="278"/>
    </row>
    <row r="4" spans="1:23" ht="15" customHeight="1">
      <c r="A4" s="278"/>
      <c r="B4" s="1414" t="s">
        <v>588</v>
      </c>
      <c r="C4" s="1415"/>
      <c r="D4" s="1415"/>
      <c r="E4" s="1415"/>
      <c r="F4" s="1415"/>
      <c r="G4" s="1415"/>
      <c r="H4" s="1415"/>
      <c r="I4" s="1415"/>
      <c r="J4" s="1415"/>
      <c r="K4" s="1415"/>
      <c r="L4" s="1415"/>
      <c r="M4" s="1415"/>
      <c r="N4" s="1415"/>
      <c r="O4" s="1415"/>
      <c r="P4" s="1415"/>
      <c r="Q4" s="1415"/>
      <c r="R4" s="1415"/>
      <c r="S4" s="1415"/>
      <c r="T4" s="1415"/>
      <c r="U4" s="1415"/>
      <c r="V4" s="1416"/>
      <c r="W4" s="278"/>
    </row>
    <row r="5" spans="1:23" ht="27" customHeight="1">
      <c r="A5" s="278"/>
      <c r="B5" s="1414" t="s">
        <v>503</v>
      </c>
      <c r="C5" s="1415"/>
      <c r="D5" s="1415"/>
      <c r="E5" s="1415"/>
      <c r="F5" s="1415"/>
      <c r="G5" s="1415"/>
      <c r="H5" s="1415"/>
      <c r="I5" s="1415"/>
      <c r="J5" s="1415"/>
      <c r="K5" s="1415"/>
      <c r="L5" s="1415"/>
      <c r="M5" s="1415"/>
      <c r="N5" s="1415"/>
      <c r="O5" s="1415"/>
      <c r="P5" s="1415"/>
      <c r="Q5" s="1415"/>
      <c r="R5" s="1415"/>
      <c r="S5" s="1415"/>
      <c r="T5" s="1415"/>
      <c r="U5" s="1415"/>
      <c r="V5" s="1416"/>
      <c r="W5" s="278"/>
    </row>
    <row r="6" spans="1:23" ht="15" customHeight="1" thickBot="1">
      <c r="A6" s="278"/>
      <c r="B6" s="1150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151"/>
      <c r="W6" s="278"/>
    </row>
    <row r="7" spans="1:23" ht="17.100000000000001" customHeight="1">
      <c r="A7" s="278"/>
      <c r="B7" s="1162" t="s">
        <v>84</v>
      </c>
      <c r="C7" s="1411" t="s">
        <v>583</v>
      </c>
      <c r="D7" s="1412"/>
      <c r="E7" s="1412"/>
      <c r="F7" s="1412"/>
      <c r="G7" s="1412"/>
      <c r="H7" s="1412"/>
      <c r="I7" s="1412"/>
      <c r="J7" s="1412"/>
      <c r="K7" s="1412"/>
      <c r="L7" s="1413"/>
      <c r="M7" s="1411" t="s">
        <v>584</v>
      </c>
      <c r="N7" s="1412"/>
      <c r="O7" s="1412"/>
      <c r="P7" s="1412"/>
      <c r="Q7" s="1412"/>
      <c r="R7" s="1412"/>
      <c r="S7" s="1412"/>
      <c r="T7" s="1412"/>
      <c r="U7" s="1412"/>
      <c r="V7" s="1413"/>
      <c r="W7" s="278"/>
    </row>
    <row r="8" spans="1:23" ht="17.100000000000001" customHeight="1" thickBot="1">
      <c r="A8" s="278"/>
      <c r="B8" s="1163" t="s">
        <v>504</v>
      </c>
      <c r="C8" s="1164" t="s">
        <v>505</v>
      </c>
      <c r="D8" s="1165" t="s">
        <v>506</v>
      </c>
      <c r="E8" s="1165" t="s">
        <v>507</v>
      </c>
      <c r="F8" s="1165" t="s">
        <v>508</v>
      </c>
      <c r="G8" s="1165" t="s">
        <v>509</v>
      </c>
      <c r="H8" s="1165" t="s">
        <v>585</v>
      </c>
      <c r="I8" s="1165" t="s">
        <v>586</v>
      </c>
      <c r="J8" s="1165" t="s">
        <v>587</v>
      </c>
      <c r="K8" s="1168" t="s">
        <v>604</v>
      </c>
      <c r="L8" s="1166" t="s">
        <v>115</v>
      </c>
      <c r="M8" s="1167" t="s">
        <v>505</v>
      </c>
      <c r="N8" s="1165" t="s">
        <v>506</v>
      </c>
      <c r="O8" s="1165" t="s">
        <v>507</v>
      </c>
      <c r="P8" s="1165" t="s">
        <v>508</v>
      </c>
      <c r="Q8" s="1165" t="s">
        <v>509</v>
      </c>
      <c r="R8" s="1165" t="s">
        <v>585</v>
      </c>
      <c r="S8" s="1165" t="s">
        <v>586</v>
      </c>
      <c r="T8" s="1165" t="s">
        <v>587</v>
      </c>
      <c r="U8" s="1168" t="s">
        <v>604</v>
      </c>
      <c r="V8" s="1166" t="s">
        <v>115</v>
      </c>
      <c r="W8" s="278"/>
    </row>
    <row r="9" spans="1:23" ht="17.100000000000001" customHeight="1">
      <c r="A9" s="278"/>
      <c r="B9" s="1169"/>
      <c r="C9" s="1170"/>
      <c r="D9" s="292"/>
      <c r="E9" s="292"/>
      <c r="F9" s="292"/>
      <c r="G9" s="292"/>
      <c r="H9" s="292"/>
      <c r="I9" s="292"/>
      <c r="J9" s="292"/>
      <c r="K9" s="1171"/>
      <c r="L9" s="1171"/>
      <c r="M9" s="292"/>
      <c r="N9" s="292"/>
      <c r="O9" s="292"/>
      <c r="P9" s="1172"/>
      <c r="Q9" s="292"/>
      <c r="R9" s="292"/>
      <c r="S9" s="292"/>
      <c r="T9" s="292"/>
      <c r="U9" s="1171"/>
      <c r="V9" s="1171"/>
      <c r="W9" s="278"/>
    </row>
    <row r="10" spans="1:23" ht="17.100000000000001" customHeight="1">
      <c r="A10" s="278"/>
      <c r="B10" s="1169" t="s">
        <v>13</v>
      </c>
      <c r="C10" s="1138">
        <v>363.39893000000001</v>
      </c>
      <c r="D10" s="1139">
        <v>396.95648499999999</v>
      </c>
      <c r="E10" s="1139">
        <v>405.94870200000003</v>
      </c>
      <c r="F10" s="1139">
        <v>325.53489999999999</v>
      </c>
      <c r="G10" s="1139">
        <v>314.61900000000003</v>
      </c>
      <c r="H10" s="1139">
        <v>303.31900000000002</v>
      </c>
      <c r="I10" s="1274">
        <v>271.39800000000002</v>
      </c>
      <c r="J10" s="1274">
        <v>422.34399999999999</v>
      </c>
      <c r="K10" s="1211">
        <v>458.59</v>
      </c>
      <c r="L10" s="1140">
        <f>C10+D10+E10+F10+G10+H10+I10+J10+K10</f>
        <v>3262.1090170000007</v>
      </c>
      <c r="M10" s="1153">
        <v>2485.1133</v>
      </c>
      <c r="N10" s="1139">
        <v>2668.75558</v>
      </c>
      <c r="O10" s="1139">
        <v>2775.2688029999999</v>
      </c>
      <c r="P10" s="1139">
        <v>2232.3253669999999</v>
      </c>
      <c r="Q10" s="1139">
        <v>2167.8312000000001</v>
      </c>
      <c r="R10" s="1139">
        <v>2064.34</v>
      </c>
      <c r="S10" s="1274">
        <v>1737.4064499999999</v>
      </c>
      <c r="T10" s="1274">
        <v>2624.665</v>
      </c>
      <c r="U10" s="1211">
        <v>2755.4</v>
      </c>
      <c r="V10" s="1140">
        <f>M10+N10+O10+P10+Q10+R10+S10+T10+U10</f>
        <v>21511.105700000004</v>
      </c>
      <c r="W10" s="278"/>
    </row>
    <row r="11" spans="1:23" ht="17.100000000000001" customHeight="1">
      <c r="A11" s="278"/>
      <c r="B11" s="1169" t="s">
        <v>112</v>
      </c>
      <c r="C11" s="1138">
        <v>37.861643999999998</v>
      </c>
      <c r="D11" s="1139">
        <v>47.089559999999999</v>
      </c>
      <c r="E11" s="1139">
        <v>45.282055</v>
      </c>
      <c r="F11" s="1139">
        <v>40.252155999999999</v>
      </c>
      <c r="G11" s="1139">
        <v>40.721890999999999</v>
      </c>
      <c r="H11" s="1139">
        <v>45.207000000000001</v>
      </c>
      <c r="I11" s="1274">
        <v>47.332999999999998</v>
      </c>
      <c r="J11" s="1274">
        <v>50.085000000000001</v>
      </c>
      <c r="K11" s="1211">
        <v>53.24</v>
      </c>
      <c r="L11" s="1140">
        <f t="shared" ref="L11:L14" si="0">C11+D11+E11+F11+G11+H11+I11+J11+K11</f>
        <v>407.07230599999997</v>
      </c>
      <c r="M11" s="1153">
        <v>250.38740999999999</v>
      </c>
      <c r="N11" s="1139">
        <v>318.06108</v>
      </c>
      <c r="O11" s="1139">
        <v>306.63914299999999</v>
      </c>
      <c r="P11" s="1139">
        <v>265.80517329999998</v>
      </c>
      <c r="Q11" s="1139">
        <v>269.620454</v>
      </c>
      <c r="R11" s="1139">
        <v>305.73700000000002</v>
      </c>
      <c r="S11" s="1274">
        <v>307.12347333333298</v>
      </c>
      <c r="T11" s="1274">
        <v>316.79199999999997</v>
      </c>
      <c r="U11" s="1211">
        <v>335.79</v>
      </c>
      <c r="V11" s="1140">
        <f t="shared" ref="V11:V14" si="1">M11+N11+O11+P11+Q11+R11+S11+T11+U11</f>
        <v>2675.9557336333328</v>
      </c>
      <c r="W11" s="278"/>
    </row>
    <row r="12" spans="1:23" ht="17.100000000000001" customHeight="1">
      <c r="A12" s="278"/>
      <c r="B12" s="1169" t="s">
        <v>532</v>
      </c>
      <c r="C12" s="1138">
        <v>0.59652300000000003</v>
      </c>
      <c r="D12" s="1139">
        <v>1.1161300000000001</v>
      </c>
      <c r="E12" s="1139">
        <v>0.59602599999999994</v>
      </c>
      <c r="F12" s="1139">
        <v>0.97671399999999997</v>
      </c>
      <c r="G12" s="1139">
        <v>0.48433900000000002</v>
      </c>
      <c r="H12" s="1139">
        <v>1.1499999999999999</v>
      </c>
      <c r="I12" s="1139">
        <v>0.879</v>
      </c>
      <c r="J12" s="1139">
        <v>0.80300000000000005</v>
      </c>
      <c r="K12" s="1140">
        <v>1.06</v>
      </c>
      <c r="L12" s="1140">
        <f t="shared" si="0"/>
        <v>7.6617319999999989</v>
      </c>
      <c r="M12" s="1153">
        <v>2.2572899999999998</v>
      </c>
      <c r="N12" s="1139">
        <v>2.2823799999999999</v>
      </c>
      <c r="O12" s="1139">
        <v>3.6056020000000002</v>
      </c>
      <c r="P12" s="1139">
        <v>3.09796</v>
      </c>
      <c r="Q12" s="1139">
        <v>1.7548999999999999</v>
      </c>
      <c r="R12" s="1139">
        <v>4.4059999999999997</v>
      </c>
      <c r="S12" s="1139">
        <v>2.9346271666666599</v>
      </c>
      <c r="T12" s="1139">
        <v>3.9049999999999998</v>
      </c>
      <c r="U12" s="1140">
        <v>2.9</v>
      </c>
      <c r="V12" s="1140">
        <f t="shared" si="1"/>
        <v>27.143759166666655</v>
      </c>
      <c r="W12" s="278"/>
    </row>
    <row r="13" spans="1:23" ht="17.100000000000001" customHeight="1">
      <c r="A13" s="278"/>
      <c r="B13" s="1169" t="s">
        <v>533</v>
      </c>
      <c r="C13" s="1138">
        <v>1.704243</v>
      </c>
      <c r="D13" s="1139">
        <v>2.3750749999999998</v>
      </c>
      <c r="E13" s="1139">
        <v>2.9920779999999998</v>
      </c>
      <c r="F13" s="1139">
        <v>4.727608</v>
      </c>
      <c r="G13" s="1139">
        <v>5.4984310000000001</v>
      </c>
      <c r="H13" s="1139">
        <v>4.3040000000000003</v>
      </c>
      <c r="I13" s="1274">
        <v>3.42</v>
      </c>
      <c r="J13" s="1274">
        <v>3.3919999999999999</v>
      </c>
      <c r="K13" s="1211">
        <v>3.57</v>
      </c>
      <c r="L13" s="1140">
        <f t="shared" si="0"/>
        <v>31.983435000000004</v>
      </c>
      <c r="M13" s="1153">
        <v>17.190069999999999</v>
      </c>
      <c r="N13" s="1139">
        <v>20.00536</v>
      </c>
      <c r="O13" s="1139">
        <v>22.923373000000002</v>
      </c>
      <c r="P13" s="1139">
        <v>41.200920000000004</v>
      </c>
      <c r="Q13" s="1139">
        <v>40.746746999999999</v>
      </c>
      <c r="R13" s="1139">
        <v>38.335000000000001</v>
      </c>
      <c r="S13" s="1274">
        <v>29.733989999999999</v>
      </c>
      <c r="T13" s="1274">
        <v>25.41</v>
      </c>
      <c r="U13" s="1211">
        <v>32.19</v>
      </c>
      <c r="V13" s="1140">
        <f t="shared" si="1"/>
        <v>267.73545999999999</v>
      </c>
      <c r="W13" s="278"/>
    </row>
    <row r="14" spans="1:23" ht="17.100000000000001" customHeight="1">
      <c r="A14" s="278"/>
      <c r="B14" s="1275" t="s">
        <v>534</v>
      </c>
      <c r="C14" s="1141">
        <v>0</v>
      </c>
      <c r="D14" s="1142">
        <v>4.4869999999999997E-3</v>
      </c>
      <c r="E14" s="1142">
        <v>1.1000000000000001E-3</v>
      </c>
      <c r="F14" s="1142">
        <v>1.949E-3</v>
      </c>
      <c r="G14" s="1142">
        <v>3.3E-4</v>
      </c>
      <c r="H14" s="1142">
        <v>1E-3</v>
      </c>
      <c r="I14" s="1142">
        <v>3.0000000000000001E-3</v>
      </c>
      <c r="J14" s="1142">
        <v>1.3140000000000001E-2</v>
      </c>
      <c r="K14" s="1143">
        <v>1.3140000000000001E-2</v>
      </c>
      <c r="L14" s="1140">
        <f t="shared" si="0"/>
        <v>3.8145999999999999E-2</v>
      </c>
      <c r="M14" s="1144">
        <v>0</v>
      </c>
      <c r="N14" s="1142">
        <v>4.3299999999999998E-2</v>
      </c>
      <c r="O14" s="1142">
        <v>8.2400000000000008E-3</v>
      </c>
      <c r="P14" s="1142">
        <v>1.529E-2</v>
      </c>
      <c r="Q14" s="1142">
        <v>4.627E-3</v>
      </c>
      <c r="R14" s="1142">
        <v>8.9999999999999993E-3</v>
      </c>
      <c r="S14" s="1142">
        <v>1E-3</v>
      </c>
      <c r="T14" s="1142">
        <v>8.8760000000000006E-2</v>
      </c>
      <c r="U14" s="1143">
        <v>8.8760000000000006E-2</v>
      </c>
      <c r="V14" s="1140">
        <f t="shared" si="1"/>
        <v>0.25897700000000001</v>
      </c>
      <c r="W14" s="278"/>
    </row>
    <row r="15" spans="1:23" ht="17.100000000000001" customHeight="1" thickBot="1">
      <c r="A15" s="278"/>
      <c r="B15" s="1173" t="s">
        <v>115</v>
      </c>
      <c r="C15" s="1145">
        <f t="shared" ref="C15:V15" si="2">SUM(C10:C14)</f>
        <v>403.56134000000003</v>
      </c>
      <c r="D15" s="1146">
        <f t="shared" si="2"/>
        <v>447.54173699999996</v>
      </c>
      <c r="E15" s="1146">
        <f t="shared" si="2"/>
        <v>454.81996100000003</v>
      </c>
      <c r="F15" s="1147">
        <f t="shared" si="2"/>
        <v>371.49332700000002</v>
      </c>
      <c r="G15" s="1146">
        <f t="shared" si="2"/>
        <v>361.32399100000004</v>
      </c>
      <c r="H15" s="1147">
        <f t="shared" si="2"/>
        <v>353.98099999999994</v>
      </c>
      <c r="I15" s="1147">
        <f>SUM(I10:I14)</f>
        <v>323.03300000000002</v>
      </c>
      <c r="J15" s="1146">
        <f>SUM(J10:J14)</f>
        <v>476.63713999999999</v>
      </c>
      <c r="K15" s="1149">
        <f>SUM(K10:K14)</f>
        <v>516.47314000000006</v>
      </c>
      <c r="L15" s="1149">
        <f t="shared" si="2"/>
        <v>3708.8646360000007</v>
      </c>
      <c r="M15" s="1178">
        <f t="shared" si="2"/>
        <v>2754.9480699999999</v>
      </c>
      <c r="N15" s="1147">
        <f t="shared" si="2"/>
        <v>3009.1477</v>
      </c>
      <c r="O15" s="1147">
        <f t="shared" si="2"/>
        <v>3108.4451610000001</v>
      </c>
      <c r="P15" s="1147">
        <f t="shared" si="2"/>
        <v>2542.4447102999998</v>
      </c>
      <c r="Q15" s="1147">
        <f t="shared" si="2"/>
        <v>2479.9579279999998</v>
      </c>
      <c r="R15" s="1147">
        <f t="shared" si="2"/>
        <v>2412.8270000000002</v>
      </c>
      <c r="S15" s="1147">
        <f>SUM(S10:S14)</f>
        <v>2077.1995404999998</v>
      </c>
      <c r="T15" s="1146">
        <f>SUM(T10:T14)</f>
        <v>2970.86076</v>
      </c>
      <c r="U15" s="1149">
        <f>SUM(U10:U14)</f>
        <v>3126.3687600000003</v>
      </c>
      <c r="V15" s="1149">
        <f t="shared" si="2"/>
        <v>24482.199629800005</v>
      </c>
      <c r="W15" s="278"/>
    </row>
    <row r="16" spans="1:23" ht="17.100000000000001" customHeight="1">
      <c r="A16" s="278"/>
      <c r="B16" s="411"/>
      <c r="C16" s="1153"/>
      <c r="D16" s="1139"/>
      <c r="E16" s="1139"/>
      <c r="F16" s="1139"/>
      <c r="G16" s="1139"/>
      <c r="H16" s="1139"/>
      <c r="I16" s="1139"/>
      <c r="J16" s="1139"/>
      <c r="K16" s="1139"/>
      <c r="L16" s="1139"/>
      <c r="M16" s="1153"/>
      <c r="N16" s="1139"/>
      <c r="O16" s="1139"/>
      <c r="P16" s="1139"/>
      <c r="Q16" s="1139"/>
      <c r="R16" s="1139"/>
      <c r="S16" s="1139"/>
      <c r="T16" s="1139"/>
      <c r="U16" s="1139"/>
      <c r="V16" s="1140"/>
      <c r="W16" s="278"/>
    </row>
    <row r="17" spans="1:23" ht="17.100000000000001" customHeight="1" thickBot="1">
      <c r="A17" s="278"/>
      <c r="B17" s="1177"/>
      <c r="C17" s="1153"/>
      <c r="D17" s="1139"/>
      <c r="E17" s="1139"/>
      <c r="F17" s="1139"/>
      <c r="G17" s="1139"/>
      <c r="H17" s="1139"/>
      <c r="I17" s="1139"/>
      <c r="J17" s="1139"/>
      <c r="K17" s="1139"/>
      <c r="L17" s="1139"/>
      <c r="M17" s="1153"/>
      <c r="N17" s="1139"/>
      <c r="O17" s="1139"/>
      <c r="P17" s="1139"/>
      <c r="Q17" s="1139"/>
      <c r="R17" s="1139"/>
      <c r="S17" s="1139"/>
      <c r="T17" s="1139"/>
      <c r="U17" s="1139"/>
      <c r="V17" s="1140"/>
      <c r="W17" s="278"/>
    </row>
    <row r="18" spans="1:23" ht="17.100000000000001" customHeight="1">
      <c r="A18" s="278"/>
      <c r="B18" s="1174" t="s">
        <v>84</v>
      </c>
      <c r="C18" s="1411" t="s">
        <v>583</v>
      </c>
      <c r="D18" s="1412"/>
      <c r="E18" s="1412"/>
      <c r="F18" s="1412"/>
      <c r="G18" s="1412"/>
      <c r="H18" s="1412"/>
      <c r="I18" s="1412"/>
      <c r="J18" s="1412"/>
      <c r="K18" s="1412"/>
      <c r="L18" s="1413"/>
      <c r="M18" s="1411" t="s">
        <v>584</v>
      </c>
      <c r="N18" s="1412"/>
      <c r="O18" s="1412"/>
      <c r="P18" s="1412"/>
      <c r="Q18" s="1412"/>
      <c r="R18" s="1412"/>
      <c r="S18" s="1412"/>
      <c r="T18" s="1412"/>
      <c r="U18" s="1412"/>
      <c r="V18" s="1413"/>
      <c r="W18" s="278"/>
    </row>
    <row r="19" spans="1:23" ht="17.100000000000001" customHeight="1" thickBot="1">
      <c r="A19" s="278"/>
      <c r="B19" s="1163" t="s">
        <v>510</v>
      </c>
      <c r="C19" s="1164" t="s">
        <v>505</v>
      </c>
      <c r="D19" s="1165" t="s">
        <v>506</v>
      </c>
      <c r="E19" s="1165" t="s">
        <v>507</v>
      </c>
      <c r="F19" s="1165" t="s">
        <v>508</v>
      </c>
      <c r="G19" s="1165" t="s">
        <v>509</v>
      </c>
      <c r="H19" s="1165" t="s">
        <v>585</v>
      </c>
      <c r="I19" s="1165" t="s">
        <v>586</v>
      </c>
      <c r="J19" s="1165" t="s">
        <v>587</v>
      </c>
      <c r="K19" s="1168" t="s">
        <v>604</v>
      </c>
      <c r="L19" s="1166" t="s">
        <v>115</v>
      </c>
      <c r="M19" s="1167" t="s">
        <v>505</v>
      </c>
      <c r="N19" s="1165" t="s">
        <v>506</v>
      </c>
      <c r="O19" s="1165" t="s">
        <v>507</v>
      </c>
      <c r="P19" s="1165" t="s">
        <v>508</v>
      </c>
      <c r="Q19" s="1165" t="s">
        <v>509</v>
      </c>
      <c r="R19" s="1165" t="s">
        <v>585</v>
      </c>
      <c r="S19" s="1165" t="s">
        <v>586</v>
      </c>
      <c r="T19" s="1165" t="s">
        <v>587</v>
      </c>
      <c r="U19" s="1168" t="s">
        <v>604</v>
      </c>
      <c r="V19" s="1166" t="s">
        <v>115</v>
      </c>
      <c r="W19" s="278"/>
    </row>
    <row r="20" spans="1:23" ht="17.100000000000001" customHeight="1">
      <c r="A20" s="278"/>
      <c r="B20" s="1169"/>
      <c r="C20" s="1170"/>
      <c r="D20" s="292"/>
      <c r="E20" s="292"/>
      <c r="F20" s="1172"/>
      <c r="G20" s="292"/>
      <c r="H20" s="292"/>
      <c r="I20" s="292"/>
      <c r="J20" s="292"/>
      <c r="K20" s="1171"/>
      <c r="L20" s="1140"/>
      <c r="M20" s="292"/>
      <c r="N20" s="292"/>
      <c r="O20" s="292"/>
      <c r="P20" s="1172"/>
      <c r="Q20" s="292"/>
      <c r="R20" s="292"/>
      <c r="S20" s="292"/>
      <c r="T20" s="292"/>
      <c r="U20" s="1171"/>
      <c r="V20" s="1140"/>
      <c r="W20" s="278"/>
    </row>
    <row r="21" spans="1:23" ht="17.100000000000001" customHeight="1">
      <c r="A21" s="278"/>
      <c r="B21" s="1169" t="s">
        <v>13</v>
      </c>
      <c r="C21" s="1138">
        <v>546.28825800000004</v>
      </c>
      <c r="D21" s="1139">
        <v>493.48179599999997</v>
      </c>
      <c r="E21" s="1139">
        <v>519.70791699999995</v>
      </c>
      <c r="F21" s="1139">
        <v>468.848028</v>
      </c>
      <c r="G21" s="1139">
        <v>434.54500100000001</v>
      </c>
      <c r="H21" s="1210">
        <v>392.82100000000003</v>
      </c>
      <c r="I21" s="1274">
        <v>405.77699999999999</v>
      </c>
      <c r="J21" s="1274">
        <v>424.63099999999997</v>
      </c>
      <c r="K21" s="1211">
        <v>456.46</v>
      </c>
      <c r="L21" s="1140">
        <f>C21+D21+E21+F21+G21+H21+I21+J21+K21</f>
        <v>4142.5599999999995</v>
      </c>
      <c r="M21" s="1179">
        <v>2724.75</v>
      </c>
      <c r="N21" s="1179">
        <v>2513.4666666666699</v>
      </c>
      <c r="O21" s="1179">
        <v>2860.38333333333</v>
      </c>
      <c r="P21" s="1139">
        <v>2815.05</v>
      </c>
      <c r="Q21" s="1139">
        <v>2630.4166666666702</v>
      </c>
      <c r="R21" s="1210">
        <v>2386.2666666666701</v>
      </c>
      <c r="S21" s="1274">
        <v>2499.1</v>
      </c>
      <c r="T21" s="1274">
        <v>2670.3539999999998</v>
      </c>
      <c r="U21" s="1211">
        <v>2918.11</v>
      </c>
      <c r="V21" s="1140">
        <f>M21+N21+O21+P21+Q21+R21+S21+T21+U21</f>
        <v>24017.897333333342</v>
      </c>
      <c r="W21" s="278"/>
    </row>
    <row r="22" spans="1:23" ht="17.100000000000001" customHeight="1">
      <c r="A22" s="278"/>
      <c r="B22" s="1169" t="s">
        <v>112</v>
      </c>
      <c r="C22" s="1138">
        <v>39.830908000000001</v>
      </c>
      <c r="D22" s="1139">
        <v>42.123210999999998</v>
      </c>
      <c r="E22" s="1139">
        <v>50.778792000000003</v>
      </c>
      <c r="F22" s="1139">
        <v>51.658414</v>
      </c>
      <c r="G22" s="1139">
        <v>44.441674999999996</v>
      </c>
      <c r="H22" s="1210">
        <v>51.098999999999997</v>
      </c>
      <c r="I22" s="1274">
        <v>50.698</v>
      </c>
      <c r="J22" s="1274">
        <v>49.808</v>
      </c>
      <c r="K22" s="1211">
        <v>48.02</v>
      </c>
      <c r="L22" s="1140">
        <f t="shared" ref="L22:L25" si="3">C22+D22+E22+F22+G22+H22+I22+J22+K22</f>
        <v>428.45799999999997</v>
      </c>
      <c r="M22" s="1179">
        <v>228.97333333333299</v>
      </c>
      <c r="N22" s="1179">
        <v>235.993333333333</v>
      </c>
      <c r="O22" s="1179">
        <v>289.81333333333299</v>
      </c>
      <c r="P22" s="1139">
        <v>306.62666666666701</v>
      </c>
      <c r="Q22" s="1139">
        <v>266.02333333333303</v>
      </c>
      <c r="R22" s="1210">
        <v>307.40666666666698</v>
      </c>
      <c r="S22" s="1274">
        <v>315.553</v>
      </c>
      <c r="T22" s="1274">
        <v>307.351</v>
      </c>
      <c r="U22" s="1211">
        <v>297.36</v>
      </c>
      <c r="V22" s="1140">
        <f t="shared" ref="V22:V25" si="4">M22+N22+O22+P22+Q22+R22+S22+T22+U22</f>
        <v>2555.1006666666663</v>
      </c>
      <c r="W22" s="278"/>
    </row>
    <row r="23" spans="1:23" ht="17.100000000000001" customHeight="1">
      <c r="A23" s="278"/>
      <c r="B23" s="1169" t="s">
        <v>532</v>
      </c>
      <c r="C23" s="1138">
        <v>0.30233599999999999</v>
      </c>
      <c r="D23" s="1139">
        <v>0.91135299999999997</v>
      </c>
      <c r="E23" s="1139">
        <v>1.146074</v>
      </c>
      <c r="F23" s="1139">
        <v>0.60732900000000001</v>
      </c>
      <c r="G23" s="1139">
        <v>0.79490799999999995</v>
      </c>
      <c r="H23" s="1210">
        <v>1.28</v>
      </c>
      <c r="I23" s="1139">
        <v>1.103</v>
      </c>
      <c r="J23" s="1139">
        <v>0.95</v>
      </c>
      <c r="K23" s="1140">
        <v>0.67</v>
      </c>
      <c r="L23" s="1140">
        <f t="shared" si="3"/>
        <v>7.7649999999999997</v>
      </c>
      <c r="M23" s="1179">
        <v>0.912333333333333</v>
      </c>
      <c r="N23" s="1179">
        <v>2.81633333333333</v>
      </c>
      <c r="O23" s="1179">
        <v>3.9468333333333301</v>
      </c>
      <c r="P23" s="1139">
        <v>1.80483333333333</v>
      </c>
      <c r="Q23" s="1139">
        <v>2.4196666666666702</v>
      </c>
      <c r="R23" s="1210">
        <v>4.1848333333333301</v>
      </c>
      <c r="S23" s="1139">
        <v>3.7090000000000001</v>
      </c>
      <c r="T23" s="1139">
        <v>2.101</v>
      </c>
      <c r="U23" s="1140">
        <v>3.12</v>
      </c>
      <c r="V23" s="1140">
        <f t="shared" si="4"/>
        <v>25.014833333333321</v>
      </c>
      <c r="W23" s="278"/>
    </row>
    <row r="24" spans="1:23" ht="17.100000000000001" customHeight="1">
      <c r="A24" s="278"/>
      <c r="B24" s="1169" t="s">
        <v>533</v>
      </c>
      <c r="C24" s="1138">
        <v>2.615253</v>
      </c>
      <c r="D24" s="1139">
        <v>3.5025059999999999</v>
      </c>
      <c r="E24" s="1139">
        <v>3.66412</v>
      </c>
      <c r="F24" s="1139">
        <v>4.1076870000000003</v>
      </c>
      <c r="G24" s="1139">
        <v>4.0774340000000002</v>
      </c>
      <c r="H24" s="1210">
        <v>4.3920000000000003</v>
      </c>
      <c r="I24" s="1274">
        <v>3.4180000000000001</v>
      </c>
      <c r="J24" s="1274">
        <v>1.83</v>
      </c>
      <c r="K24" s="1211">
        <v>1.87</v>
      </c>
      <c r="L24" s="1140">
        <f t="shared" si="3"/>
        <v>29.477</v>
      </c>
      <c r="M24" s="1179">
        <v>25.696666666666701</v>
      </c>
      <c r="N24" s="1179">
        <v>24.613333333333301</v>
      </c>
      <c r="O24" s="1179">
        <v>21.926666666666701</v>
      </c>
      <c r="P24" s="1139">
        <v>26.433333333333302</v>
      </c>
      <c r="Q24" s="1139">
        <v>28.123333333333299</v>
      </c>
      <c r="R24" s="1210">
        <v>32.89</v>
      </c>
      <c r="S24" s="1274">
        <v>29.51</v>
      </c>
      <c r="T24" s="1274">
        <v>16.696999999999999</v>
      </c>
      <c r="U24" s="1211">
        <v>13.94</v>
      </c>
      <c r="V24" s="1140">
        <f t="shared" si="4"/>
        <v>219.83033333333333</v>
      </c>
      <c r="W24" s="278"/>
    </row>
    <row r="25" spans="1:23" ht="17.100000000000001" customHeight="1">
      <c r="A25" s="278"/>
      <c r="B25" s="1275" t="s">
        <v>534</v>
      </c>
      <c r="C25" s="1141">
        <v>0</v>
      </c>
      <c r="D25" s="1142">
        <v>1.7047E-2</v>
      </c>
      <c r="E25" s="1142">
        <v>9.9999999999999995E-7</v>
      </c>
      <c r="F25" s="1142">
        <v>0</v>
      </c>
      <c r="G25" s="1142">
        <v>0</v>
      </c>
      <c r="H25" s="1181">
        <v>0</v>
      </c>
      <c r="I25" s="1181">
        <v>1.2999999999999999E-2</v>
      </c>
      <c r="J25" s="1181">
        <v>9.4000000000000004E-3</v>
      </c>
      <c r="K25" s="1182">
        <v>0.02</v>
      </c>
      <c r="L25" s="1140">
        <f t="shared" si="3"/>
        <v>5.9448000000000001E-2</v>
      </c>
      <c r="M25" s="1180">
        <v>0</v>
      </c>
      <c r="N25" s="1181">
        <v>1.2166666666666701E-2</v>
      </c>
      <c r="O25" s="1181">
        <v>0</v>
      </c>
      <c r="P25" s="1142">
        <v>0</v>
      </c>
      <c r="Q25" s="1142">
        <v>0</v>
      </c>
      <c r="R25" s="1181">
        <v>0</v>
      </c>
      <c r="S25" s="1181">
        <v>6.4000000000000001E-2</v>
      </c>
      <c r="T25" s="1181">
        <v>8.9999999999999993E-3</v>
      </c>
      <c r="U25" s="1306">
        <v>0.39</v>
      </c>
      <c r="V25" s="1140">
        <f t="shared" si="4"/>
        <v>0.47516666666666674</v>
      </c>
      <c r="W25" s="278"/>
    </row>
    <row r="26" spans="1:23" ht="17.100000000000001" customHeight="1" thickBot="1">
      <c r="A26" s="278"/>
      <c r="B26" s="1175" t="s">
        <v>115</v>
      </c>
      <c r="C26" s="1145">
        <f t="shared" ref="C26:V26" si="5">SUM(C21:C25)</f>
        <v>589.03675500000008</v>
      </c>
      <c r="D26" s="1146">
        <f t="shared" si="5"/>
        <v>540.03591300000005</v>
      </c>
      <c r="E26" s="1146">
        <f t="shared" si="5"/>
        <v>575.29690399999993</v>
      </c>
      <c r="F26" s="1146">
        <f t="shared" si="5"/>
        <v>525.2214580000001</v>
      </c>
      <c r="G26" s="1146">
        <f t="shared" si="5"/>
        <v>483.85901799999999</v>
      </c>
      <c r="H26" s="1147">
        <f t="shared" si="5"/>
        <v>449.59199999999998</v>
      </c>
      <c r="I26" s="1147">
        <f>SUM(I21:I25)</f>
        <v>461.00899999999996</v>
      </c>
      <c r="J26" s="1146">
        <f>SUM(J21:J25)</f>
        <v>477.22839999999997</v>
      </c>
      <c r="K26" s="1149">
        <f>SUM(K21:K25)</f>
        <v>507.03999999999996</v>
      </c>
      <c r="L26" s="1149">
        <f t="shared" si="5"/>
        <v>4608.3194479999993</v>
      </c>
      <c r="M26" s="1148">
        <f t="shared" si="5"/>
        <v>2980.3323333333328</v>
      </c>
      <c r="N26" s="1146">
        <f t="shared" si="5"/>
        <v>2776.9018333333361</v>
      </c>
      <c r="O26" s="1146">
        <f t="shared" si="5"/>
        <v>3176.0701666666632</v>
      </c>
      <c r="P26" s="1146">
        <f t="shared" si="5"/>
        <v>3149.9148333333337</v>
      </c>
      <c r="Q26" s="1147">
        <f t="shared" si="5"/>
        <v>2926.9830000000034</v>
      </c>
      <c r="R26" s="1147">
        <f t="shared" si="5"/>
        <v>2730.7481666666699</v>
      </c>
      <c r="S26" s="1147">
        <f>SUM(S21:S25)</f>
        <v>2847.9359999999997</v>
      </c>
      <c r="T26" s="1146">
        <f>SUM(T21:T25)</f>
        <v>2996.5120000000002</v>
      </c>
      <c r="U26" s="1149">
        <f>SUM(U21:U25)</f>
        <v>3232.92</v>
      </c>
      <c r="V26" s="1149">
        <f t="shared" si="5"/>
        <v>26818.31833333334</v>
      </c>
      <c r="W26" s="278"/>
    </row>
    <row r="27" spans="1:23" ht="15" customHeight="1">
      <c r="A27" s="278"/>
      <c r="B27" s="411" t="s">
        <v>116</v>
      </c>
      <c r="C27" s="292"/>
      <c r="D27" s="1139"/>
      <c r="E27" s="396"/>
      <c r="F27" s="396"/>
      <c r="G27" s="396"/>
      <c r="H27" s="396"/>
      <c r="I27" s="396"/>
      <c r="J27" s="396"/>
      <c r="K27" s="396"/>
      <c r="L27" s="396"/>
      <c r="M27" s="396"/>
      <c r="N27" s="396"/>
      <c r="O27" s="396"/>
      <c r="P27" s="396"/>
      <c r="Q27" s="396"/>
      <c r="R27" s="396"/>
      <c r="S27" s="396"/>
      <c r="T27" s="396"/>
      <c r="U27" s="396"/>
      <c r="V27" s="1176"/>
      <c r="W27" s="278"/>
    </row>
    <row r="28" spans="1:23" ht="15" customHeight="1">
      <c r="A28" s="278"/>
      <c r="B28" s="111"/>
      <c r="C28" s="1144"/>
      <c r="D28" s="1142"/>
      <c r="E28" s="1142"/>
      <c r="F28" s="1142"/>
      <c r="G28" s="1142"/>
      <c r="H28" s="1181"/>
      <c r="I28" s="1181"/>
      <c r="J28" s="1142"/>
      <c r="K28" s="1142"/>
      <c r="L28" s="1181"/>
      <c r="M28" s="1181"/>
      <c r="N28" s="1181"/>
      <c r="O28" s="1142"/>
      <c r="P28" s="1142"/>
      <c r="Q28" s="1181"/>
      <c r="R28" s="1181"/>
      <c r="S28" s="1142"/>
      <c r="T28" s="113"/>
      <c r="U28" s="113"/>
      <c r="V28" s="130"/>
      <c r="W28" s="278"/>
    </row>
    <row r="29" spans="1:23">
      <c r="A29" s="278"/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</row>
  </sheetData>
  <mergeCells count="8">
    <mergeCell ref="C18:L18"/>
    <mergeCell ref="M18:V18"/>
    <mergeCell ref="A1:W1"/>
    <mergeCell ref="B5:V5"/>
    <mergeCell ref="C7:L7"/>
    <mergeCell ref="B3:V3"/>
    <mergeCell ref="B4:V4"/>
    <mergeCell ref="M7:V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91"/>
  <sheetViews>
    <sheetView workbookViewId="0">
      <selection activeCell="O28" sqref="O28"/>
    </sheetView>
  </sheetViews>
  <sheetFormatPr defaultColWidth="11.42578125" defaultRowHeight="14.25"/>
  <cols>
    <col min="1" max="1" width="3.140625" style="2" customWidth="1"/>
    <col min="2" max="2" width="15.42578125" style="2" customWidth="1"/>
    <col min="3" max="3" width="10.28515625" style="2" bestFit="1" customWidth="1"/>
    <col min="4" max="4" width="11.28515625" style="2" bestFit="1" customWidth="1"/>
    <col min="5" max="5" width="8.7109375" style="2" customWidth="1"/>
    <col min="6" max="6" width="11.42578125" style="2" customWidth="1"/>
    <col min="7" max="7" width="11.85546875" style="2" customWidth="1"/>
    <col min="8" max="8" width="8.7109375" style="2" customWidth="1"/>
    <col min="9" max="9" width="10.7109375" style="2" customWidth="1"/>
    <col min="10" max="10" width="13.7109375" style="2" customWidth="1"/>
    <col min="11" max="11" width="11.28515625" style="2" bestFit="1" customWidth="1"/>
    <col min="12" max="12" width="13.7109375" style="2" customWidth="1"/>
    <col min="13" max="13" width="2.7109375" style="2" customWidth="1"/>
    <col min="14" max="14" width="11.42578125" style="2"/>
    <col min="15" max="15" width="14" style="2" bestFit="1" customWidth="1"/>
    <col min="16" max="16" width="11.42578125" style="2"/>
    <col min="17" max="17" width="14.28515625" style="2" bestFit="1" customWidth="1"/>
    <col min="18" max="16384" width="11.42578125" style="2"/>
  </cols>
  <sheetData>
    <row r="1" spans="1:13" ht="15" customHeight="1">
      <c r="A1" s="397"/>
      <c r="B1" s="1420" t="s">
        <v>413</v>
      </c>
      <c r="C1" s="1420"/>
      <c r="D1" s="1420"/>
      <c r="E1" s="1420"/>
      <c r="F1" s="1420"/>
      <c r="G1" s="1420"/>
      <c r="H1" s="1420"/>
      <c r="I1" s="1420"/>
      <c r="J1" s="1420"/>
      <c r="K1" s="1420"/>
      <c r="L1" s="1420"/>
      <c r="M1" s="1420"/>
    </row>
    <row r="2" spans="1:13" ht="24" customHeight="1">
      <c r="A2" s="397"/>
      <c r="B2" s="1421" t="s">
        <v>117</v>
      </c>
      <c r="C2" s="1422"/>
      <c r="D2" s="1422"/>
      <c r="E2" s="1422"/>
      <c r="F2" s="1422"/>
      <c r="G2" s="1422"/>
      <c r="H2" s="1422"/>
      <c r="I2" s="1422"/>
      <c r="J2" s="1422"/>
      <c r="K2" s="1422"/>
      <c r="L2" s="1423"/>
      <c r="M2" s="397"/>
    </row>
    <row r="3" spans="1:13" ht="12.95" customHeight="1">
      <c r="A3" s="397"/>
      <c r="B3" s="1567" t="s">
        <v>624</v>
      </c>
      <c r="C3" s="400"/>
      <c r="D3" s="400"/>
      <c r="E3" s="401"/>
      <c r="F3" s="401"/>
      <c r="G3" s="401"/>
      <c r="H3" s="401"/>
      <c r="I3" s="401"/>
      <c r="J3" s="401"/>
      <c r="K3" s="401"/>
      <c r="L3" s="402"/>
      <c r="M3" s="397"/>
    </row>
    <row r="4" spans="1:13" ht="12.95" customHeight="1">
      <c r="A4" s="397"/>
      <c r="B4" s="403" t="s">
        <v>118</v>
      </c>
      <c r="C4" s="1424">
        <v>2016</v>
      </c>
      <c r="D4" s="1425"/>
      <c r="E4" s="1426"/>
      <c r="F4" s="1424">
        <v>2015</v>
      </c>
      <c r="G4" s="1425"/>
      <c r="H4" s="1426"/>
      <c r="I4" s="1424" t="s">
        <v>447</v>
      </c>
      <c r="J4" s="1426"/>
      <c r="K4" s="1424" t="s">
        <v>448</v>
      </c>
      <c r="L4" s="1426"/>
      <c r="M4" s="397"/>
    </row>
    <row r="5" spans="1:13" ht="12.95" customHeight="1">
      <c r="A5" s="397"/>
      <c r="B5" s="404"/>
      <c r="C5" s="385" t="s">
        <v>119</v>
      </c>
      <c r="D5" s="386" t="s">
        <v>120</v>
      </c>
      <c r="E5" s="387" t="s">
        <v>11</v>
      </c>
      <c r="F5" s="385" t="s">
        <v>119</v>
      </c>
      <c r="G5" s="386" t="s">
        <v>120</v>
      </c>
      <c r="H5" s="387" t="s">
        <v>11</v>
      </c>
      <c r="I5" s="388" t="s">
        <v>119</v>
      </c>
      <c r="J5" s="389" t="s">
        <v>120</v>
      </c>
      <c r="K5" s="385" t="s">
        <v>119</v>
      </c>
      <c r="L5" s="405" t="s">
        <v>120</v>
      </c>
      <c r="M5" s="397"/>
    </row>
    <row r="6" spans="1:13" ht="12.95" customHeight="1">
      <c r="A6" s="397"/>
      <c r="B6" s="75" t="s">
        <v>121</v>
      </c>
      <c r="C6" s="406">
        <v>363398.93</v>
      </c>
      <c r="D6" s="406">
        <v>2485113.2999999998</v>
      </c>
      <c r="E6" s="392">
        <f t="shared" ref="E6:E14" si="0">(C6*1000)/D6</f>
        <v>146.23032680240374</v>
      </c>
      <c r="F6" s="406">
        <v>546288</v>
      </c>
      <c r="G6" s="406">
        <v>2724750</v>
      </c>
      <c r="H6" s="392">
        <f t="shared" ref="H6:H18" si="1">(F6*1000)/G6</f>
        <v>200.49105422515828</v>
      </c>
      <c r="I6" s="390">
        <f>C6+SUM(F13:F18)-F15</f>
        <v>2657344.4299999997</v>
      </c>
      <c r="J6" s="390">
        <f>D6+SUM(G13:G18)-G15</f>
        <v>17472914.099999998</v>
      </c>
      <c r="K6" s="390">
        <f>C6+SUM(F7:F18)-F15</f>
        <v>5372525.4300000006</v>
      </c>
      <c r="L6" s="390">
        <f>D6+SUM(G7:G18)-G15</f>
        <v>33177597.436666664</v>
      </c>
      <c r="M6" s="511"/>
    </row>
    <row r="7" spans="1:13" ht="12.95" customHeight="1">
      <c r="A7" s="824"/>
      <c r="B7" s="76" t="s">
        <v>122</v>
      </c>
      <c r="C7" s="406">
        <v>396956.48499999999</v>
      </c>
      <c r="D7" s="406">
        <v>2668755.58</v>
      </c>
      <c r="E7" s="417">
        <f t="shared" si="0"/>
        <v>148.74216581497507</v>
      </c>
      <c r="F7" s="406">
        <v>493482</v>
      </c>
      <c r="G7" s="406">
        <v>2513466.67</v>
      </c>
      <c r="H7" s="417">
        <f t="shared" si="1"/>
        <v>196.33520742091241</v>
      </c>
      <c r="I7" s="390">
        <f>SUM(C6:C7)+SUM(F14:F18)-F15</f>
        <v>2630138.915</v>
      </c>
      <c r="J7" s="390">
        <f>SUM(D6:D7)+SUM(G14:G18)-G15</f>
        <v>17471748.680000003</v>
      </c>
      <c r="K7" s="390">
        <f>SUM(C6+C7)+SUM(F8:F18)-F15</f>
        <v>5275999.9150000019</v>
      </c>
      <c r="L7" s="390">
        <f>SUM(D6+D7)+SUM(G8:G18)-G15</f>
        <v>33332886.346666668</v>
      </c>
      <c r="M7" s="511"/>
    </row>
    <row r="8" spans="1:13" ht="12.95" customHeight="1">
      <c r="A8" s="397"/>
      <c r="B8" s="88" t="s">
        <v>123</v>
      </c>
      <c r="C8" s="406">
        <v>405948.70199999999</v>
      </c>
      <c r="D8" s="406">
        <v>2775268.8029999998</v>
      </c>
      <c r="E8" s="417">
        <f t="shared" si="0"/>
        <v>146.27365160491087</v>
      </c>
      <c r="F8" s="406">
        <v>519708</v>
      </c>
      <c r="G8" s="406">
        <v>2860383.3333333335</v>
      </c>
      <c r="H8" s="417">
        <f t="shared" si="1"/>
        <v>181.69173129475652</v>
      </c>
      <c r="I8" s="1124">
        <f>SUM(C6:C8)+SUM(F16:F18)</f>
        <v>2579159.9170000004</v>
      </c>
      <c r="J8" s="390">
        <f>SUM(D6:D8)+SUM(G16:G18)</f>
        <v>17328471.682999998</v>
      </c>
      <c r="K8" s="390">
        <f>SUM(C6:C8)+SUM(F9:F18)-F15</f>
        <v>5162240.6169999996</v>
      </c>
      <c r="L8" s="407">
        <f>SUM(D6:D8)+SUM(G9:G18)-G15</f>
        <v>33247771.816333327</v>
      </c>
      <c r="M8" s="511"/>
    </row>
    <row r="9" spans="1:13" ht="12.95" customHeight="1">
      <c r="A9" s="397"/>
      <c r="B9" s="88" t="s">
        <v>124</v>
      </c>
      <c r="C9" s="390">
        <v>325534.90000000002</v>
      </c>
      <c r="D9" s="390">
        <v>2232325.3670000001</v>
      </c>
      <c r="E9" s="417">
        <f t="shared" si="0"/>
        <v>145.82771168231767</v>
      </c>
      <c r="F9" s="390">
        <v>468848</v>
      </c>
      <c r="G9" s="390">
        <v>2815050</v>
      </c>
      <c r="H9" s="417">
        <f>(F9*1000)/G9</f>
        <v>166.55050531962132</v>
      </c>
      <c r="I9" s="390">
        <f>SUM(C6:C9)+SUM(F17+F18)</f>
        <v>2403000.8169999998</v>
      </c>
      <c r="J9" s="390">
        <f>SUM(D6:D9)+SUM(G17+G18)</f>
        <v>16254298.050000001</v>
      </c>
      <c r="K9" s="390">
        <f>SUM(C6:C9)+SUM(F10:F18)-F15</f>
        <v>5018927.517</v>
      </c>
      <c r="L9" s="407">
        <f>SUM(D6:D9)+SUM(G10:G18)-G15</f>
        <v>32665047.183333326</v>
      </c>
      <c r="M9" s="788"/>
    </row>
    <row r="10" spans="1:13" ht="12.95" customHeight="1">
      <c r="A10" s="397"/>
      <c r="B10" s="88" t="s">
        <v>125</v>
      </c>
      <c r="C10" s="390">
        <v>314619.17599999998</v>
      </c>
      <c r="D10" s="390">
        <v>2167831.2000000002</v>
      </c>
      <c r="E10" s="417">
        <f t="shared" si="0"/>
        <v>145.13084598099704</v>
      </c>
      <c r="F10" s="390">
        <v>434545</v>
      </c>
      <c r="G10" s="390">
        <v>2630416.6666666665</v>
      </c>
      <c r="H10" s="417">
        <f>(F10*1000)/G10</f>
        <v>165.20006336131792</v>
      </c>
      <c r="I10" s="390">
        <f>SUM(C6:C10)+F18</f>
        <v>2256298.9929999998</v>
      </c>
      <c r="J10" s="390">
        <f>SUM(D6:D10)+G18</f>
        <v>15306028.25</v>
      </c>
      <c r="K10" s="390">
        <f>SUM(C6:C10)+SUM(F11:F18)-F15</f>
        <v>4899001.692999999</v>
      </c>
      <c r="L10" s="407">
        <f>SUM(D6:D10)+SUM(G11:G18)-G15</f>
        <v>32202461.716666665</v>
      </c>
      <c r="M10" s="788"/>
    </row>
    <row r="11" spans="1:13" ht="12.95" customHeight="1">
      <c r="A11" s="397"/>
      <c r="B11" s="88" t="s">
        <v>126</v>
      </c>
      <c r="C11" s="390">
        <v>303318.70899999997</v>
      </c>
      <c r="D11" s="390">
        <v>2064339.7</v>
      </c>
      <c r="E11" s="417">
        <f t="shared" si="0"/>
        <v>146.93255620671346</v>
      </c>
      <c r="F11" s="390">
        <v>392821</v>
      </c>
      <c r="G11" s="390">
        <v>2386266.6666666665</v>
      </c>
      <c r="H11" s="417">
        <f>(F11*1000)/G11</f>
        <v>164.61739397664414</v>
      </c>
      <c r="I11" s="390">
        <f t="shared" ref="I11:J14" si="2">SUM(C6:C11)</f>
        <v>2109776.9019999998</v>
      </c>
      <c r="J11" s="390">
        <f t="shared" si="2"/>
        <v>14393633.949999999</v>
      </c>
      <c r="K11" s="390">
        <f>SUM(C6:C11)+SUM(F12:F18)-F15</f>
        <v>4809499.4019999998</v>
      </c>
      <c r="L11" s="407">
        <f>SUM(D6:D11)+SUM(G12:G18)-G15</f>
        <v>31880534.750000004</v>
      </c>
      <c r="M11" s="788"/>
    </row>
    <row r="12" spans="1:13" ht="12.95" customHeight="1">
      <c r="A12" s="397"/>
      <c r="B12" s="88" t="s">
        <v>128</v>
      </c>
      <c r="C12" s="390">
        <v>271397.77299999999</v>
      </c>
      <c r="D12" s="390">
        <v>1737406.45</v>
      </c>
      <c r="E12" s="417">
        <f t="shared" si="0"/>
        <v>156.20856766129768</v>
      </c>
      <c r="F12" s="390">
        <v>405777</v>
      </c>
      <c r="G12" s="390">
        <v>2499100</v>
      </c>
      <c r="H12" s="417">
        <f>(F12*1000)/G12</f>
        <v>162.36925293105517</v>
      </c>
      <c r="I12" s="1124">
        <f t="shared" si="2"/>
        <v>2017775.7449999999</v>
      </c>
      <c r="J12" s="390">
        <f t="shared" si="2"/>
        <v>13645927.099999998</v>
      </c>
      <c r="K12" s="390">
        <f>SUM(C6:C12)+SUM(F13:F18)-F15</f>
        <v>4675120.1749999998</v>
      </c>
      <c r="L12" s="407">
        <f>SUM(D6:D12)+SUM(G13:G18)-G15</f>
        <v>31118841.199999999</v>
      </c>
      <c r="M12" s="511"/>
    </row>
    <row r="13" spans="1:13" ht="12.95" customHeight="1">
      <c r="A13" s="397"/>
      <c r="B13" s="88" t="s">
        <v>129</v>
      </c>
      <c r="C13" s="406">
        <v>422169.56599999999</v>
      </c>
      <c r="D13" s="406">
        <v>2624624.65</v>
      </c>
      <c r="E13" s="417">
        <f t="shared" si="0"/>
        <v>160.84950128011639</v>
      </c>
      <c r="F13" s="406">
        <v>424162</v>
      </c>
      <c r="G13" s="406">
        <v>2669921</v>
      </c>
      <c r="H13" s="417">
        <f t="shared" si="1"/>
        <v>158.86687284005782</v>
      </c>
      <c r="I13" s="390">
        <f t="shared" si="2"/>
        <v>2042988.8259999999</v>
      </c>
      <c r="J13" s="390">
        <f t="shared" si="2"/>
        <v>13601796.17</v>
      </c>
      <c r="K13" s="390">
        <f>SUM(C6:C13)+SUM(F14:F18)-F15</f>
        <v>4673127.7409999995</v>
      </c>
      <c r="L13" s="407">
        <f>SUM(D6:D13)+SUM(G14:G18)-G15</f>
        <v>31073544.849999998</v>
      </c>
      <c r="M13" s="788"/>
    </row>
    <row r="14" spans="1:13" ht="12.95" customHeight="1">
      <c r="A14" s="397"/>
      <c r="B14" s="88" t="s">
        <v>130</v>
      </c>
      <c r="C14" s="390">
        <v>458760.48800000001</v>
      </c>
      <c r="D14" s="390">
        <v>2755437.85</v>
      </c>
      <c r="E14" s="417">
        <f t="shared" si="0"/>
        <v>166.49277282737478</v>
      </c>
      <c r="F14" s="390">
        <v>456927.7</v>
      </c>
      <c r="G14" s="390">
        <v>2918545.8</v>
      </c>
      <c r="H14" s="417">
        <f t="shared" si="1"/>
        <v>156.56005809468539</v>
      </c>
      <c r="I14" s="393">
        <f t="shared" si="2"/>
        <v>2095800.6119999997</v>
      </c>
      <c r="J14" s="391">
        <f t="shared" si="2"/>
        <v>13581965.217</v>
      </c>
      <c r="K14" s="391">
        <f>SUM(C6:C14)+SUM(F16:F18)</f>
        <v>4674960.5290000001</v>
      </c>
      <c r="L14" s="408">
        <f>SUM(D6:D14)+SUM(G16:G18)</f>
        <v>30910436.899999999</v>
      </c>
      <c r="M14" s="511"/>
    </row>
    <row r="15" spans="1:13" ht="12.95" customHeight="1">
      <c r="A15" s="397"/>
      <c r="B15" s="729" t="s">
        <v>465</v>
      </c>
      <c r="C15" s="822">
        <f>SUM(C6:C14)</f>
        <v>3262104.7289999998</v>
      </c>
      <c r="D15" s="822">
        <f>SUM(D6:D14)</f>
        <v>21511102.899999999</v>
      </c>
      <c r="E15" s="395">
        <f>(C15*1000)/D15</f>
        <v>151.64748846977997</v>
      </c>
      <c r="F15" s="822">
        <f>SUM(F6:F14)</f>
        <v>4142558.7</v>
      </c>
      <c r="G15" s="822">
        <f>SUM(G6:G14)</f>
        <v>24017900.136666667</v>
      </c>
      <c r="H15" s="395">
        <f>(F15*1000)/G15</f>
        <v>172.47797169727622</v>
      </c>
      <c r="I15" s="390"/>
      <c r="J15" s="390"/>
      <c r="K15" s="390"/>
      <c r="L15" s="390"/>
      <c r="M15" s="511"/>
    </row>
    <row r="16" spans="1:13" ht="12.95" customHeight="1">
      <c r="A16" s="397"/>
      <c r="B16" s="88" t="s">
        <v>131</v>
      </c>
      <c r="C16" s="390"/>
      <c r="D16" s="390"/>
      <c r="E16" s="417"/>
      <c r="F16" s="390">
        <v>501694</v>
      </c>
      <c r="G16" s="390">
        <v>3306499</v>
      </c>
      <c r="H16" s="417">
        <f t="shared" si="1"/>
        <v>151.72966935722647</v>
      </c>
      <c r="I16" s="390"/>
      <c r="J16" s="390"/>
      <c r="K16" s="390"/>
      <c r="L16" s="390"/>
      <c r="M16" s="512"/>
    </row>
    <row r="17" spans="1:13" ht="12.95" customHeight="1">
      <c r="A17" s="397"/>
      <c r="B17" s="88" t="s">
        <v>132</v>
      </c>
      <c r="C17" s="390"/>
      <c r="D17" s="390"/>
      <c r="E17" s="417"/>
      <c r="F17" s="390">
        <v>461321</v>
      </c>
      <c r="G17" s="390">
        <v>3116101</v>
      </c>
      <c r="H17" s="417">
        <f t="shared" si="1"/>
        <v>148.04430280019807</v>
      </c>
      <c r="I17" s="390"/>
      <c r="J17" s="390"/>
      <c r="K17" s="390"/>
      <c r="L17" s="407"/>
      <c r="M17" s="717"/>
    </row>
    <row r="18" spans="1:13" ht="12.95" customHeight="1">
      <c r="A18" s="397"/>
      <c r="B18" s="88" t="s">
        <v>133</v>
      </c>
      <c r="C18" s="393"/>
      <c r="D18" s="391"/>
      <c r="E18" s="394"/>
      <c r="F18" s="393">
        <v>449840.8</v>
      </c>
      <c r="G18" s="391">
        <v>2976734</v>
      </c>
      <c r="H18" s="394">
        <f t="shared" si="1"/>
        <v>151.11891086002311</v>
      </c>
      <c r="I18" s="393"/>
      <c r="J18" s="391"/>
      <c r="K18" s="391"/>
      <c r="L18" s="408"/>
      <c r="M18" s="397"/>
    </row>
    <row r="19" spans="1:13" ht="12.95" customHeight="1">
      <c r="A19" s="397"/>
      <c r="B19" s="409" t="s">
        <v>115</v>
      </c>
      <c r="C19" s="393">
        <f>C15</f>
        <v>3262104.7289999998</v>
      </c>
      <c r="D19" s="753">
        <f>D15</f>
        <v>21511102.899999999</v>
      </c>
      <c r="E19" s="395">
        <f>(C19*1000)/D19</f>
        <v>151.64748846977997</v>
      </c>
      <c r="F19" s="393">
        <f>SUM(F6:F18)-F15</f>
        <v>5555414.5000000009</v>
      </c>
      <c r="G19" s="753">
        <f>SUM(G6:G18)-G15</f>
        <v>33417234.136666667</v>
      </c>
      <c r="H19" s="394">
        <f>(F19*1000)/G19</f>
        <v>166.24399485846101</v>
      </c>
      <c r="I19" s="288"/>
      <c r="J19" s="288"/>
      <c r="K19" s="288"/>
      <c r="L19" s="410"/>
      <c r="M19" s="397"/>
    </row>
    <row r="20" spans="1:13" ht="12" customHeight="1">
      <c r="A20" s="397"/>
      <c r="B20" s="411" t="s">
        <v>116</v>
      </c>
      <c r="C20" s="412"/>
      <c r="D20" s="412"/>
      <c r="E20" s="132"/>
      <c r="F20" s="396" t="s">
        <v>142</v>
      </c>
      <c r="G20" s="413"/>
      <c r="H20" s="132"/>
      <c r="I20" s="132"/>
      <c r="J20" s="396" t="s">
        <v>135</v>
      </c>
      <c r="K20" s="132"/>
      <c r="L20" s="76"/>
      <c r="M20" s="397"/>
    </row>
    <row r="21" spans="1:13" ht="12" customHeight="1">
      <c r="A21" s="397"/>
      <c r="B21" s="411" t="s">
        <v>319</v>
      </c>
      <c r="C21" s="412"/>
      <c r="D21" s="412"/>
      <c r="E21" s="132"/>
      <c r="F21" s="396" t="s">
        <v>134</v>
      </c>
      <c r="G21" s="413"/>
      <c r="H21" s="132"/>
      <c r="I21" s="132"/>
      <c r="J21" s="396" t="s">
        <v>136</v>
      </c>
      <c r="K21" s="132"/>
      <c r="L21" s="76"/>
      <c r="M21" s="397"/>
    </row>
    <row r="22" spans="1:13" ht="15" customHeight="1">
      <c r="A22" s="397"/>
      <c r="B22" s="411"/>
      <c r="C22" s="412"/>
      <c r="D22" s="412"/>
      <c r="E22" s="132"/>
      <c r="F22" s="396"/>
      <c r="G22" s="413"/>
      <c r="H22" s="132"/>
      <c r="I22" s="132"/>
      <c r="J22" s="396"/>
      <c r="K22" s="132"/>
      <c r="L22" s="76"/>
      <c r="M22" s="397"/>
    </row>
    <row r="23" spans="1:13" ht="15" customHeight="1">
      <c r="A23" s="397"/>
      <c r="B23" s="411"/>
      <c r="C23" s="412"/>
      <c r="D23" s="412"/>
      <c r="E23" s="132"/>
      <c r="F23" s="396"/>
      <c r="G23" s="413"/>
      <c r="H23" s="132"/>
      <c r="I23" s="132"/>
      <c r="J23" s="396"/>
      <c r="K23" s="132"/>
      <c r="L23" s="76"/>
      <c r="M23" s="397"/>
    </row>
    <row r="24" spans="1:13" ht="15" customHeight="1">
      <c r="A24" s="397"/>
      <c r="B24" s="139"/>
      <c r="C24" s="412"/>
      <c r="D24" s="412"/>
      <c r="E24" s="132"/>
      <c r="F24" s="413"/>
      <c r="G24" s="413"/>
      <c r="H24" s="132"/>
      <c r="I24" s="132"/>
      <c r="J24" s="132"/>
      <c r="K24" s="132"/>
      <c r="L24" s="76"/>
      <c r="M24" s="397"/>
    </row>
    <row r="25" spans="1:13" ht="15" customHeight="1">
      <c r="A25" s="397"/>
      <c r="B25" s="414"/>
      <c r="C25" s="412"/>
      <c r="D25" s="412"/>
      <c r="E25" s="140"/>
      <c r="F25" s="140"/>
      <c r="G25" s="140"/>
      <c r="H25" s="140"/>
      <c r="I25" s="140"/>
      <c r="J25" s="140"/>
      <c r="K25" s="140"/>
      <c r="L25" s="141"/>
      <c r="M25" s="397"/>
    </row>
    <row r="26" spans="1:13" ht="15" customHeight="1">
      <c r="A26" s="397"/>
      <c r="B26" s="137"/>
      <c r="C26" s="132"/>
      <c r="D26" s="132"/>
      <c r="E26" s="132"/>
      <c r="F26" s="132"/>
      <c r="G26" s="132"/>
      <c r="H26" s="132"/>
      <c r="I26" s="132"/>
      <c r="J26" s="132"/>
      <c r="K26" s="132"/>
      <c r="L26" s="76"/>
      <c r="M26" s="397"/>
    </row>
    <row r="27" spans="1:13" ht="15" customHeight="1">
      <c r="A27" s="397"/>
      <c r="B27" s="137"/>
      <c r="C27" s="132"/>
      <c r="D27" s="132"/>
      <c r="E27" s="132"/>
      <c r="F27" s="132"/>
      <c r="G27" s="132"/>
      <c r="H27" s="132"/>
      <c r="I27" s="132"/>
      <c r="J27" s="132"/>
      <c r="K27" s="132"/>
      <c r="L27" s="76"/>
      <c r="M27" s="397"/>
    </row>
    <row r="28" spans="1:13" ht="15" customHeight="1">
      <c r="A28" s="397"/>
      <c r="B28" s="137"/>
      <c r="C28" s="132"/>
      <c r="D28" s="132"/>
      <c r="E28" s="132"/>
      <c r="F28" s="132"/>
      <c r="G28" s="132"/>
      <c r="H28" s="132"/>
      <c r="I28" s="132"/>
      <c r="J28" s="132"/>
      <c r="K28" s="132"/>
      <c r="L28" s="76"/>
      <c r="M28" s="397"/>
    </row>
    <row r="29" spans="1:13" ht="15" customHeight="1">
      <c r="A29" s="397"/>
      <c r="B29" s="137"/>
      <c r="C29" s="132"/>
      <c r="D29" s="132"/>
      <c r="E29" s="132"/>
      <c r="F29" s="132"/>
      <c r="G29" s="132"/>
      <c r="H29" s="132"/>
      <c r="I29" s="132"/>
      <c r="J29" s="132"/>
      <c r="K29" s="132"/>
      <c r="L29" s="76"/>
      <c r="M29" s="397"/>
    </row>
    <row r="30" spans="1:13" ht="15" customHeight="1">
      <c r="A30" s="397"/>
      <c r="B30" s="137"/>
      <c r="C30" s="132"/>
      <c r="D30" s="132"/>
      <c r="E30" s="132"/>
      <c r="F30" s="132"/>
      <c r="G30" s="132"/>
      <c r="H30" s="132"/>
      <c r="I30" s="132"/>
      <c r="J30" s="132"/>
      <c r="K30" s="132"/>
      <c r="L30" s="76"/>
      <c r="M30" s="397"/>
    </row>
    <row r="31" spans="1:13" ht="15" customHeight="1">
      <c r="A31" s="397"/>
      <c r="B31" s="137"/>
      <c r="C31" s="132"/>
      <c r="D31" s="132"/>
      <c r="E31" s="132"/>
      <c r="F31" s="132"/>
      <c r="G31" s="132"/>
      <c r="H31" s="132"/>
      <c r="I31" s="132"/>
      <c r="J31" s="132"/>
      <c r="K31" s="132"/>
      <c r="L31" s="76"/>
      <c r="M31" s="397"/>
    </row>
    <row r="32" spans="1:13" ht="15" customHeight="1">
      <c r="A32" s="397"/>
      <c r="B32" s="137"/>
      <c r="C32" s="132"/>
      <c r="D32" s="132"/>
      <c r="E32" s="132"/>
      <c r="F32" s="132"/>
      <c r="G32" s="132"/>
      <c r="H32" s="132"/>
      <c r="I32" s="132"/>
      <c r="J32" s="132"/>
      <c r="K32" s="132"/>
      <c r="L32" s="76"/>
      <c r="M32" s="397"/>
    </row>
    <row r="33" spans="1:13" ht="15" customHeight="1">
      <c r="A33" s="397"/>
      <c r="B33" s="415"/>
      <c r="C33" s="112"/>
      <c r="D33" s="112"/>
      <c r="E33" s="112"/>
      <c r="F33" s="112"/>
      <c r="G33" s="112"/>
      <c r="H33" s="112"/>
      <c r="I33" s="112"/>
      <c r="J33" s="112"/>
      <c r="K33" s="112"/>
      <c r="L33" s="416"/>
      <c r="M33" s="397"/>
    </row>
    <row r="34" spans="1:13" ht="15" customHeight="1">
      <c r="A34" s="397"/>
      <c r="B34" s="399"/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7"/>
    </row>
    <row r="35" spans="1:13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3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3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3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3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2:1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2:1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2:1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2:1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2:1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2:1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2:1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2:1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2:1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2:1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2:1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2:1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2:1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2:1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2:1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2:1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2:1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2:1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2:1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2:1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2:1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2:1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2:1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2:1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2:1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2:1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</sheetData>
  <mergeCells count="6">
    <mergeCell ref="B1:M1"/>
    <mergeCell ref="B2:L2"/>
    <mergeCell ref="C4:E4"/>
    <mergeCell ref="F4:H4"/>
    <mergeCell ref="I4:J4"/>
    <mergeCell ref="K4:L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91"/>
  <sheetViews>
    <sheetView workbookViewId="0">
      <selection activeCell="P16" sqref="P16"/>
    </sheetView>
  </sheetViews>
  <sheetFormatPr defaultColWidth="11.42578125" defaultRowHeight="14.25"/>
  <cols>
    <col min="1" max="1" width="3.140625" style="2" customWidth="1"/>
    <col min="2" max="2" width="15.42578125" style="2" customWidth="1"/>
    <col min="3" max="3" width="8.7109375" style="2" bestFit="1" customWidth="1"/>
    <col min="4" max="4" width="10.28515625" style="2" bestFit="1" customWidth="1"/>
    <col min="5" max="5" width="8.7109375" style="2" customWidth="1"/>
    <col min="6" max="6" width="10.7109375" style="2" customWidth="1"/>
    <col min="7" max="7" width="11.85546875" style="2" customWidth="1"/>
    <col min="8" max="8" width="8.7109375" style="2" customWidth="1"/>
    <col min="9" max="9" width="10.7109375" style="2" customWidth="1"/>
    <col min="10" max="10" width="13.7109375" style="2" customWidth="1"/>
    <col min="11" max="11" width="10.7109375" style="2" customWidth="1"/>
    <col min="12" max="12" width="13.7109375" style="2" customWidth="1"/>
    <col min="13" max="13" width="2.7109375" style="2" customWidth="1"/>
    <col min="14" max="16384" width="11.42578125" style="2"/>
  </cols>
  <sheetData>
    <row r="1" spans="1:13" ht="15" customHeight="1">
      <c r="A1" s="397"/>
      <c r="B1" s="1420" t="s">
        <v>414</v>
      </c>
      <c r="C1" s="1420"/>
      <c r="D1" s="1420"/>
      <c r="E1" s="1420"/>
      <c r="F1" s="1420"/>
      <c r="G1" s="1420"/>
      <c r="H1" s="1420"/>
      <c r="I1" s="1420"/>
      <c r="J1" s="1420"/>
      <c r="K1" s="1420"/>
      <c r="L1" s="1420"/>
      <c r="M1" s="1420"/>
    </row>
    <row r="2" spans="1:13" ht="24.75" customHeight="1">
      <c r="A2" s="397"/>
      <c r="B2" s="1421" t="s">
        <v>137</v>
      </c>
      <c r="C2" s="1422"/>
      <c r="D2" s="1422"/>
      <c r="E2" s="1422"/>
      <c r="F2" s="1422"/>
      <c r="G2" s="1422"/>
      <c r="H2" s="1422"/>
      <c r="I2" s="1422"/>
      <c r="J2" s="1422"/>
      <c r="K2" s="1422"/>
      <c r="L2" s="1423"/>
      <c r="M2" s="397"/>
    </row>
    <row r="3" spans="1:13" ht="14.1" customHeight="1">
      <c r="A3" s="397"/>
      <c r="B3" s="1567" t="s">
        <v>624</v>
      </c>
      <c r="C3" s="400"/>
      <c r="D3" s="400"/>
      <c r="E3" s="401"/>
      <c r="F3" s="401"/>
      <c r="G3" s="401"/>
      <c r="H3" s="401"/>
      <c r="I3" s="401"/>
      <c r="J3" s="401"/>
      <c r="K3" s="401"/>
      <c r="L3" s="402"/>
      <c r="M3" s="397"/>
    </row>
    <row r="4" spans="1:13" ht="12.95" customHeight="1">
      <c r="A4" s="397"/>
      <c r="B4" s="403" t="s">
        <v>118</v>
      </c>
      <c r="C4" s="1424">
        <v>2016</v>
      </c>
      <c r="D4" s="1425"/>
      <c r="E4" s="1426"/>
      <c r="F4" s="1424">
        <v>2015</v>
      </c>
      <c r="G4" s="1425"/>
      <c r="H4" s="1426"/>
      <c r="I4" s="1424" t="s">
        <v>447</v>
      </c>
      <c r="J4" s="1426"/>
      <c r="K4" s="1424" t="s">
        <v>448</v>
      </c>
      <c r="L4" s="1426"/>
      <c r="M4" s="397"/>
    </row>
    <row r="5" spans="1:13" ht="12.95" customHeight="1">
      <c r="A5" s="397"/>
      <c r="B5" s="404"/>
      <c r="C5" s="385" t="s">
        <v>119</v>
      </c>
      <c r="D5" s="386" t="s">
        <v>120</v>
      </c>
      <c r="E5" s="387" t="s">
        <v>11</v>
      </c>
      <c r="F5" s="385" t="s">
        <v>119</v>
      </c>
      <c r="G5" s="386" t="s">
        <v>120</v>
      </c>
      <c r="H5" s="387" t="s">
        <v>11</v>
      </c>
      <c r="I5" s="388" t="s">
        <v>119</v>
      </c>
      <c r="J5" s="389" t="s">
        <v>120</v>
      </c>
      <c r="K5" s="385" t="s">
        <v>119</v>
      </c>
      <c r="L5" s="405" t="s">
        <v>120</v>
      </c>
      <c r="M5" s="397"/>
    </row>
    <row r="6" spans="1:13" ht="12.95" customHeight="1">
      <c r="A6" s="397"/>
      <c r="B6" s="720" t="s">
        <v>121</v>
      </c>
      <c r="C6" s="732">
        <v>37861.644</v>
      </c>
      <c r="D6" s="732">
        <v>250387.41</v>
      </c>
      <c r="E6" s="722">
        <f t="shared" ref="E6:E14" si="0">(C6*1000)/D6</f>
        <v>151.21225144666818</v>
      </c>
      <c r="F6" s="732">
        <v>39831</v>
      </c>
      <c r="G6" s="732">
        <v>228973.33333333334</v>
      </c>
      <c r="H6" s="722">
        <f>(F6*1000)/G6</f>
        <v>173.95475455657134</v>
      </c>
      <c r="I6" s="390">
        <f>C6+SUM(F13:F18)-F15</f>
        <v>263635.94699999987</v>
      </c>
      <c r="J6" s="390">
        <f>D6+SUM(G13:G18)-G15</f>
        <v>1684886.4530000002</v>
      </c>
      <c r="K6" s="390">
        <f>C6+SUM(F7:F18)-F15</f>
        <v>554434.94699999993</v>
      </c>
      <c r="L6" s="1564">
        <f>D6+SUM(G7:G18)-G15</f>
        <v>3406302.7863333342</v>
      </c>
      <c r="M6" s="397"/>
    </row>
    <row r="7" spans="1:13" ht="12.95" customHeight="1">
      <c r="A7" s="397"/>
      <c r="B7" s="723" t="s">
        <v>122</v>
      </c>
      <c r="C7" s="732">
        <v>47089.56</v>
      </c>
      <c r="D7" s="732">
        <v>318061.08</v>
      </c>
      <c r="E7" s="724">
        <f t="shared" si="0"/>
        <v>148.05194021223846</v>
      </c>
      <c r="F7" s="732">
        <v>42123</v>
      </c>
      <c r="G7" s="732">
        <v>235993.33333333334</v>
      </c>
      <c r="H7" s="724">
        <f>(F7*1000)/G7</f>
        <v>178.49233029181616</v>
      </c>
      <c r="I7" s="390">
        <f>SUM(C6:C7)+SUM(F14:F18)-F15</f>
        <v>260547.44199999998</v>
      </c>
      <c r="J7" s="390">
        <f>SUM(D6:D7)+SUM(G14:G18)-G15</f>
        <v>1695986.4200000004</v>
      </c>
      <c r="K7" s="390">
        <f>SUM(C6+C7)+SUM(F8:F18)-F15</f>
        <v>559401.50699999998</v>
      </c>
      <c r="L7" s="407">
        <f>SUM(D6+D7)+SUM(G8:G18)-G15</f>
        <v>3488370.5330000003</v>
      </c>
      <c r="M7" s="397"/>
    </row>
    <row r="8" spans="1:13" ht="12.95" customHeight="1">
      <c r="A8" s="397"/>
      <c r="B8" s="723" t="s">
        <v>123</v>
      </c>
      <c r="C8" s="732">
        <v>45282.055</v>
      </c>
      <c r="D8" s="732">
        <v>306639.14299999998</v>
      </c>
      <c r="E8" s="724">
        <f t="shared" si="0"/>
        <v>147.67212873406709</v>
      </c>
      <c r="F8" s="732">
        <v>50779</v>
      </c>
      <c r="G8" s="732">
        <v>289813.33333333331</v>
      </c>
      <c r="H8" s="724">
        <f t="shared" ref="H8:H17" si="1">(F8*1000)/G8</f>
        <v>175.21278064041223</v>
      </c>
      <c r="I8" s="1124">
        <f>SUM(C6:C8)+SUM(F16:F18)</f>
        <v>258174.897</v>
      </c>
      <c r="J8" s="390">
        <f>SUM(D6:D8)+SUM(G16:G18)</f>
        <v>1704879.1629999999</v>
      </c>
      <c r="K8" s="390">
        <f>SUM(C6:C8)+SUM(F9:F18)-F15</f>
        <v>553904.56199999992</v>
      </c>
      <c r="L8" s="407">
        <f>SUM(D6:D8)+SUM(G9:G18)-G15</f>
        <v>3505196.3426666665</v>
      </c>
      <c r="M8" s="397"/>
    </row>
    <row r="9" spans="1:13" ht="12.95" customHeight="1">
      <c r="A9" s="397"/>
      <c r="B9" s="723" t="s">
        <v>124</v>
      </c>
      <c r="C9" s="732">
        <v>40252.156000000003</v>
      </c>
      <c r="D9" s="732">
        <v>265805.17330000002</v>
      </c>
      <c r="E9" s="724">
        <f t="shared" si="0"/>
        <v>151.43481031713989</v>
      </c>
      <c r="F9" s="732">
        <v>51658</v>
      </c>
      <c r="G9" s="732">
        <v>306626.66666666669</v>
      </c>
      <c r="H9" s="724">
        <f t="shared" si="1"/>
        <v>168.47197460538331</v>
      </c>
      <c r="I9" s="390">
        <f>SUM(C6:C9)+SUM(F17+F18)</f>
        <v>251458.56599999999</v>
      </c>
      <c r="J9" s="390">
        <f>SUM(D6:D9)+SUM(G17+G18)</f>
        <v>1671907.8062999998</v>
      </c>
      <c r="K9" s="390">
        <f>SUM(C6:C9)+SUM(F10:F18)-F15</f>
        <v>542498.71799999988</v>
      </c>
      <c r="L9" s="407">
        <f>SUM(D6:D9)+SUM(G10:G18)-G15</f>
        <v>3464374.8493000004</v>
      </c>
      <c r="M9" s="397"/>
    </row>
    <row r="10" spans="1:13" ht="12.95" customHeight="1">
      <c r="A10" s="397"/>
      <c r="B10" s="723" t="s">
        <v>125</v>
      </c>
      <c r="C10" s="732">
        <v>40721.891000000003</v>
      </c>
      <c r="D10" s="732">
        <v>269620.45400000003</v>
      </c>
      <c r="E10" s="724">
        <f t="shared" si="0"/>
        <v>151.0341311123228</v>
      </c>
      <c r="F10" s="732">
        <v>44442</v>
      </c>
      <c r="G10" s="732">
        <v>266023.33333333331</v>
      </c>
      <c r="H10" s="724">
        <f t="shared" si="1"/>
        <v>167.06053353715842</v>
      </c>
      <c r="I10" s="390">
        <f>SUM(C6:C10)+F18</f>
        <v>257714.45699999999</v>
      </c>
      <c r="J10" s="390">
        <f>SUM(D6:D10)+G18</f>
        <v>1717045.2602999997</v>
      </c>
      <c r="K10" s="390">
        <f>SUM(C6:C10)+SUM(F11:F18)-F15</f>
        <v>538778.60899999994</v>
      </c>
      <c r="L10" s="407">
        <f>SUM(D6:D10)+SUM(G11:G18)-G15</f>
        <v>3467971.9699666663</v>
      </c>
      <c r="M10" s="397"/>
    </row>
    <row r="11" spans="1:13" ht="12.95" customHeight="1">
      <c r="A11" s="397"/>
      <c r="B11" s="723" t="s">
        <v>126</v>
      </c>
      <c r="C11" s="732">
        <v>45206.985000000001</v>
      </c>
      <c r="D11" s="732">
        <v>305736.64</v>
      </c>
      <c r="E11" s="724">
        <f t="shared" si="0"/>
        <v>147.8625034932025</v>
      </c>
      <c r="F11" s="732">
        <v>51099</v>
      </c>
      <c r="G11" s="732">
        <v>307406.66666666669</v>
      </c>
      <c r="H11" s="724">
        <f t="shared" si="1"/>
        <v>166.22606319533298</v>
      </c>
      <c r="I11" s="390">
        <f t="shared" ref="I11:J14" si="2">SUM(C6:C11)</f>
        <v>256414.29099999997</v>
      </c>
      <c r="J11" s="390">
        <f t="shared" si="2"/>
        <v>1716249.9002999999</v>
      </c>
      <c r="K11" s="390">
        <f>SUM(C6:C11)+SUM(F12:F18)-F15</f>
        <v>532886.59399999981</v>
      </c>
      <c r="L11" s="407">
        <f>SUM(D6:D11)+SUM(G12:G18)-G15</f>
        <v>3466301.9432999999</v>
      </c>
      <c r="M11" s="397"/>
    </row>
    <row r="12" spans="1:13" ht="12.95" customHeight="1">
      <c r="A12" s="397"/>
      <c r="B12" s="723" t="s">
        <v>128</v>
      </c>
      <c r="C12" s="732">
        <v>47333.127999999997</v>
      </c>
      <c r="D12" s="732">
        <v>307123.47333333298</v>
      </c>
      <c r="E12" s="724">
        <f t="shared" si="0"/>
        <v>154.11758497738637</v>
      </c>
      <c r="F12" s="732">
        <v>50698</v>
      </c>
      <c r="G12" s="732">
        <v>315553</v>
      </c>
      <c r="H12" s="724">
        <f t="shared" si="1"/>
        <v>160.66397720826612</v>
      </c>
      <c r="I12" s="1124">
        <f t="shared" si="2"/>
        <v>265885.77500000002</v>
      </c>
      <c r="J12" s="390">
        <f t="shared" si="2"/>
        <v>1772985.9636333331</v>
      </c>
      <c r="K12" s="390">
        <f>SUM(C6:C12)+SUM(F13:F18)-F15</f>
        <v>529521.72199999983</v>
      </c>
      <c r="L12" s="407">
        <f>SUM(D6:D12)+SUM(G13:G18)-G15</f>
        <v>3457872.4166333326</v>
      </c>
      <c r="M12" s="397"/>
    </row>
    <row r="13" spans="1:13" ht="12.95" customHeight="1">
      <c r="A13" s="397"/>
      <c r="B13" s="723" t="s">
        <v>129</v>
      </c>
      <c r="C13" s="732">
        <v>50337.483999999997</v>
      </c>
      <c r="D13" s="732">
        <v>316419.04333333299</v>
      </c>
      <c r="E13" s="724">
        <f t="shared" si="0"/>
        <v>159.08487513809897</v>
      </c>
      <c r="F13" s="732">
        <v>50178.065000000002</v>
      </c>
      <c r="G13" s="732">
        <v>306961.11300000001</v>
      </c>
      <c r="H13" s="724">
        <f t="shared" si="1"/>
        <v>163.4671718172979</v>
      </c>
      <c r="I13" s="390">
        <f t="shared" si="2"/>
        <v>269133.69900000002</v>
      </c>
      <c r="J13" s="390">
        <f t="shared" si="2"/>
        <v>1771343.926966666</v>
      </c>
      <c r="K13" s="390">
        <f>SUM(C6:C13)+SUM(F14:F18)-F15</f>
        <v>529681.14099999983</v>
      </c>
      <c r="L13" s="407">
        <f>SUM(D6:D13)+SUM(G14:G18)-G15</f>
        <v>3467330.3469666657</v>
      </c>
      <c r="M13" s="397"/>
    </row>
    <row r="14" spans="1:13" ht="12.95" customHeight="1">
      <c r="A14" s="397"/>
      <c r="B14" s="723" t="s">
        <v>130</v>
      </c>
      <c r="C14" s="732">
        <v>52989.32</v>
      </c>
      <c r="D14" s="732">
        <v>336167.174</v>
      </c>
      <c r="E14" s="724">
        <f t="shared" si="0"/>
        <v>157.6278830841467</v>
      </c>
      <c r="F14" s="732">
        <v>47654.6</v>
      </c>
      <c r="G14" s="732">
        <v>297746.40000000002</v>
      </c>
      <c r="H14" s="724">
        <f t="shared" si="1"/>
        <v>160.0509695499257</v>
      </c>
      <c r="I14" s="393">
        <f t="shared" si="2"/>
        <v>276840.96399999998</v>
      </c>
      <c r="J14" s="391">
        <f t="shared" si="2"/>
        <v>1800871.9579666662</v>
      </c>
      <c r="K14" s="391">
        <f>SUM(C6:C14)+SUM(F16:F18)</f>
        <v>535015.86100000003</v>
      </c>
      <c r="L14" s="408">
        <f>SUM(D6:D14)+SUM(G16:G18)</f>
        <v>3505751.1209666654</v>
      </c>
      <c r="M14" s="397"/>
    </row>
    <row r="15" spans="1:13" ht="12.95" customHeight="1">
      <c r="A15" s="397"/>
      <c r="B15" s="729" t="s">
        <v>465</v>
      </c>
      <c r="C15" s="822">
        <f>SUM(C6:C14)</f>
        <v>407074.223</v>
      </c>
      <c r="D15" s="822">
        <f>SUM(D6:D14)</f>
        <v>2675959.5909666657</v>
      </c>
      <c r="E15" s="395">
        <f>(C15*1000)/D15</f>
        <v>152.12270931675326</v>
      </c>
      <c r="F15" s="822">
        <f>SUM(F6:F14)</f>
        <v>428462.66499999998</v>
      </c>
      <c r="G15" s="822">
        <f>SUM(G6:G14)</f>
        <v>2555097.1796666668</v>
      </c>
      <c r="H15" s="395">
        <f>(F15*1000)/G15</f>
        <v>167.68938121402351</v>
      </c>
      <c r="I15" s="390"/>
      <c r="J15" s="390"/>
      <c r="K15" s="390"/>
      <c r="L15" s="407"/>
      <c r="M15" s="397"/>
    </row>
    <row r="16" spans="1:13" ht="12.95" customHeight="1">
      <c r="A16" s="397"/>
      <c r="B16" s="723" t="s">
        <v>131</v>
      </c>
      <c r="C16" s="732"/>
      <c r="D16" s="732"/>
      <c r="E16" s="724"/>
      <c r="F16" s="732">
        <v>46968.487000000001</v>
      </c>
      <c r="G16" s="732">
        <v>298776.53000000003</v>
      </c>
      <c r="H16" s="724">
        <f t="shared" si="1"/>
        <v>157.20273275815873</v>
      </c>
      <c r="I16" s="390"/>
      <c r="J16" s="390"/>
      <c r="K16" s="390"/>
      <c r="L16" s="407"/>
      <c r="M16" s="398"/>
    </row>
    <row r="17" spans="1:13" ht="12.95" customHeight="1">
      <c r="A17" s="397"/>
      <c r="B17" s="723" t="s">
        <v>132</v>
      </c>
      <c r="C17" s="732"/>
      <c r="D17" s="732"/>
      <c r="E17" s="724"/>
      <c r="F17" s="732">
        <v>34466</v>
      </c>
      <c r="G17" s="732">
        <v>224483</v>
      </c>
      <c r="H17" s="724">
        <f t="shared" si="1"/>
        <v>153.53501155989539</v>
      </c>
      <c r="I17" s="390"/>
      <c r="J17" s="390"/>
      <c r="K17" s="390"/>
      <c r="L17" s="407"/>
      <c r="M17" s="397"/>
    </row>
    <row r="18" spans="1:13" ht="12.95" customHeight="1">
      <c r="A18" s="397"/>
      <c r="B18" s="723" t="s">
        <v>133</v>
      </c>
      <c r="C18" s="727"/>
      <c r="D18" s="728"/>
      <c r="E18" s="731"/>
      <c r="F18" s="727">
        <v>46507.150999999998</v>
      </c>
      <c r="G18" s="728">
        <v>306532</v>
      </c>
      <c r="H18" s="731">
        <f>(F18*1000)/G18</f>
        <v>151.72037829655631</v>
      </c>
      <c r="I18" s="393"/>
      <c r="J18" s="391"/>
      <c r="K18" s="391"/>
      <c r="L18" s="408"/>
      <c r="M18" s="397"/>
    </row>
    <row r="19" spans="1:13" ht="12.95" customHeight="1">
      <c r="A19" s="397"/>
      <c r="B19" s="729" t="s">
        <v>115</v>
      </c>
      <c r="C19" s="727">
        <f>SUM(C6:C18)-C15</f>
        <v>407074.223</v>
      </c>
      <c r="D19" s="746">
        <f>SUM(D6:D18)-D15</f>
        <v>2675959.5909666657</v>
      </c>
      <c r="E19" s="731">
        <f>(C19*1000)/D19</f>
        <v>152.12270931675326</v>
      </c>
      <c r="F19" s="746">
        <f>SUM(F6:F18)-F15</f>
        <v>556404.30299999984</v>
      </c>
      <c r="G19" s="746">
        <f>SUM(G6:G18)-G15</f>
        <v>3384888.709666667</v>
      </c>
      <c r="H19" s="730">
        <f>(F19*1000)/G19</f>
        <v>164.37890599209473</v>
      </c>
      <c r="I19" s="495"/>
      <c r="J19" s="495"/>
      <c r="K19" s="495"/>
      <c r="L19" s="549"/>
      <c r="M19" s="397"/>
    </row>
    <row r="20" spans="1:13" ht="12" customHeight="1">
      <c r="A20" s="397"/>
      <c r="B20" s="411" t="s">
        <v>116</v>
      </c>
      <c r="C20" s="412"/>
      <c r="D20" s="412"/>
      <c r="E20" s="132"/>
      <c r="F20" s="396" t="s">
        <v>143</v>
      </c>
      <c r="G20" s="413"/>
      <c r="H20" s="132"/>
      <c r="I20" s="132"/>
      <c r="J20" s="396" t="s">
        <v>135</v>
      </c>
      <c r="K20" s="132"/>
      <c r="L20" s="76"/>
      <c r="M20" s="397"/>
    </row>
    <row r="21" spans="1:13" ht="12" customHeight="1">
      <c r="A21" s="397"/>
      <c r="B21" s="411" t="s">
        <v>319</v>
      </c>
      <c r="C21" s="412"/>
      <c r="D21" s="412"/>
      <c r="E21" s="132"/>
      <c r="F21" s="396" t="s">
        <v>134</v>
      </c>
      <c r="G21" s="413"/>
      <c r="H21" s="132"/>
      <c r="I21" s="132"/>
      <c r="J21" s="396" t="s">
        <v>136</v>
      </c>
      <c r="K21" s="132"/>
      <c r="L21" s="76"/>
      <c r="M21" s="397"/>
    </row>
    <row r="22" spans="1:13" ht="15" customHeight="1">
      <c r="A22" s="397"/>
      <c r="B22" s="139"/>
      <c r="C22" s="412"/>
      <c r="D22" s="412"/>
      <c r="E22" s="132"/>
      <c r="F22" s="413"/>
      <c r="G22" s="413"/>
      <c r="H22" s="132"/>
      <c r="I22" s="132"/>
      <c r="J22" s="132"/>
      <c r="K22" s="132"/>
      <c r="L22" s="76"/>
      <c r="M22" s="397"/>
    </row>
    <row r="23" spans="1:13" ht="15" customHeight="1">
      <c r="A23" s="397"/>
      <c r="B23" s="139"/>
      <c r="C23" s="412"/>
      <c r="D23" s="412"/>
      <c r="E23" s="132"/>
      <c r="F23" s="413"/>
      <c r="G23" s="413"/>
      <c r="H23" s="132"/>
      <c r="I23" s="132"/>
      <c r="J23" s="132"/>
      <c r="K23" s="132"/>
      <c r="L23" s="76"/>
      <c r="M23" s="397"/>
    </row>
    <row r="24" spans="1:13" ht="15" customHeight="1">
      <c r="A24" s="397"/>
      <c r="B24" s="139"/>
      <c r="C24" s="412"/>
      <c r="D24" s="412"/>
      <c r="E24" s="132"/>
      <c r="F24" s="413"/>
      <c r="G24" s="413"/>
      <c r="H24" s="132"/>
      <c r="I24" s="132"/>
      <c r="J24" s="132"/>
      <c r="K24" s="132"/>
      <c r="L24" s="76"/>
      <c r="M24" s="397"/>
    </row>
    <row r="25" spans="1:13" ht="15" customHeight="1">
      <c r="A25" s="397"/>
      <c r="B25" s="414"/>
      <c r="C25" s="412"/>
      <c r="D25" s="412"/>
      <c r="E25" s="140"/>
      <c r="F25" s="140"/>
      <c r="G25" s="140"/>
      <c r="H25" s="140"/>
      <c r="I25" s="140"/>
      <c r="J25" s="140"/>
      <c r="K25" s="140"/>
      <c r="L25" s="141"/>
      <c r="M25" s="397"/>
    </row>
    <row r="26" spans="1:13" ht="15" customHeight="1">
      <c r="A26" s="397"/>
      <c r="B26" s="137"/>
      <c r="C26" s="132"/>
      <c r="D26" s="132"/>
      <c r="E26" s="132"/>
      <c r="F26" s="132"/>
      <c r="G26" s="132"/>
      <c r="H26" s="132"/>
      <c r="I26" s="132"/>
      <c r="J26" s="132"/>
      <c r="K26" s="132"/>
      <c r="L26" s="76"/>
      <c r="M26" s="397"/>
    </row>
    <row r="27" spans="1:13" ht="15" customHeight="1">
      <c r="A27" s="397"/>
      <c r="B27" s="137"/>
      <c r="C27" s="132"/>
      <c r="D27" s="132"/>
      <c r="E27" s="132"/>
      <c r="F27" s="132"/>
      <c r="G27" s="132"/>
      <c r="H27" s="132"/>
      <c r="I27" s="132"/>
      <c r="J27" s="132"/>
      <c r="K27" s="132"/>
      <c r="L27" s="76"/>
      <c r="M27" s="397"/>
    </row>
    <row r="28" spans="1:13" ht="15" customHeight="1">
      <c r="A28" s="397"/>
      <c r="B28" s="137"/>
      <c r="C28" s="132"/>
      <c r="D28" s="132"/>
      <c r="E28" s="132"/>
      <c r="F28" s="132"/>
      <c r="G28" s="132"/>
      <c r="H28" s="132"/>
      <c r="I28" s="132"/>
      <c r="J28" s="132"/>
      <c r="K28" s="132"/>
      <c r="L28" s="76"/>
      <c r="M28" s="397"/>
    </row>
    <row r="29" spans="1:13" ht="15" customHeight="1">
      <c r="A29" s="397"/>
      <c r="B29" s="137"/>
      <c r="C29" s="132"/>
      <c r="D29" s="132"/>
      <c r="E29" s="132"/>
      <c r="F29" s="132"/>
      <c r="G29" s="132"/>
      <c r="H29" s="132"/>
      <c r="I29" s="132"/>
      <c r="J29" s="132"/>
      <c r="K29" s="132"/>
      <c r="L29" s="76"/>
      <c r="M29" s="397"/>
    </row>
    <row r="30" spans="1:13" ht="15" customHeight="1">
      <c r="A30" s="397"/>
      <c r="B30" s="137"/>
      <c r="C30" s="132"/>
      <c r="D30" s="132"/>
      <c r="E30" s="132"/>
      <c r="F30" s="132"/>
      <c r="G30" s="132"/>
      <c r="H30" s="132"/>
      <c r="I30" s="132"/>
      <c r="J30" s="132"/>
      <c r="K30" s="132"/>
      <c r="L30" s="76"/>
      <c r="M30" s="397"/>
    </row>
    <row r="31" spans="1:13" ht="15" customHeight="1">
      <c r="A31" s="397"/>
      <c r="B31" s="137"/>
      <c r="C31" s="132"/>
      <c r="D31" s="132"/>
      <c r="E31" s="132"/>
      <c r="F31" s="132"/>
      <c r="G31" s="132"/>
      <c r="H31" s="132"/>
      <c r="I31" s="132"/>
      <c r="J31" s="132"/>
      <c r="K31" s="132"/>
      <c r="L31" s="76"/>
      <c r="M31" s="397"/>
    </row>
    <row r="32" spans="1:13" ht="15" customHeight="1">
      <c r="A32" s="397"/>
      <c r="B32" s="137"/>
      <c r="C32" s="132"/>
      <c r="D32" s="132"/>
      <c r="E32" s="132"/>
      <c r="F32" s="132"/>
      <c r="G32" s="132"/>
      <c r="H32" s="132"/>
      <c r="I32" s="132"/>
      <c r="J32" s="132"/>
      <c r="K32" s="132"/>
      <c r="L32" s="76"/>
      <c r="M32" s="397"/>
    </row>
    <row r="33" spans="1:13" ht="15" customHeight="1">
      <c r="A33" s="397"/>
      <c r="B33" s="415"/>
      <c r="C33" s="112"/>
      <c r="D33" s="112"/>
      <c r="E33" s="112"/>
      <c r="F33" s="112"/>
      <c r="G33" s="112"/>
      <c r="H33" s="112"/>
      <c r="I33" s="112"/>
      <c r="J33" s="112"/>
      <c r="K33" s="112"/>
      <c r="L33" s="416"/>
      <c r="M33" s="397"/>
    </row>
    <row r="34" spans="1:13" ht="15" customHeight="1">
      <c r="A34" s="397"/>
      <c r="B34" s="399"/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7"/>
    </row>
    <row r="35" spans="1:13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3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3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3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3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2:1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2:1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2:1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2:1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2:1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2:1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2:1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2:1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2:1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2:1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2:1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2:1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2:1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2:1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2:1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2:1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2:1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2:1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2:1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2:1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2:1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2:1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2:1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2:1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2:1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2:1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</sheetData>
  <mergeCells count="6">
    <mergeCell ref="B1:M1"/>
    <mergeCell ref="B2:L2"/>
    <mergeCell ref="C4:E4"/>
    <mergeCell ref="F4:H4"/>
    <mergeCell ref="I4:J4"/>
    <mergeCell ref="K4:L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E13" sqref="E13"/>
    </sheetView>
  </sheetViews>
  <sheetFormatPr defaultRowHeight="12.75"/>
  <cols>
    <col min="1" max="1" width="2.7109375" customWidth="1"/>
    <col min="2" max="2" width="126.42578125" customWidth="1"/>
    <col min="3" max="3" width="2.7109375" customWidth="1"/>
    <col min="4" max="4" width="8.85546875" bestFit="1" customWidth="1"/>
  </cols>
  <sheetData>
    <row r="1" spans="1:3" ht="16.5" customHeight="1">
      <c r="A1" s="56"/>
      <c r="B1" s="277"/>
      <c r="C1" s="56"/>
    </row>
    <row r="2" spans="1:3" ht="13.5" customHeight="1">
      <c r="A2" s="58"/>
      <c r="B2" s="362"/>
      <c r="C2" s="57"/>
    </row>
    <row r="3" spans="1:3" ht="17.100000000000001" customHeight="1">
      <c r="A3" s="58"/>
      <c r="B3" s="365" t="s">
        <v>318</v>
      </c>
      <c r="C3" s="57"/>
    </row>
    <row r="4" spans="1:3" ht="17.100000000000001" customHeight="1">
      <c r="A4" s="58"/>
      <c r="B4" s="365" t="s">
        <v>308</v>
      </c>
      <c r="C4" s="57"/>
    </row>
    <row r="5" spans="1:3" ht="17.100000000000001" customHeight="1">
      <c r="A5" s="58"/>
      <c r="B5" s="365" t="s">
        <v>541</v>
      </c>
      <c r="C5" s="57"/>
    </row>
    <row r="6" spans="1:3" ht="17.100000000000001" customHeight="1">
      <c r="A6" s="58"/>
      <c r="B6" s="365"/>
      <c r="C6" s="57"/>
    </row>
    <row r="7" spans="1:3" ht="15" customHeight="1">
      <c r="A7" s="58"/>
      <c r="B7" s="365"/>
      <c r="C7" s="57"/>
    </row>
    <row r="8" spans="1:3" ht="17.100000000000001" customHeight="1">
      <c r="A8" s="58"/>
      <c r="B8" s="366" t="s">
        <v>499</v>
      </c>
      <c r="C8" s="57"/>
    </row>
    <row r="9" spans="1:3" ht="17.100000000000001" customHeight="1">
      <c r="A9" s="58"/>
      <c r="B9" s="366" t="s">
        <v>501</v>
      </c>
      <c r="C9" s="57"/>
    </row>
    <row r="10" spans="1:3" ht="17.100000000000001" customHeight="1">
      <c r="A10" s="58"/>
      <c r="B10" s="366" t="s">
        <v>502</v>
      </c>
      <c r="C10" s="57"/>
    </row>
    <row r="11" spans="1:3" ht="17.100000000000001" customHeight="1">
      <c r="A11" s="58"/>
      <c r="B11" s="366" t="s">
        <v>540</v>
      </c>
      <c r="C11" s="57"/>
    </row>
    <row r="12" spans="1:3" ht="15" customHeight="1">
      <c r="A12" s="58"/>
      <c r="B12" s="363"/>
      <c r="C12" s="57"/>
    </row>
    <row r="13" spans="1:3" ht="17.100000000000001" customHeight="1">
      <c r="A13" s="58"/>
      <c r="B13" s="366" t="s">
        <v>539</v>
      </c>
      <c r="C13" s="57"/>
    </row>
    <row r="14" spans="1:3" ht="17.100000000000001" customHeight="1">
      <c r="A14" s="58"/>
      <c r="B14" s="367" t="s">
        <v>536</v>
      </c>
      <c r="C14" s="57"/>
    </row>
    <row r="15" spans="1:3" ht="17.100000000000001" customHeight="1">
      <c r="A15" s="58"/>
      <c r="B15" s="1186" t="s">
        <v>537</v>
      </c>
      <c r="C15" s="57"/>
    </row>
    <row r="16" spans="1:3" ht="17.100000000000001" customHeight="1">
      <c r="A16" s="58"/>
      <c r="B16" s="1187" t="s">
        <v>538</v>
      </c>
      <c r="C16" s="57"/>
    </row>
    <row r="17" spans="1:4" ht="17.100000000000001" customHeight="1">
      <c r="A17" s="60"/>
      <c r="B17" s="1188"/>
      <c r="C17" s="57"/>
    </row>
    <row r="18" spans="1:4" ht="17.100000000000001" customHeight="1">
      <c r="A18" s="58"/>
      <c r="B18" s="775"/>
      <c r="C18" s="57"/>
    </row>
    <row r="19" spans="1:4" ht="17.100000000000001" customHeight="1">
      <c r="A19" s="58"/>
      <c r="B19" s="775"/>
      <c r="C19" s="57"/>
    </row>
    <row r="20" spans="1:4" ht="17.100000000000001" customHeight="1">
      <c r="A20" s="58"/>
      <c r="B20" s="775"/>
      <c r="C20" s="57"/>
    </row>
    <row r="21" spans="1:4" ht="17.100000000000001" customHeight="1">
      <c r="A21" s="58"/>
      <c r="B21" s="368" t="s">
        <v>430</v>
      </c>
      <c r="C21" s="57"/>
    </row>
    <row r="22" spans="1:4" ht="17.100000000000001" customHeight="1">
      <c r="A22" s="58"/>
      <c r="B22" s="368" t="s">
        <v>309</v>
      </c>
      <c r="C22" s="57"/>
    </row>
    <row r="23" spans="1:4" ht="17.100000000000001" customHeight="1">
      <c r="A23" s="58"/>
      <c r="B23" s="368" t="s">
        <v>310</v>
      </c>
      <c r="C23" s="57"/>
    </row>
    <row r="24" spans="1:4" ht="17.100000000000001" customHeight="1">
      <c r="A24" s="58"/>
      <c r="B24" s="368" t="s">
        <v>531</v>
      </c>
      <c r="C24" s="57"/>
    </row>
    <row r="25" spans="1:4" ht="17.100000000000001" customHeight="1">
      <c r="A25" s="58"/>
      <c r="B25" s="368" t="s">
        <v>311</v>
      </c>
      <c r="C25" s="57"/>
    </row>
    <row r="26" spans="1:4" ht="14.25" customHeight="1">
      <c r="A26" s="58"/>
      <c r="B26" s="369" t="s">
        <v>312</v>
      </c>
      <c r="C26" s="57"/>
    </row>
    <row r="27" spans="1:4" ht="17.100000000000001" customHeight="1">
      <c r="A27" s="58"/>
      <c r="B27" s="368" t="s">
        <v>313</v>
      </c>
      <c r="C27" s="58"/>
    </row>
    <row r="28" spans="1:4" ht="17.100000000000001" customHeight="1">
      <c r="A28" s="58"/>
      <c r="B28" s="368"/>
      <c r="C28" s="58"/>
    </row>
    <row r="29" spans="1:4" ht="9" customHeight="1">
      <c r="A29" s="58"/>
      <c r="B29" s="364"/>
      <c r="C29" s="58"/>
    </row>
    <row r="30" spans="1:4" ht="16.5" customHeight="1">
      <c r="A30" s="57"/>
      <c r="B30" s="57"/>
      <c r="C30" s="57"/>
      <c r="D30" s="51"/>
    </row>
    <row r="31" spans="1:4" ht="15">
      <c r="D31" s="51"/>
    </row>
    <row r="32" spans="1:4" ht="15">
      <c r="D32" s="51"/>
    </row>
    <row r="33" spans="4:4" ht="15">
      <c r="D33" s="51"/>
    </row>
    <row r="34" spans="4:4" ht="15">
      <c r="D34" s="51"/>
    </row>
  </sheetData>
  <hyperlinks>
    <hyperlink ref="B26" r:id="rId1" display="http://www.agricultura.gov.br/vegetal/estatisticas"/>
    <hyperlink ref="B16" r:id="rId2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3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>
  <dimension ref="A1:O91"/>
  <sheetViews>
    <sheetView zoomScaleNormal="100" workbookViewId="0">
      <selection activeCell="B3" sqref="B3"/>
    </sheetView>
  </sheetViews>
  <sheetFormatPr defaultColWidth="11.42578125" defaultRowHeight="14.25"/>
  <cols>
    <col min="1" max="1" width="2.7109375" style="2" customWidth="1"/>
    <col min="2" max="2" width="15.42578125" style="2" customWidth="1"/>
    <col min="3" max="3" width="7.28515625" style="2" bestFit="1" customWidth="1"/>
    <col min="4" max="4" width="9.7109375" style="2" customWidth="1"/>
    <col min="5" max="5" width="8.7109375" style="2" customWidth="1"/>
    <col min="6" max="6" width="10.7109375" style="2" customWidth="1"/>
    <col min="7" max="7" width="11.85546875" style="2" customWidth="1"/>
    <col min="8" max="8" width="8.7109375" style="2" customWidth="1"/>
    <col min="9" max="9" width="10.7109375" style="2" customWidth="1"/>
    <col min="10" max="10" width="13.7109375" style="2" customWidth="1"/>
    <col min="11" max="11" width="10.7109375" style="2" customWidth="1"/>
    <col min="12" max="12" width="13.7109375" style="2" customWidth="1"/>
    <col min="13" max="13" width="2.7109375" style="2" customWidth="1"/>
    <col min="14" max="16384" width="11.42578125" style="2"/>
  </cols>
  <sheetData>
    <row r="1" spans="1:15" ht="15" customHeight="1">
      <c r="A1" s="1420" t="s">
        <v>415</v>
      </c>
      <c r="B1" s="1420"/>
      <c r="C1" s="1420"/>
      <c r="D1" s="1420"/>
      <c r="E1" s="1420"/>
      <c r="F1" s="1420"/>
      <c r="G1" s="1420"/>
      <c r="H1" s="1420"/>
      <c r="I1" s="1420"/>
      <c r="J1" s="1420"/>
      <c r="K1" s="1420"/>
      <c r="L1" s="1420"/>
      <c r="M1" s="1420"/>
    </row>
    <row r="2" spans="1:15" ht="24" customHeight="1">
      <c r="A2" s="397"/>
      <c r="B2" s="1421" t="s">
        <v>324</v>
      </c>
      <c r="C2" s="1422"/>
      <c r="D2" s="1422"/>
      <c r="E2" s="1422"/>
      <c r="F2" s="1422"/>
      <c r="G2" s="1422"/>
      <c r="H2" s="1422"/>
      <c r="I2" s="1422"/>
      <c r="J2" s="1422"/>
      <c r="K2" s="1422"/>
      <c r="L2" s="1423"/>
      <c r="M2" s="397"/>
    </row>
    <row r="3" spans="1:15" ht="14.1" customHeight="1">
      <c r="A3" s="397"/>
      <c r="B3" s="1567" t="s">
        <v>624</v>
      </c>
      <c r="C3" s="400"/>
      <c r="D3" s="400"/>
      <c r="E3" s="401"/>
      <c r="F3" s="401"/>
      <c r="G3" s="401"/>
      <c r="H3" s="401"/>
      <c r="I3" s="401"/>
      <c r="J3" s="401"/>
      <c r="K3" s="401"/>
      <c r="L3" s="402"/>
      <c r="M3" s="397"/>
    </row>
    <row r="4" spans="1:15" ht="12.95" customHeight="1">
      <c r="A4" s="397"/>
      <c r="B4" s="403" t="s">
        <v>118</v>
      </c>
      <c r="C4" s="1424">
        <v>2016</v>
      </c>
      <c r="D4" s="1425"/>
      <c r="E4" s="1426"/>
      <c r="F4" s="1424">
        <v>2015</v>
      </c>
      <c r="G4" s="1425"/>
      <c r="H4" s="1426"/>
      <c r="I4" s="1424" t="s">
        <v>447</v>
      </c>
      <c r="J4" s="1426"/>
      <c r="K4" s="1424" t="s">
        <v>448</v>
      </c>
      <c r="L4" s="1426"/>
      <c r="M4" s="397"/>
    </row>
    <row r="5" spans="1:15" ht="12.95" customHeight="1">
      <c r="A5" s="397"/>
      <c r="B5" s="404"/>
      <c r="C5" s="385" t="s">
        <v>119</v>
      </c>
      <c r="D5" s="386" t="s">
        <v>120</v>
      </c>
      <c r="E5" s="387" t="s">
        <v>11</v>
      </c>
      <c r="F5" s="385" t="s">
        <v>119</v>
      </c>
      <c r="G5" s="386" t="s">
        <v>120</v>
      </c>
      <c r="H5" s="387" t="s">
        <v>11</v>
      </c>
      <c r="I5" s="388" t="s">
        <v>119</v>
      </c>
      <c r="J5" s="389" t="s">
        <v>120</v>
      </c>
      <c r="K5" s="385" t="s">
        <v>119</v>
      </c>
      <c r="L5" s="405" t="s">
        <v>120</v>
      </c>
      <c r="M5" s="397"/>
    </row>
    <row r="6" spans="1:15" ht="12.95" customHeight="1">
      <c r="A6" s="397"/>
      <c r="B6" s="720" t="s">
        <v>121</v>
      </c>
      <c r="C6" s="721">
        <v>596.52300000000002</v>
      </c>
      <c r="D6" s="721">
        <v>2257.29</v>
      </c>
      <c r="E6" s="722">
        <f t="shared" ref="E6:E14" si="0">(C6*1000)/D6</f>
        <v>264.26511436279787</v>
      </c>
      <c r="F6" s="721">
        <v>302</v>
      </c>
      <c r="G6" s="721">
        <v>912.33333333333337</v>
      </c>
      <c r="H6" s="722">
        <f>(F6*1000)/G6</f>
        <v>331.01936426744612</v>
      </c>
      <c r="I6" s="390">
        <f>C6+SUM(F13:F18)-F15</f>
        <v>4530.4829999999984</v>
      </c>
      <c r="J6" s="390">
        <f>D6+SUM(G13:G18)-G15</f>
        <v>15770.198</v>
      </c>
      <c r="K6" s="390">
        <f>C6+SUM(F7:F18)-F15</f>
        <v>10373.483</v>
      </c>
      <c r="L6" s="1564">
        <f>D6+SUM(G7:G18)-G15</f>
        <v>34651.698000000004</v>
      </c>
      <c r="M6" s="397"/>
    </row>
    <row r="7" spans="1:15" ht="12.95" customHeight="1">
      <c r="A7" s="397"/>
      <c r="B7" s="723" t="s">
        <v>122</v>
      </c>
      <c r="C7" s="721">
        <v>1116.1300000000001</v>
      </c>
      <c r="D7" s="721">
        <v>2282.38</v>
      </c>
      <c r="E7" s="724">
        <f t="shared" si="0"/>
        <v>489.02023326527569</v>
      </c>
      <c r="F7" s="721">
        <v>912</v>
      </c>
      <c r="G7" s="721">
        <v>2816.3333333333335</v>
      </c>
      <c r="H7" s="724">
        <f>(F7*1000)/G7</f>
        <v>323.82530476979525</v>
      </c>
      <c r="I7" s="390">
        <f>SUM(C6:C7)+SUM(F14:F18)-F15</f>
        <v>4841.7260000000006</v>
      </c>
      <c r="J7" s="390">
        <f>SUM(D6:D7)+SUM(G14:G18)-G15</f>
        <v>15744.929999999997</v>
      </c>
      <c r="K7" s="390">
        <f>SUM(C6+C7)+SUM(F8:F18)-F15</f>
        <v>10577.612999999998</v>
      </c>
      <c r="L7" s="407">
        <f>SUM(D6+D7)+SUM(G8:G18)-G15</f>
        <v>34117.744666666666</v>
      </c>
      <c r="M7" s="397"/>
    </row>
    <row r="8" spans="1:15" ht="12.95" customHeight="1">
      <c r="A8" s="397"/>
      <c r="B8" s="723" t="s">
        <v>123</v>
      </c>
      <c r="C8" s="721">
        <v>596.02599999999995</v>
      </c>
      <c r="D8" s="721">
        <v>3605.6019999999999</v>
      </c>
      <c r="E8" s="724">
        <f t="shared" si="0"/>
        <v>165.30554398405593</v>
      </c>
      <c r="F8" s="721">
        <v>1146</v>
      </c>
      <c r="G8" s="721">
        <v>3946.8333333333335</v>
      </c>
      <c r="H8" s="724">
        <f t="shared" ref="H8:H17" si="1">(F8*1000)/G8</f>
        <v>290.3593598243317</v>
      </c>
      <c r="I8" s="1124">
        <f>SUM(C6:C8)+SUM(F16:F18)</f>
        <v>4622.5519999999997</v>
      </c>
      <c r="J8" s="390">
        <f>SUM(D6:D8)+SUM(G16:G18)</f>
        <v>16441.531999999999</v>
      </c>
      <c r="K8" s="390">
        <f>SUM(C6:C8)+SUM(F9:F18)-F15</f>
        <v>10027.638999999999</v>
      </c>
      <c r="L8" s="407">
        <f>SUM(D6:D8)+SUM(G9:G18)-G15</f>
        <v>33776.513333333336</v>
      </c>
      <c r="M8" s="397"/>
    </row>
    <row r="9" spans="1:15" ht="12.95" customHeight="1">
      <c r="A9" s="397"/>
      <c r="B9" s="723" t="s">
        <v>124</v>
      </c>
      <c r="C9" s="721">
        <v>976.71400000000006</v>
      </c>
      <c r="D9" s="721">
        <v>3097.96</v>
      </c>
      <c r="E9" s="724">
        <f t="shared" si="0"/>
        <v>315.27650453847048</v>
      </c>
      <c r="F9" s="721">
        <v>607</v>
      </c>
      <c r="G9" s="721">
        <v>1804.8333333333333</v>
      </c>
      <c r="H9" s="724">
        <f t="shared" si="1"/>
        <v>336.31914304183215</v>
      </c>
      <c r="I9" s="390">
        <f>SUM(C6:C9)+SUM(F17+F18)</f>
        <v>4595.393</v>
      </c>
      <c r="J9" s="390">
        <f>SUM(D6:D9)+SUM(G17+G18)</f>
        <v>15497.232</v>
      </c>
      <c r="K9" s="390">
        <f>SUM(C6:C9)+SUM(F10:F18)-F15</f>
        <v>10397.352999999999</v>
      </c>
      <c r="L9" s="407">
        <f>SUM(D6:D9)+SUM(G10:G18)-G15</f>
        <v>35069.64</v>
      </c>
      <c r="M9" s="397"/>
    </row>
    <row r="10" spans="1:15" ht="12.95" customHeight="1">
      <c r="A10" s="397"/>
      <c r="B10" s="723" t="s">
        <v>125</v>
      </c>
      <c r="C10" s="721">
        <v>484.339</v>
      </c>
      <c r="D10" s="721">
        <v>1754.9</v>
      </c>
      <c r="E10" s="724">
        <f t="shared" si="0"/>
        <v>275.99236423727848</v>
      </c>
      <c r="F10" s="721">
        <v>795</v>
      </c>
      <c r="G10" s="721">
        <v>2419.6666666666665</v>
      </c>
      <c r="H10" s="724">
        <f t="shared" si="1"/>
        <v>328.55765256922444</v>
      </c>
      <c r="I10" s="390">
        <f>SUM(C6:C10)+F18</f>
        <v>4624.732</v>
      </c>
      <c r="J10" s="390">
        <f>SUM(D6:D10)+G18</f>
        <v>15623.132</v>
      </c>
      <c r="K10" s="390">
        <f>SUM(C6:C10)+SUM(F11:F18)-F15</f>
        <v>10086.691999999999</v>
      </c>
      <c r="L10" s="407">
        <f>SUM(D6:D10)+SUM(G11:G18)-G15</f>
        <v>34404.873333333337</v>
      </c>
      <c r="M10" s="397"/>
    </row>
    <row r="11" spans="1:15" ht="12.95" customHeight="1">
      <c r="A11" s="397"/>
      <c r="B11" s="723" t="s">
        <v>126</v>
      </c>
      <c r="C11" s="721">
        <v>1149.9290000000001</v>
      </c>
      <c r="D11" s="721">
        <v>4406.3450000000003</v>
      </c>
      <c r="E11" s="724">
        <f t="shared" si="0"/>
        <v>260.97116771383082</v>
      </c>
      <c r="F11" s="721">
        <v>1280</v>
      </c>
      <c r="G11" s="721">
        <v>4184.833333333333</v>
      </c>
      <c r="H11" s="724">
        <f t="shared" si="1"/>
        <v>305.86642239834322</v>
      </c>
      <c r="I11" s="390">
        <f t="shared" ref="I11:J14" si="2">SUM(C6:C11)</f>
        <v>4919.6610000000001</v>
      </c>
      <c r="J11" s="390">
        <f t="shared" si="2"/>
        <v>17404.476999999999</v>
      </c>
      <c r="K11" s="390">
        <f>SUM(C6:C11)+SUM(F12:F18)-F15</f>
        <v>9956.6209999999992</v>
      </c>
      <c r="L11" s="407">
        <f>SUM(D6:D11)+SUM(G12:G18)-G15</f>
        <v>34626.384999999995</v>
      </c>
      <c r="M11" s="397"/>
    </row>
    <row r="12" spans="1:15" ht="12.95" customHeight="1">
      <c r="A12" s="397"/>
      <c r="B12" s="723" t="s">
        <v>128</v>
      </c>
      <c r="C12" s="726">
        <v>878.56899999999996</v>
      </c>
      <c r="D12" s="726">
        <v>2934.6271666666598</v>
      </c>
      <c r="E12" s="724">
        <f t="shared" si="0"/>
        <v>299.38010864866891</v>
      </c>
      <c r="F12" s="726">
        <v>1103</v>
      </c>
      <c r="G12" s="726">
        <v>3709</v>
      </c>
      <c r="H12" s="540">
        <f t="shared" si="1"/>
        <v>297.38473982205448</v>
      </c>
      <c r="I12" s="1124">
        <f t="shared" si="2"/>
        <v>5201.7070000000003</v>
      </c>
      <c r="J12" s="390">
        <f t="shared" si="2"/>
        <v>18081.814166666656</v>
      </c>
      <c r="K12" s="390">
        <f>SUM(C6:C12)+SUM(F13:F18)-F15</f>
        <v>9732.1899999999987</v>
      </c>
      <c r="L12" s="407">
        <f>SUM(D6:D12)+SUM(G13:G18)-G15</f>
        <v>33852.012166666653</v>
      </c>
      <c r="M12" s="397"/>
    </row>
    <row r="13" spans="1:15" ht="12.95" customHeight="1">
      <c r="A13" s="397"/>
      <c r="B13" s="723" t="s">
        <v>129</v>
      </c>
      <c r="C13" s="721">
        <v>1004.448</v>
      </c>
      <c r="D13" s="721">
        <v>3566.3744999999999</v>
      </c>
      <c r="E13" s="724">
        <f t="shared" si="0"/>
        <v>281.64400569822379</v>
      </c>
      <c r="F13" s="721">
        <v>804.88699999999994</v>
      </c>
      <c r="G13" s="721">
        <v>2307.6480000000001</v>
      </c>
      <c r="H13" s="724">
        <f t="shared" si="1"/>
        <v>348.79106345508501</v>
      </c>
      <c r="I13" s="390">
        <f t="shared" si="2"/>
        <v>5090.0250000000005</v>
      </c>
      <c r="J13" s="390">
        <f t="shared" si="2"/>
        <v>19365.80866666666</v>
      </c>
      <c r="K13" s="390">
        <f>SUM(C6:C13)+SUM(F14:F18)-F15</f>
        <v>9931.7510000000002</v>
      </c>
      <c r="L13" s="407">
        <f>SUM(D6:D13)+SUM(G14:G18)-G15</f>
        <v>35110.738666666657</v>
      </c>
      <c r="M13" s="397"/>
    </row>
    <row r="14" spans="1:15" ht="12.95" customHeight="1">
      <c r="A14" s="397"/>
      <c r="B14" s="723" t="s">
        <v>130</v>
      </c>
      <c r="C14" s="721">
        <v>861.88599999999997</v>
      </c>
      <c r="D14" s="721">
        <v>3240.2685000000001</v>
      </c>
      <c r="E14" s="724">
        <f t="shared" si="0"/>
        <v>265.99215466249171</v>
      </c>
      <c r="F14" s="721">
        <v>815.2</v>
      </c>
      <c r="G14" s="721">
        <v>2909</v>
      </c>
      <c r="H14" s="724">
        <f t="shared" si="1"/>
        <v>280.2337573049158</v>
      </c>
      <c r="I14" s="393">
        <f t="shared" si="2"/>
        <v>5355.8850000000002</v>
      </c>
      <c r="J14" s="391">
        <f t="shared" si="2"/>
        <v>19000.475166666663</v>
      </c>
      <c r="K14" s="391">
        <f>SUM(C6:C14)+SUM(F16:F18)</f>
        <v>9978.4369999999999</v>
      </c>
      <c r="L14" s="408">
        <f>SUM(D6:D14)+SUM(G16:G18)</f>
        <v>35442.007166666655</v>
      </c>
      <c r="M14" s="397"/>
    </row>
    <row r="15" spans="1:15" ht="12.95" customHeight="1">
      <c r="A15" s="397"/>
      <c r="B15" s="729" t="s">
        <v>465</v>
      </c>
      <c r="C15" s="822">
        <f>SUM(C6:C14)</f>
        <v>7664.5640000000003</v>
      </c>
      <c r="D15" s="822">
        <f>SUM(D6:D14)</f>
        <v>27145.747166666653</v>
      </c>
      <c r="E15" s="395">
        <f>(C15*1000)/D15</f>
        <v>282.34861073971928</v>
      </c>
      <c r="F15" s="822">
        <f>SUM(F6:F14)</f>
        <v>7765.0869999999995</v>
      </c>
      <c r="G15" s="822">
        <f>SUM(G6:G14)</f>
        <v>25010.481333333333</v>
      </c>
      <c r="H15" s="395">
        <f>(F15*1000)/G15</f>
        <v>310.47331302860169</v>
      </c>
      <c r="I15" s="390"/>
      <c r="J15" s="390"/>
      <c r="K15" s="390"/>
      <c r="L15" s="407"/>
      <c r="M15" s="397"/>
      <c r="O15" s="1137"/>
    </row>
    <row r="16" spans="1:15" ht="12.95" customHeight="1">
      <c r="A16" s="397"/>
      <c r="B16" s="723" t="s">
        <v>131</v>
      </c>
      <c r="C16" s="721"/>
      <c r="D16" s="721"/>
      <c r="E16" s="724"/>
      <c r="F16" s="721">
        <v>1003.873</v>
      </c>
      <c r="G16" s="721">
        <v>4042.26</v>
      </c>
      <c r="H16" s="724">
        <f t="shared" si="1"/>
        <v>248.34449045830797</v>
      </c>
      <c r="I16" s="390"/>
      <c r="J16" s="390"/>
      <c r="K16" s="390"/>
      <c r="L16" s="407"/>
      <c r="M16" s="398"/>
    </row>
    <row r="17" spans="1:13" ht="12.95" customHeight="1">
      <c r="A17" s="397"/>
      <c r="B17" s="723" t="s">
        <v>132</v>
      </c>
      <c r="C17" s="721"/>
      <c r="D17" s="721"/>
      <c r="E17" s="724"/>
      <c r="F17" s="721">
        <v>455</v>
      </c>
      <c r="G17" s="721">
        <v>1629</v>
      </c>
      <c r="H17" s="724">
        <f t="shared" si="1"/>
        <v>279.31246163290365</v>
      </c>
      <c r="I17" s="390"/>
      <c r="J17" s="390"/>
      <c r="K17" s="390"/>
      <c r="L17" s="407"/>
      <c r="M17" s="397"/>
    </row>
    <row r="18" spans="1:13" ht="12.95" customHeight="1">
      <c r="A18" s="397"/>
      <c r="B18" s="723" t="s">
        <v>133</v>
      </c>
      <c r="C18" s="727"/>
      <c r="D18" s="728"/>
      <c r="E18" s="731"/>
      <c r="F18" s="727">
        <v>855</v>
      </c>
      <c r="G18" s="728">
        <v>2625</v>
      </c>
      <c r="H18" s="731">
        <f>(F18*1000)/G18</f>
        <v>325.71428571428572</v>
      </c>
      <c r="I18" s="393"/>
      <c r="J18" s="391"/>
      <c r="K18" s="391"/>
      <c r="L18" s="408"/>
      <c r="M18" s="397"/>
    </row>
    <row r="19" spans="1:13" ht="12.95" customHeight="1">
      <c r="A19" s="397"/>
      <c r="B19" s="729" t="s">
        <v>115</v>
      </c>
      <c r="C19" s="727">
        <f>SUM(C6:C18)-C15</f>
        <v>7664.5640000000003</v>
      </c>
      <c r="D19" s="746">
        <f>SUM(D6:D18)-D15</f>
        <v>27145.747166666653</v>
      </c>
      <c r="E19" s="731">
        <f>(C19*1000)/D19</f>
        <v>282.34861073971928</v>
      </c>
      <c r="F19" s="728">
        <f>SUM(F6:F18)-F15</f>
        <v>10078.959999999999</v>
      </c>
      <c r="G19" s="728">
        <f>SUM(G6:G18)-G15</f>
        <v>33306.741333333339</v>
      </c>
      <c r="H19" s="731">
        <f>(F19*1000)/G19</f>
        <v>302.61021032138592</v>
      </c>
      <c r="I19" s="495"/>
      <c r="J19" s="495"/>
      <c r="K19" s="495"/>
      <c r="L19" s="549"/>
      <c r="M19" s="397"/>
    </row>
    <row r="20" spans="1:13" ht="12" customHeight="1">
      <c r="A20" s="397"/>
      <c r="B20" s="411" t="s">
        <v>116</v>
      </c>
      <c r="C20" s="412"/>
      <c r="D20" s="412"/>
      <c r="E20" s="396" t="s">
        <v>144</v>
      </c>
      <c r="F20" s="487"/>
      <c r="G20" s="413"/>
      <c r="H20" s="132"/>
      <c r="I20" s="132"/>
      <c r="J20" s="396" t="s">
        <v>135</v>
      </c>
      <c r="K20" s="132"/>
      <c r="L20" s="76"/>
      <c r="M20" s="397"/>
    </row>
    <row r="21" spans="1:13" ht="12" customHeight="1">
      <c r="A21" s="397"/>
      <c r="B21" s="411" t="s">
        <v>319</v>
      </c>
      <c r="C21" s="412"/>
      <c r="D21" s="412"/>
      <c r="E21" s="396" t="s">
        <v>134</v>
      </c>
      <c r="F21" s="487"/>
      <c r="G21" s="413"/>
      <c r="H21" s="132"/>
      <c r="I21" s="132"/>
      <c r="J21" s="396" t="s">
        <v>136</v>
      </c>
      <c r="K21" s="132"/>
      <c r="L21" s="76"/>
      <c r="M21" s="397"/>
    </row>
    <row r="22" spans="1:13" ht="15" customHeight="1">
      <c r="A22" s="397"/>
      <c r="B22" s="139"/>
      <c r="C22" s="412"/>
      <c r="D22" s="412"/>
      <c r="E22" s="132"/>
      <c r="F22" s="413"/>
      <c r="G22" s="413"/>
      <c r="H22" s="132"/>
      <c r="I22" s="132"/>
      <c r="J22" s="132"/>
      <c r="K22" s="132"/>
      <c r="L22" s="76"/>
      <c r="M22" s="397"/>
    </row>
    <row r="23" spans="1:13" ht="15" customHeight="1">
      <c r="A23" s="397"/>
      <c r="B23" s="139"/>
      <c r="C23" s="412"/>
      <c r="D23" s="412"/>
      <c r="E23" s="132"/>
      <c r="F23" s="413"/>
      <c r="G23" s="413"/>
      <c r="H23" s="132"/>
      <c r="I23" s="132"/>
      <c r="J23" s="132"/>
      <c r="K23" s="132"/>
      <c r="L23" s="76"/>
      <c r="M23" s="397"/>
    </row>
    <row r="24" spans="1:13" ht="15" customHeight="1">
      <c r="A24" s="397"/>
      <c r="B24" s="139"/>
      <c r="C24" s="412"/>
      <c r="D24" s="412"/>
      <c r="E24" s="132"/>
      <c r="F24" s="413"/>
      <c r="G24" s="413"/>
      <c r="H24" s="132"/>
      <c r="I24" s="132"/>
      <c r="J24" s="132"/>
      <c r="K24" s="132"/>
      <c r="L24" s="76"/>
      <c r="M24" s="397"/>
    </row>
    <row r="25" spans="1:13" ht="15" customHeight="1">
      <c r="A25" s="397"/>
      <c r="B25" s="139"/>
      <c r="C25" s="412"/>
      <c r="D25" s="412"/>
      <c r="E25" s="132"/>
      <c r="F25" s="413"/>
      <c r="G25" s="413"/>
      <c r="H25" s="132"/>
      <c r="I25" s="132"/>
      <c r="J25" s="132"/>
      <c r="K25" s="132"/>
      <c r="L25" s="76"/>
      <c r="M25" s="397"/>
    </row>
    <row r="26" spans="1:13" ht="15" customHeight="1">
      <c r="A26" s="397"/>
      <c r="B26" s="137"/>
      <c r="C26" s="132"/>
      <c r="D26" s="132"/>
      <c r="E26" s="132"/>
      <c r="F26" s="132"/>
      <c r="G26" s="132"/>
      <c r="H26" s="132"/>
      <c r="I26" s="132"/>
      <c r="J26" s="132"/>
      <c r="K26" s="132"/>
      <c r="L26" s="76"/>
      <c r="M26" s="397"/>
    </row>
    <row r="27" spans="1:13" ht="15" customHeight="1">
      <c r="A27" s="397"/>
      <c r="B27" s="137"/>
      <c r="C27" s="132"/>
      <c r="D27" s="132"/>
      <c r="E27" s="132"/>
      <c r="F27" s="132"/>
      <c r="G27" s="132"/>
      <c r="H27" s="132"/>
      <c r="I27" s="132"/>
      <c r="J27" s="132"/>
      <c r="K27" s="132"/>
      <c r="L27" s="76"/>
      <c r="M27" s="397"/>
    </row>
    <row r="28" spans="1:13" ht="15" customHeight="1">
      <c r="A28" s="397"/>
      <c r="B28" s="137"/>
      <c r="C28" s="132"/>
      <c r="D28" s="132"/>
      <c r="E28" s="132"/>
      <c r="F28" s="132"/>
      <c r="G28" s="132"/>
      <c r="H28" s="132"/>
      <c r="I28" s="132"/>
      <c r="J28" s="132"/>
      <c r="K28" s="132"/>
      <c r="L28" s="76"/>
      <c r="M28" s="397"/>
    </row>
    <row r="29" spans="1:13" ht="15" customHeight="1">
      <c r="A29" s="397"/>
      <c r="B29" s="137"/>
      <c r="C29" s="132"/>
      <c r="D29" s="132"/>
      <c r="E29" s="132"/>
      <c r="F29" s="132"/>
      <c r="G29" s="132"/>
      <c r="H29" s="132"/>
      <c r="I29" s="132"/>
      <c r="J29" s="132"/>
      <c r="K29" s="132"/>
      <c r="L29" s="76"/>
      <c r="M29" s="397"/>
    </row>
    <row r="30" spans="1:13" ht="15" customHeight="1">
      <c r="A30" s="397"/>
      <c r="B30" s="137"/>
      <c r="C30" s="132"/>
      <c r="D30" s="132"/>
      <c r="E30" s="132"/>
      <c r="F30" s="132"/>
      <c r="G30" s="132"/>
      <c r="H30" s="132"/>
      <c r="I30" s="132"/>
      <c r="J30" s="132"/>
      <c r="K30" s="132"/>
      <c r="L30" s="76"/>
      <c r="M30" s="397"/>
    </row>
    <row r="31" spans="1:13" ht="15" customHeight="1">
      <c r="A31" s="397"/>
      <c r="B31" s="137"/>
      <c r="C31" s="132"/>
      <c r="D31" s="132"/>
      <c r="E31" s="132"/>
      <c r="F31" s="132"/>
      <c r="G31" s="132"/>
      <c r="H31" s="132"/>
      <c r="I31" s="132"/>
      <c r="J31" s="132"/>
      <c r="K31" s="132"/>
      <c r="L31" s="76"/>
      <c r="M31" s="397"/>
    </row>
    <row r="32" spans="1:13" ht="15" customHeight="1">
      <c r="A32" s="397"/>
      <c r="B32" s="137"/>
      <c r="C32" s="132"/>
      <c r="D32" s="132"/>
      <c r="E32" s="132"/>
      <c r="F32" s="132"/>
      <c r="G32" s="132"/>
      <c r="H32" s="132"/>
      <c r="I32" s="132"/>
      <c r="J32" s="132"/>
      <c r="K32" s="132"/>
      <c r="L32" s="76"/>
      <c r="M32" s="397"/>
    </row>
    <row r="33" spans="1:13" ht="15" customHeight="1">
      <c r="A33" s="397"/>
      <c r="B33" s="415"/>
      <c r="C33" s="112"/>
      <c r="D33" s="112"/>
      <c r="E33" s="112"/>
      <c r="F33" s="112"/>
      <c r="G33" s="112"/>
      <c r="H33" s="112"/>
      <c r="I33" s="112"/>
      <c r="J33" s="112"/>
      <c r="K33" s="112"/>
      <c r="L33" s="416"/>
      <c r="M33" s="397"/>
    </row>
    <row r="34" spans="1:13" ht="15" customHeight="1">
      <c r="A34" s="397"/>
      <c r="B34" s="399"/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7"/>
    </row>
    <row r="35" spans="1:13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3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3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3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3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2:1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2:1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2:1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2:1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2:1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2:1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2:1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2:1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2:1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2:1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2:1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2:1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2:1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2:1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2:1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2:1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2:1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2:1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2:1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2:1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2:1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2:1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2:1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2:1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2:1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2:1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</sheetData>
  <mergeCells count="6">
    <mergeCell ref="A1:M1"/>
    <mergeCell ref="B2:L2"/>
    <mergeCell ref="C4:E4"/>
    <mergeCell ref="F4:H4"/>
    <mergeCell ref="I4:J4"/>
    <mergeCell ref="K4:L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91"/>
  <sheetViews>
    <sheetView workbookViewId="0">
      <selection activeCell="O27" sqref="O27"/>
    </sheetView>
  </sheetViews>
  <sheetFormatPr defaultColWidth="11.42578125" defaultRowHeight="14.25"/>
  <cols>
    <col min="1" max="1" width="2.7109375" style="2" customWidth="1"/>
    <col min="2" max="2" width="15.42578125" style="2" customWidth="1"/>
    <col min="3" max="3" width="11.28515625" style="2" bestFit="1" customWidth="1"/>
    <col min="4" max="4" width="12.28515625" style="2" bestFit="1" customWidth="1"/>
    <col min="5" max="5" width="8.7109375" style="2" customWidth="1"/>
    <col min="6" max="6" width="10.7109375" style="2" customWidth="1"/>
    <col min="7" max="7" width="11.85546875" style="2" customWidth="1"/>
    <col min="8" max="8" width="8.7109375" style="2" customWidth="1"/>
    <col min="9" max="9" width="10.7109375" style="2" customWidth="1"/>
    <col min="10" max="10" width="13.7109375" style="2" customWidth="1"/>
    <col min="11" max="11" width="10.7109375" style="2" customWidth="1"/>
    <col min="12" max="12" width="13.7109375" style="2" customWidth="1"/>
    <col min="13" max="13" width="2.7109375" style="2" customWidth="1"/>
    <col min="14" max="16384" width="11.42578125" style="2"/>
  </cols>
  <sheetData>
    <row r="1" spans="1:13" ht="15" customHeight="1">
      <c r="A1" s="1420" t="s">
        <v>416</v>
      </c>
      <c r="B1" s="1420"/>
      <c r="C1" s="1420"/>
      <c r="D1" s="1420"/>
      <c r="E1" s="1420"/>
      <c r="F1" s="1420"/>
      <c r="G1" s="1420"/>
      <c r="H1" s="1420"/>
      <c r="I1" s="1420"/>
      <c r="J1" s="1420"/>
      <c r="K1" s="1420"/>
      <c r="L1" s="1420"/>
      <c r="M1" s="1420"/>
    </row>
    <row r="2" spans="1:13" ht="27" customHeight="1">
      <c r="A2" s="397"/>
      <c r="B2" s="1421" t="s">
        <v>325</v>
      </c>
      <c r="C2" s="1422"/>
      <c r="D2" s="1422"/>
      <c r="E2" s="1422"/>
      <c r="F2" s="1422"/>
      <c r="G2" s="1422"/>
      <c r="H2" s="1422"/>
      <c r="I2" s="1422"/>
      <c r="J2" s="1422"/>
      <c r="K2" s="1422"/>
      <c r="L2" s="1423"/>
      <c r="M2" s="397"/>
    </row>
    <row r="3" spans="1:13" ht="14.1" customHeight="1">
      <c r="A3" s="397"/>
      <c r="B3" s="1567" t="s">
        <v>624</v>
      </c>
      <c r="C3" s="400"/>
      <c r="D3" s="400"/>
      <c r="E3" s="401"/>
      <c r="F3" s="401"/>
      <c r="G3" s="401"/>
      <c r="H3" s="401"/>
      <c r="I3" s="401"/>
      <c r="J3" s="401"/>
      <c r="K3" s="401"/>
      <c r="L3" s="402"/>
      <c r="M3" s="397"/>
    </row>
    <row r="4" spans="1:13" ht="12.95" customHeight="1">
      <c r="A4" s="397"/>
      <c r="B4" s="403" t="s">
        <v>118</v>
      </c>
      <c r="C4" s="1424">
        <v>2016</v>
      </c>
      <c r="D4" s="1425"/>
      <c r="E4" s="1426"/>
      <c r="F4" s="1424">
        <v>2015</v>
      </c>
      <c r="G4" s="1425"/>
      <c r="H4" s="1426"/>
      <c r="I4" s="1424" t="s">
        <v>447</v>
      </c>
      <c r="J4" s="1426"/>
      <c r="K4" s="1424" t="s">
        <v>448</v>
      </c>
      <c r="L4" s="1426"/>
      <c r="M4" s="397"/>
    </row>
    <row r="5" spans="1:13" ht="12.95" customHeight="1">
      <c r="A5" s="397"/>
      <c r="B5" s="404"/>
      <c r="C5" s="385" t="s">
        <v>119</v>
      </c>
      <c r="D5" s="386" t="s">
        <v>120</v>
      </c>
      <c r="E5" s="823" t="s">
        <v>11</v>
      </c>
      <c r="F5" s="385" t="s">
        <v>119</v>
      </c>
      <c r="G5" s="386" t="s">
        <v>120</v>
      </c>
      <c r="H5" s="387" t="s">
        <v>11</v>
      </c>
      <c r="I5" s="388" t="s">
        <v>119</v>
      </c>
      <c r="J5" s="389" t="s">
        <v>120</v>
      </c>
      <c r="K5" s="385" t="s">
        <v>119</v>
      </c>
      <c r="L5" s="405" t="s">
        <v>120</v>
      </c>
      <c r="M5" s="397"/>
    </row>
    <row r="6" spans="1:13" ht="12.95" customHeight="1">
      <c r="A6" s="397"/>
      <c r="B6" s="720" t="s">
        <v>121</v>
      </c>
      <c r="C6" s="721">
        <v>1704.2429999999999</v>
      </c>
      <c r="D6" s="721">
        <v>17190.07</v>
      </c>
      <c r="E6" s="722">
        <f t="shared" ref="E6:E14" si="0">(C6*1000)/D6</f>
        <v>99.141132060544251</v>
      </c>
      <c r="F6" s="721">
        <v>2615</v>
      </c>
      <c r="G6" s="721">
        <v>25696.666666666668</v>
      </c>
      <c r="H6" s="722">
        <f>(F6*1000)/G6</f>
        <v>101.76417174730834</v>
      </c>
      <c r="I6" s="390">
        <f>C6+SUM(F13:F18)-F15</f>
        <v>12681.019000000004</v>
      </c>
      <c r="J6" s="390">
        <f>D6+SUM(G13:G18)-G15</f>
        <v>110919.46999999997</v>
      </c>
      <c r="K6" s="390">
        <f>C6+SUM(F7:F18)-F15</f>
        <v>35843.019</v>
      </c>
      <c r="L6" s="1564">
        <f>D6+SUM(G7:G18)-G15</f>
        <v>274416.13666666666</v>
      </c>
      <c r="M6" s="788"/>
    </row>
    <row r="7" spans="1:13" ht="12.95" customHeight="1">
      <c r="A7" s="397"/>
      <c r="B7" s="723" t="s">
        <v>122</v>
      </c>
      <c r="C7" s="721">
        <v>2375.0749999999998</v>
      </c>
      <c r="D7" s="721">
        <v>20005.36</v>
      </c>
      <c r="E7" s="724">
        <f t="shared" si="0"/>
        <v>118.72193252208407</v>
      </c>
      <c r="F7" s="721">
        <v>3503</v>
      </c>
      <c r="G7" s="721">
        <v>24613.333333333332</v>
      </c>
      <c r="H7" s="724">
        <f>(F7*1000)/G7</f>
        <v>142.32123510292524</v>
      </c>
      <c r="I7" s="390">
        <f>SUM(C6:C7)+SUM(F14:F18)-F15</f>
        <v>13003.217999999997</v>
      </c>
      <c r="J7" s="390">
        <f>SUM(D6:D7)+SUM(G14:G18)-G15</f>
        <v>114420.82999999996</v>
      </c>
      <c r="K7" s="390">
        <f>SUM(C6+C7)+SUM(F8:F18)-F15</f>
        <v>34715.093999999997</v>
      </c>
      <c r="L7" s="407">
        <f>SUM(D6+D7)+SUM(G8:G18)-G15</f>
        <v>269808.16333333327</v>
      </c>
      <c r="M7" s="397"/>
    </row>
    <row r="8" spans="1:13" ht="12.95" customHeight="1">
      <c r="A8" s="397"/>
      <c r="B8" s="723" t="s">
        <v>123</v>
      </c>
      <c r="C8" s="721">
        <v>2992.078</v>
      </c>
      <c r="D8" s="721">
        <v>22923.373</v>
      </c>
      <c r="E8" s="724">
        <f t="shared" si="0"/>
        <v>130.52520673986328</v>
      </c>
      <c r="F8" s="721">
        <v>3664</v>
      </c>
      <c r="G8" s="721">
        <v>21926.666666666668</v>
      </c>
      <c r="H8" s="724">
        <f t="shared" ref="H8:H17" si="1">(F8*1000)/G8</f>
        <v>167.10246275463666</v>
      </c>
      <c r="I8" s="1124">
        <f>SUM(C6:C8)+SUM(F16:F18)</f>
        <v>14343.295999999998</v>
      </c>
      <c r="J8" s="390">
        <f>SUM(D6:D8)+SUM(G16:G18)</f>
        <v>123208.34299999999</v>
      </c>
      <c r="K8" s="390">
        <f>SUM(C6:C8)+SUM(F9:F18)-F15</f>
        <v>34043.172000000006</v>
      </c>
      <c r="L8" s="407">
        <f>SUM(D6:D8)+SUM(G9:G18)-G15</f>
        <v>270804.86966666667</v>
      </c>
      <c r="M8" s="397"/>
    </row>
    <row r="9" spans="1:13" ht="12.95" customHeight="1">
      <c r="A9" s="397"/>
      <c r="B9" s="723" t="s">
        <v>124</v>
      </c>
      <c r="C9" s="721">
        <v>4727.6080000000002</v>
      </c>
      <c r="D9" s="721">
        <v>41200.92</v>
      </c>
      <c r="E9" s="724">
        <f t="shared" si="0"/>
        <v>114.74520471872958</v>
      </c>
      <c r="F9" s="721">
        <v>4108</v>
      </c>
      <c r="G9" s="721">
        <v>26433.333333333332</v>
      </c>
      <c r="H9" s="724">
        <f t="shared" si="1"/>
        <v>155.40983606557378</v>
      </c>
      <c r="I9" s="390">
        <f>SUM(C6:C9)+SUM(F17+F18)</f>
        <v>16362.004000000001</v>
      </c>
      <c r="J9" s="390">
        <f>SUM(D6:D9)+SUM(G17+G18)</f>
        <v>139886.723</v>
      </c>
      <c r="K9" s="390">
        <f>SUM(C6:C9)+SUM(F10:F18)-F15</f>
        <v>34662.78</v>
      </c>
      <c r="L9" s="407">
        <f>SUM(D6:D9)+SUM(G10:G18)-G15</f>
        <v>285572.45633333328</v>
      </c>
      <c r="M9" s="397"/>
    </row>
    <row r="10" spans="1:13" ht="12.95" customHeight="1">
      <c r="A10" s="397"/>
      <c r="B10" s="723" t="s">
        <v>125</v>
      </c>
      <c r="C10" s="721">
        <v>5498.4309999999996</v>
      </c>
      <c r="D10" s="721">
        <v>40746.747000000003</v>
      </c>
      <c r="E10" s="724">
        <f t="shared" si="0"/>
        <v>134.94159423327707</v>
      </c>
      <c r="F10" s="721">
        <v>4077</v>
      </c>
      <c r="G10" s="721">
        <v>28123.333333333332</v>
      </c>
      <c r="H10" s="724">
        <f t="shared" si="1"/>
        <v>144.96859073130261</v>
      </c>
      <c r="I10" s="390">
        <f>SUM(C6:C10)+F18</f>
        <v>19772.435000000001</v>
      </c>
      <c r="J10" s="390">
        <f>SUM(D6:D10)+G18</f>
        <v>162606.47</v>
      </c>
      <c r="K10" s="390">
        <f>SUM(C6:C10)+SUM(F11:F18)-F15</f>
        <v>36084.210999999996</v>
      </c>
      <c r="L10" s="407">
        <f>SUM(D6:D10)+SUM(G11:G18)-G15</f>
        <v>298195.86999999994</v>
      </c>
      <c r="M10" s="397"/>
    </row>
    <row r="11" spans="1:13" ht="12.95" customHeight="1">
      <c r="A11" s="397"/>
      <c r="B11" s="723" t="s">
        <v>126</v>
      </c>
      <c r="C11" s="721">
        <v>4304.277</v>
      </c>
      <c r="D11" s="721">
        <v>38334.870000000003</v>
      </c>
      <c r="E11" s="724">
        <f t="shared" si="0"/>
        <v>112.28098595351959</v>
      </c>
      <c r="F11" s="721">
        <v>4392</v>
      </c>
      <c r="G11" s="721">
        <v>32890</v>
      </c>
      <c r="H11" s="724">
        <f t="shared" si="1"/>
        <v>133.53602918820309</v>
      </c>
      <c r="I11" s="390">
        <f t="shared" ref="I11:J14" si="2">SUM(C6:C11)</f>
        <v>21601.712</v>
      </c>
      <c r="J11" s="390">
        <f t="shared" si="2"/>
        <v>180401.34</v>
      </c>
      <c r="K11" s="390">
        <f>SUM(C6:C11)+SUM(F12:F18)-F15</f>
        <v>35996.487999999998</v>
      </c>
      <c r="L11" s="407">
        <f>SUM(D6:D11)+SUM(G12:G18)-G15</f>
        <v>303640.73999999993</v>
      </c>
      <c r="M11" s="397"/>
    </row>
    <row r="12" spans="1:13" ht="12.95" customHeight="1">
      <c r="A12" s="397"/>
      <c r="B12" s="723" t="s">
        <v>128</v>
      </c>
      <c r="C12" s="721">
        <v>3420.3409999999999</v>
      </c>
      <c r="D12" s="721">
        <v>29733.99</v>
      </c>
      <c r="E12" s="724">
        <f t="shared" si="0"/>
        <v>115.03134964395966</v>
      </c>
      <c r="F12" s="721">
        <v>3418</v>
      </c>
      <c r="G12" s="721">
        <v>29510</v>
      </c>
      <c r="H12" s="724">
        <f>(F12*1000)/G12</f>
        <v>115.82514401897662</v>
      </c>
      <c r="I12" s="1124">
        <f t="shared" si="2"/>
        <v>23317.809999999998</v>
      </c>
      <c r="J12" s="390">
        <f t="shared" si="2"/>
        <v>192945.25999999998</v>
      </c>
      <c r="K12" s="390">
        <f>SUM(C6:C12)+SUM(F13:F18)-F15</f>
        <v>35998.828999999998</v>
      </c>
      <c r="L12" s="407">
        <f>SUM(D6:D12)+SUM(G13:G18)-G15</f>
        <v>303864.72999999992</v>
      </c>
      <c r="M12" s="397"/>
    </row>
    <row r="13" spans="1:13" ht="12.95" customHeight="1">
      <c r="A13" s="397"/>
      <c r="B13" s="723" t="s">
        <v>129</v>
      </c>
      <c r="C13" s="721">
        <v>3370.3870000000002</v>
      </c>
      <c r="D13" s="721">
        <v>26274.77</v>
      </c>
      <c r="E13" s="724">
        <f t="shared" si="0"/>
        <v>128.27465283235591</v>
      </c>
      <c r="F13" s="721">
        <v>2052.8760000000002</v>
      </c>
      <c r="G13" s="721">
        <v>16504</v>
      </c>
      <c r="H13" s="724">
        <f t="shared" si="1"/>
        <v>124.38657295201165</v>
      </c>
      <c r="I13" s="390">
        <f t="shared" si="2"/>
        <v>24313.121999999999</v>
      </c>
      <c r="J13" s="390">
        <f t="shared" si="2"/>
        <v>199214.66999999998</v>
      </c>
      <c r="K13" s="390">
        <f>SUM(C6:C13)+SUM(F14:F18)-F15</f>
        <v>37316.339999999997</v>
      </c>
      <c r="L13" s="407">
        <f>SUM(D6:D13)+SUM(G14:G18)-G15</f>
        <v>313635.49999999994</v>
      </c>
      <c r="M13" s="397"/>
    </row>
    <row r="14" spans="1:13" ht="12.95" customHeight="1">
      <c r="A14" s="397"/>
      <c r="B14" s="723" t="s">
        <v>130</v>
      </c>
      <c r="C14" s="721">
        <v>3591.902</v>
      </c>
      <c r="D14" s="721">
        <v>31327.34</v>
      </c>
      <c r="E14" s="724">
        <f t="shared" si="0"/>
        <v>114.65710143280597</v>
      </c>
      <c r="F14" s="721">
        <v>1652</v>
      </c>
      <c r="G14" s="721">
        <v>14135.86</v>
      </c>
      <c r="H14" s="724">
        <f t="shared" si="1"/>
        <v>116.86589991694881</v>
      </c>
      <c r="I14" s="393">
        <f t="shared" si="2"/>
        <v>24912.945999999996</v>
      </c>
      <c r="J14" s="391">
        <f t="shared" si="2"/>
        <v>207618.63699999999</v>
      </c>
      <c r="K14" s="391">
        <f>SUM(C6:C14)+SUM(F16:F18)</f>
        <v>39256.241999999998</v>
      </c>
      <c r="L14" s="408">
        <f>SUM(D6:D14)+SUM(G16:G18)</f>
        <v>330826.98</v>
      </c>
      <c r="M14" s="397"/>
    </row>
    <row r="15" spans="1:13" ht="12.95" customHeight="1">
      <c r="A15" s="397"/>
      <c r="B15" s="729" t="s">
        <v>465</v>
      </c>
      <c r="C15" s="822">
        <f>SUM(C6:C14)</f>
        <v>31984.341999999997</v>
      </c>
      <c r="D15" s="822">
        <f>SUM(D6:D14)</f>
        <v>267737.44</v>
      </c>
      <c r="E15" s="395">
        <f>(C15*1000)/D15</f>
        <v>119.46159640579216</v>
      </c>
      <c r="F15" s="822">
        <f>SUM(F6:F14)</f>
        <v>29481.876</v>
      </c>
      <c r="G15" s="822">
        <f>SUM(G6:G14)</f>
        <v>219833.1933333333</v>
      </c>
      <c r="H15" s="395">
        <f>(F15*1000)/G15</f>
        <v>134.11021126048331</v>
      </c>
      <c r="I15" s="390"/>
      <c r="J15" s="390"/>
      <c r="K15" s="390"/>
      <c r="L15" s="407"/>
      <c r="M15" s="397"/>
    </row>
    <row r="16" spans="1:13" ht="12.95" customHeight="1">
      <c r="A16" s="397"/>
      <c r="B16" s="723" t="s">
        <v>131</v>
      </c>
      <c r="C16" s="721"/>
      <c r="D16" s="721"/>
      <c r="E16" s="724"/>
      <c r="F16" s="721">
        <v>2708.9</v>
      </c>
      <c r="G16" s="721">
        <v>24522.54</v>
      </c>
      <c r="H16" s="724">
        <f t="shared" si="1"/>
        <v>110.46571847777595</v>
      </c>
      <c r="I16" s="390"/>
      <c r="J16" s="390"/>
      <c r="K16" s="390"/>
      <c r="L16" s="407"/>
      <c r="M16" s="398"/>
    </row>
    <row r="17" spans="1:13" ht="12.95" customHeight="1">
      <c r="A17" s="397"/>
      <c r="B17" s="723" t="s">
        <v>132</v>
      </c>
      <c r="C17" s="721"/>
      <c r="D17" s="721"/>
      <c r="E17" s="724"/>
      <c r="F17" s="721">
        <v>2088</v>
      </c>
      <c r="G17" s="721">
        <v>18027</v>
      </c>
      <c r="H17" s="724">
        <f t="shared" si="1"/>
        <v>115.82626060908638</v>
      </c>
      <c r="I17" s="390"/>
      <c r="J17" s="390"/>
      <c r="K17" s="390"/>
      <c r="L17" s="407"/>
      <c r="M17" s="397"/>
    </row>
    <row r="18" spans="1:13" ht="12.95" customHeight="1">
      <c r="A18" s="397"/>
      <c r="B18" s="723" t="s">
        <v>133</v>
      </c>
      <c r="C18" s="727"/>
      <c r="D18" s="728"/>
      <c r="E18" s="731"/>
      <c r="F18" s="727">
        <v>2475</v>
      </c>
      <c r="G18" s="728">
        <v>20540</v>
      </c>
      <c r="H18" s="731">
        <f>(F18*1000)/G18</f>
        <v>120.49659201557935</v>
      </c>
      <c r="I18" s="393"/>
      <c r="J18" s="391"/>
      <c r="K18" s="391"/>
      <c r="L18" s="408"/>
      <c r="M18" s="397"/>
    </row>
    <row r="19" spans="1:13" ht="12.95" customHeight="1">
      <c r="A19" s="397"/>
      <c r="B19" s="729" t="s">
        <v>115</v>
      </c>
      <c r="C19" s="727">
        <f>SUM(C6:C18)-C15</f>
        <v>31984.341999999997</v>
      </c>
      <c r="D19" s="746">
        <f>SUM(D6:D18)-D15</f>
        <v>267737.44</v>
      </c>
      <c r="E19" s="733">
        <f>(C19*1000)/D19</f>
        <v>119.46159640579216</v>
      </c>
      <c r="F19" s="746">
        <f>SUM(F6:F18)-F15</f>
        <v>36753.775999999998</v>
      </c>
      <c r="G19" s="746">
        <f>SUM(G6:G18)-G15</f>
        <v>282922.73333333328</v>
      </c>
      <c r="H19" s="730">
        <f>(F19*1000)/G19</f>
        <v>129.90746825811809</v>
      </c>
      <c r="I19" s="495"/>
      <c r="J19" s="495"/>
      <c r="K19" s="495"/>
      <c r="L19" s="549"/>
      <c r="M19" s="397"/>
    </row>
    <row r="20" spans="1:13" ht="12" customHeight="1">
      <c r="A20" s="397"/>
      <c r="B20" s="411" t="s">
        <v>116</v>
      </c>
      <c r="C20" s="412"/>
      <c r="D20" s="396" t="s">
        <v>340</v>
      </c>
      <c r="E20" s="487"/>
      <c r="F20" s="396"/>
      <c r="G20" s="413"/>
      <c r="H20" s="132"/>
      <c r="I20" s="132"/>
      <c r="J20" s="396" t="s">
        <v>135</v>
      </c>
      <c r="K20" s="132"/>
      <c r="L20" s="76"/>
      <c r="M20" s="397"/>
    </row>
    <row r="21" spans="1:13" ht="12" customHeight="1">
      <c r="A21" s="397"/>
      <c r="B21" s="411" t="s">
        <v>319</v>
      </c>
      <c r="C21" s="412"/>
      <c r="D21" s="396" t="s">
        <v>134</v>
      </c>
      <c r="E21" s="487"/>
      <c r="F21" s="487"/>
      <c r="G21" s="413"/>
      <c r="H21" s="132"/>
      <c r="I21" s="132"/>
      <c r="J21" s="396" t="s">
        <v>136</v>
      </c>
      <c r="K21" s="132"/>
      <c r="L21" s="76"/>
      <c r="M21" s="397"/>
    </row>
    <row r="22" spans="1:13" ht="15" customHeight="1">
      <c r="A22" s="397"/>
      <c r="B22" s="139"/>
      <c r="C22" s="412"/>
      <c r="D22" s="412"/>
      <c r="E22" s="132"/>
      <c r="F22" s="413"/>
      <c r="G22" s="413"/>
      <c r="H22" s="132"/>
      <c r="I22" s="132"/>
      <c r="J22" s="132"/>
      <c r="K22" s="132"/>
      <c r="L22" s="76"/>
      <c r="M22" s="397"/>
    </row>
    <row r="23" spans="1:13" ht="15" customHeight="1">
      <c r="A23" s="397"/>
      <c r="B23" s="414"/>
      <c r="C23" s="412"/>
      <c r="D23" s="412"/>
      <c r="E23" s="140"/>
      <c r="F23" s="140"/>
      <c r="G23" s="140"/>
      <c r="H23" s="140"/>
      <c r="I23" s="140"/>
      <c r="J23" s="140"/>
      <c r="K23" s="140"/>
      <c r="L23" s="141"/>
      <c r="M23" s="397"/>
    </row>
    <row r="24" spans="1:13" ht="15" customHeight="1">
      <c r="A24" s="397"/>
      <c r="B24" s="137"/>
      <c r="C24" s="132"/>
      <c r="D24" s="132"/>
      <c r="E24" s="132"/>
      <c r="F24" s="132"/>
      <c r="G24" s="132"/>
      <c r="H24" s="132"/>
      <c r="I24" s="132"/>
      <c r="J24" s="132"/>
      <c r="K24" s="132"/>
      <c r="L24" s="76"/>
      <c r="M24" s="397"/>
    </row>
    <row r="25" spans="1:13" ht="15" customHeight="1">
      <c r="A25" s="397"/>
      <c r="B25" s="137"/>
      <c r="C25" s="132"/>
      <c r="D25" s="132"/>
      <c r="E25" s="132"/>
      <c r="F25" s="132"/>
      <c r="G25" s="132"/>
      <c r="H25" s="132"/>
      <c r="I25" s="132"/>
      <c r="J25" s="132"/>
      <c r="K25" s="132"/>
      <c r="L25" s="76"/>
      <c r="M25" s="397"/>
    </row>
    <row r="26" spans="1:13" ht="15" customHeight="1">
      <c r="A26" s="397"/>
      <c r="B26" s="137"/>
      <c r="C26" s="132"/>
      <c r="D26" s="132"/>
      <c r="E26" s="132"/>
      <c r="F26" s="132"/>
      <c r="G26" s="132"/>
      <c r="H26" s="132"/>
      <c r="I26" s="132"/>
      <c r="J26" s="132"/>
      <c r="K26" s="132"/>
      <c r="L26" s="76"/>
      <c r="M26" s="397"/>
    </row>
    <row r="27" spans="1:13" ht="15" customHeight="1">
      <c r="A27" s="397"/>
      <c r="B27" s="137"/>
      <c r="C27" s="132"/>
      <c r="D27" s="132"/>
      <c r="E27" s="132"/>
      <c r="F27" s="132"/>
      <c r="G27" s="132"/>
      <c r="H27" s="132"/>
      <c r="I27" s="132"/>
      <c r="J27" s="132"/>
      <c r="K27" s="132"/>
      <c r="L27" s="76"/>
      <c r="M27" s="397"/>
    </row>
    <row r="28" spans="1:13" ht="15" customHeight="1">
      <c r="A28" s="397"/>
      <c r="B28" s="137"/>
      <c r="C28" s="132"/>
      <c r="D28" s="132"/>
      <c r="E28" s="132"/>
      <c r="F28" s="132"/>
      <c r="G28" s="132"/>
      <c r="H28" s="132"/>
      <c r="I28" s="132"/>
      <c r="J28" s="132"/>
      <c r="K28" s="132"/>
      <c r="L28" s="76"/>
      <c r="M28" s="397"/>
    </row>
    <row r="29" spans="1:13" ht="15" customHeight="1">
      <c r="A29" s="397"/>
      <c r="B29" s="137"/>
      <c r="C29" s="132"/>
      <c r="D29" s="132"/>
      <c r="E29" s="132"/>
      <c r="F29" s="132"/>
      <c r="G29" s="132"/>
      <c r="H29" s="132"/>
      <c r="I29" s="132"/>
      <c r="J29" s="132"/>
      <c r="K29" s="132"/>
      <c r="L29" s="76"/>
      <c r="M29" s="397"/>
    </row>
    <row r="30" spans="1:13" ht="15" customHeight="1">
      <c r="A30" s="397"/>
      <c r="B30" s="137"/>
      <c r="C30" s="132"/>
      <c r="D30" s="132"/>
      <c r="E30" s="132"/>
      <c r="F30" s="132"/>
      <c r="G30" s="132"/>
      <c r="H30" s="132"/>
      <c r="I30" s="132"/>
      <c r="J30" s="132"/>
      <c r="K30" s="132"/>
      <c r="L30" s="76"/>
      <c r="M30" s="397"/>
    </row>
    <row r="31" spans="1:13" ht="15" customHeight="1">
      <c r="A31" s="397"/>
      <c r="B31" s="137"/>
      <c r="C31" s="132"/>
      <c r="D31" s="132"/>
      <c r="E31" s="132"/>
      <c r="F31" s="132"/>
      <c r="G31" s="132"/>
      <c r="H31" s="132"/>
      <c r="I31" s="132"/>
      <c r="J31" s="132"/>
      <c r="K31" s="132"/>
      <c r="L31" s="76"/>
      <c r="M31" s="397"/>
    </row>
    <row r="32" spans="1:13" ht="15" customHeight="1">
      <c r="A32" s="397"/>
      <c r="B32" s="137"/>
      <c r="C32" s="132"/>
      <c r="D32" s="132"/>
      <c r="E32" s="132"/>
      <c r="F32" s="132"/>
      <c r="G32" s="132"/>
      <c r="H32" s="132"/>
      <c r="I32" s="132"/>
      <c r="J32" s="132"/>
      <c r="K32" s="132"/>
      <c r="L32" s="76"/>
      <c r="M32" s="397"/>
    </row>
    <row r="33" spans="1:13" ht="15" customHeight="1">
      <c r="A33" s="397"/>
      <c r="B33" s="415"/>
      <c r="C33" s="112"/>
      <c r="D33" s="112"/>
      <c r="E33" s="112"/>
      <c r="F33" s="112"/>
      <c r="G33" s="112"/>
      <c r="H33" s="112"/>
      <c r="I33" s="112"/>
      <c r="J33" s="112"/>
      <c r="K33" s="112"/>
      <c r="L33" s="416"/>
      <c r="M33" s="397"/>
    </row>
    <row r="34" spans="1:13" ht="15" customHeight="1">
      <c r="A34" s="397"/>
      <c r="B34" s="399"/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7"/>
    </row>
    <row r="35" spans="1:13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3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3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3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3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2:1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2:1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2:1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2:1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2:1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2:1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2:1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2:1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2:1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2:1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2:1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2:1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2:1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2:1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2:1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2:1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2:1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2:1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2:1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2:1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2:1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2:1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2:1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2:1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2:1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2:1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</sheetData>
  <mergeCells count="6">
    <mergeCell ref="A1:M1"/>
    <mergeCell ref="B2:L2"/>
    <mergeCell ref="C4:E4"/>
    <mergeCell ref="F4:H4"/>
    <mergeCell ref="I4:J4"/>
    <mergeCell ref="K4:L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91"/>
  <sheetViews>
    <sheetView workbookViewId="0">
      <selection activeCell="S29" sqref="S29"/>
    </sheetView>
  </sheetViews>
  <sheetFormatPr defaultColWidth="11.42578125" defaultRowHeight="14.25"/>
  <cols>
    <col min="1" max="1" width="2.7109375" style="2" customWidth="1"/>
    <col min="2" max="2" width="9.5703125" style="2" customWidth="1"/>
    <col min="3" max="3" width="10" style="2" customWidth="1"/>
    <col min="4" max="4" width="6.28515625" style="2" bestFit="1" customWidth="1"/>
    <col min="5" max="5" width="6.5703125" style="2" bestFit="1" customWidth="1"/>
    <col min="6" max="6" width="11.28515625" style="2" bestFit="1" customWidth="1"/>
    <col min="7" max="7" width="6.28515625" style="2" bestFit="1" customWidth="1"/>
    <col min="8" max="8" width="7.28515625" style="2" bestFit="1" customWidth="1"/>
    <col min="9" max="9" width="7.85546875" style="2" bestFit="1" customWidth="1"/>
    <col min="10" max="10" width="5.28515625" style="2" bestFit="1" customWidth="1"/>
    <col min="11" max="11" width="6.5703125" style="2" bestFit="1" customWidth="1"/>
    <col min="12" max="12" width="10.28515625" style="2" customWidth="1"/>
    <col min="13" max="13" width="9.42578125" style="2" bestFit="1" customWidth="1"/>
    <col min="14" max="14" width="11.140625" style="2" customWidth="1"/>
    <col min="15" max="15" width="9.42578125" style="2" bestFit="1" customWidth="1"/>
    <col min="16" max="16" width="7.85546875" style="2" bestFit="1" customWidth="1"/>
    <col min="17" max="17" width="5.28515625" style="2" bestFit="1" customWidth="1"/>
    <col min="18" max="18" width="2.7109375" style="2" customWidth="1"/>
    <col min="19" max="16384" width="11.42578125" style="2"/>
  </cols>
  <sheetData>
    <row r="1" spans="1:18" ht="15" customHeight="1">
      <c r="A1" s="1420" t="s">
        <v>417</v>
      </c>
      <c r="B1" s="1420"/>
      <c r="C1" s="1420"/>
      <c r="D1" s="1420"/>
      <c r="E1" s="1420"/>
      <c r="F1" s="1420"/>
      <c r="G1" s="1420"/>
      <c r="H1" s="1420"/>
      <c r="I1" s="1420"/>
      <c r="J1" s="1420"/>
      <c r="K1" s="1420"/>
      <c r="L1" s="1420"/>
      <c r="M1" s="1420"/>
      <c r="N1" s="1420"/>
      <c r="O1" s="1420"/>
      <c r="P1" s="1420"/>
      <c r="Q1" s="1420"/>
      <c r="R1" s="1420"/>
    </row>
    <row r="2" spans="1:18" ht="22.5" customHeight="1">
      <c r="A2" s="397"/>
      <c r="B2" s="1421" t="s">
        <v>344</v>
      </c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3"/>
      <c r="R2" s="397"/>
    </row>
    <row r="3" spans="1:18" ht="14.1" customHeight="1" thickBot="1">
      <c r="A3" s="397"/>
      <c r="B3" s="1567" t="s">
        <v>624</v>
      </c>
      <c r="C3" s="499"/>
      <c r="D3" s="499"/>
      <c r="E3" s="499"/>
      <c r="F3" s="499"/>
      <c r="G3" s="499"/>
      <c r="H3" s="499"/>
      <c r="I3" s="500"/>
      <c r="J3" s="500"/>
      <c r="K3" s="500"/>
      <c r="L3" s="500"/>
      <c r="M3" s="500"/>
      <c r="N3" s="500"/>
      <c r="O3" s="500"/>
      <c r="P3" s="500"/>
      <c r="Q3" s="501"/>
      <c r="R3" s="397"/>
    </row>
    <row r="4" spans="1:18" ht="12.95" customHeight="1">
      <c r="A4" s="397"/>
      <c r="B4" s="1437" t="s">
        <v>118</v>
      </c>
      <c r="C4" s="1434">
        <v>2016</v>
      </c>
      <c r="D4" s="1435"/>
      <c r="E4" s="1435"/>
      <c r="F4" s="1435"/>
      <c r="G4" s="1435"/>
      <c r="H4" s="1435"/>
      <c r="I4" s="1435"/>
      <c r="J4" s="1435"/>
      <c r="K4" s="1436"/>
      <c r="L4" s="1427">
        <v>2015</v>
      </c>
      <c r="M4" s="1418"/>
      <c r="N4" s="1428"/>
      <c r="O4" s="1428"/>
      <c r="P4" s="1428"/>
      <c r="Q4" s="506"/>
      <c r="R4" s="397"/>
    </row>
    <row r="5" spans="1:18" ht="12.95" customHeight="1">
      <c r="A5" s="397"/>
      <c r="B5" s="1438"/>
      <c r="C5" s="1431" t="s">
        <v>119</v>
      </c>
      <c r="D5" s="1429" t="s">
        <v>347</v>
      </c>
      <c r="E5" s="1430"/>
      <c r="F5" s="1431" t="s">
        <v>120</v>
      </c>
      <c r="G5" s="1433" t="s">
        <v>347</v>
      </c>
      <c r="H5" s="1430"/>
      <c r="I5" s="497" t="s">
        <v>11</v>
      </c>
      <c r="J5" s="1433" t="s">
        <v>347</v>
      </c>
      <c r="K5" s="1430"/>
      <c r="L5" s="1431" t="s">
        <v>119</v>
      </c>
      <c r="M5" s="498" t="s">
        <v>530</v>
      </c>
      <c r="N5" s="1431" t="s">
        <v>120</v>
      </c>
      <c r="O5" s="498" t="s">
        <v>530</v>
      </c>
      <c r="P5" s="497" t="s">
        <v>11</v>
      </c>
      <c r="Q5" s="498" t="s">
        <v>350</v>
      </c>
      <c r="R5" s="397"/>
    </row>
    <row r="6" spans="1:18" ht="12.95" customHeight="1" thickBot="1">
      <c r="A6" s="397"/>
      <c r="B6" s="1432"/>
      <c r="C6" s="1432"/>
      <c r="D6" s="502" t="s">
        <v>348</v>
      </c>
      <c r="E6" s="503" t="s">
        <v>449</v>
      </c>
      <c r="F6" s="1432"/>
      <c r="G6" s="503" t="s">
        <v>348</v>
      </c>
      <c r="H6" s="504" t="s">
        <v>449</v>
      </c>
      <c r="I6" s="505" t="s">
        <v>349</v>
      </c>
      <c r="J6" s="503" t="s">
        <v>348</v>
      </c>
      <c r="K6" s="504" t="s">
        <v>449</v>
      </c>
      <c r="L6" s="1432"/>
      <c r="M6" s="502" t="s">
        <v>529</v>
      </c>
      <c r="N6" s="1432"/>
      <c r="O6" s="502" t="s">
        <v>529</v>
      </c>
      <c r="P6" s="505" t="s">
        <v>349</v>
      </c>
      <c r="Q6" s="503" t="s">
        <v>12</v>
      </c>
      <c r="R6" s="397"/>
    </row>
    <row r="7" spans="1:18" ht="12.95" customHeight="1">
      <c r="A7" s="397"/>
      <c r="B7" s="88" t="s">
        <v>121</v>
      </c>
      <c r="C7" s="734">
        <f>'14.Exp. Verde'!C6+'15.Exp. Solúvel'!C6+'16.Exp. Torrado'!C6+'17.Exp. Extrato'!C6</f>
        <v>403561.34</v>
      </c>
      <c r="D7" s="736">
        <v>0</v>
      </c>
      <c r="E7" s="736">
        <f t="shared" ref="E7:E15" si="0">(C7/L7-1)*100</f>
        <v>-31.487830964491124</v>
      </c>
      <c r="F7" s="734">
        <f>'14.Exp. Verde'!D6+'15.Exp. Solúvel'!D6+'16.Exp. Torrado'!D6+'17.Exp. Extrato'!D6</f>
        <v>2754948.07</v>
      </c>
      <c r="G7" s="735" t="s">
        <v>345</v>
      </c>
      <c r="H7" s="736">
        <f t="shared" ref="H7:H15" si="1">(F7/N7-1)*100</f>
        <v>-7.5623869463327331</v>
      </c>
      <c r="I7" s="737">
        <f t="shared" ref="I7:I15" si="2">(C7*1000)/F7</f>
        <v>146.48600617724168</v>
      </c>
      <c r="J7" s="738" t="s">
        <v>345</v>
      </c>
      <c r="K7" s="736">
        <f t="shared" ref="K7:K15" si="3">(I7/P7-1)*100</f>
        <v>-25.88280162996832</v>
      </c>
      <c r="L7" s="734">
        <f>'14.Exp. Verde'!F6+'15.Exp. Solúvel'!F6+'16.Exp. Torrado'!F6+'17.Exp. Extrato'!F6</f>
        <v>589036</v>
      </c>
      <c r="M7" s="735" t="s">
        <v>345</v>
      </c>
      <c r="N7" s="739">
        <f>'14.Exp. Verde'!G6+'15.Exp. Solúvel'!G6+'16.Exp. Torrado'!G6+'17.Exp. Extrato'!G6</f>
        <v>2980332.3333333335</v>
      </c>
      <c r="O7" s="735" t="s">
        <v>345</v>
      </c>
      <c r="P7" s="724">
        <f t="shared" ref="P7:P15" si="4">(L7*1000)/N7</f>
        <v>197.64104607126026</v>
      </c>
      <c r="Q7" s="735" t="s">
        <v>345</v>
      </c>
      <c r="R7" s="397"/>
    </row>
    <row r="8" spans="1:18" ht="12.95" customHeight="1">
      <c r="A8" s="824"/>
      <c r="B8" s="88" t="s">
        <v>122</v>
      </c>
      <c r="C8" s="734">
        <f>'14.Exp. Verde'!C7+'15.Exp. Solúvel'!C7+'16.Exp. Torrado'!C7+'17.Exp. Extrato'!C7</f>
        <v>447537.25</v>
      </c>
      <c r="D8" s="740">
        <f t="shared" ref="D8:D15" si="5">(C8/C7-1)*100</f>
        <v>10.896958068381867</v>
      </c>
      <c r="E8" s="740">
        <f t="shared" si="0"/>
        <v>-17.125800896263101</v>
      </c>
      <c r="F8" s="734">
        <f>'14.Exp. Verde'!D7+'15.Exp. Solúvel'!D7+'16.Exp. Torrado'!D7+'17.Exp. Extrato'!D7</f>
        <v>3009104.4</v>
      </c>
      <c r="G8" s="740">
        <f t="shared" ref="G8:G15" si="6">(F8/F7-1)*100</f>
        <v>9.2254490299702887</v>
      </c>
      <c r="H8" s="740">
        <f t="shared" si="1"/>
        <v>8.3624038977392789</v>
      </c>
      <c r="I8" s="741">
        <f t="shared" si="2"/>
        <v>148.72772443521734</v>
      </c>
      <c r="J8" s="740">
        <f t="shared" ref="J8:J15" si="7">(I8/I7-1)*100</f>
        <v>1.5303292897911991</v>
      </c>
      <c r="K8" s="740">
        <f t="shared" si="3"/>
        <v>-23.521261874233979</v>
      </c>
      <c r="L8" s="734">
        <f>'14.Exp. Verde'!F7+'15.Exp. Solúvel'!F7+'16.Exp. Torrado'!F7+'17.Exp. Extrato'!F7</f>
        <v>540020</v>
      </c>
      <c r="M8" s="740">
        <f t="shared" ref="M8:M15" si="8">(L8/L7-1)*100</f>
        <v>-8.3213929199573489</v>
      </c>
      <c r="N8" s="734">
        <f>'14.Exp. Verde'!G7+'15.Exp. Solúvel'!G7+'16.Exp. Torrado'!G7+'17.Exp. Extrato'!G7</f>
        <v>2776889.6700000004</v>
      </c>
      <c r="O8" s="740">
        <f t="shared" ref="O8:O15" si="9">(N8/N7-1)*100</f>
        <v>-6.8261737477375188</v>
      </c>
      <c r="P8" s="743">
        <f t="shared" si="4"/>
        <v>194.4693755153765</v>
      </c>
      <c r="Q8" s="740">
        <f t="shared" ref="Q8:Q15" si="10">(P8/P7-1)*100</f>
        <v>-1.6047630889082676</v>
      </c>
      <c r="R8" s="397"/>
    </row>
    <row r="9" spans="1:18" ht="12.95" customHeight="1">
      <c r="A9" s="397"/>
      <c r="B9" s="88" t="s">
        <v>123</v>
      </c>
      <c r="C9" s="734">
        <f>'14.Exp. Verde'!C8+'15.Exp. Solúvel'!C8+'16.Exp. Torrado'!C8+'17.Exp. Extrato'!C8</f>
        <v>454818.86099999998</v>
      </c>
      <c r="D9" s="740">
        <f t="shared" si="5"/>
        <v>1.6270402072676493</v>
      </c>
      <c r="E9" s="740">
        <f t="shared" si="0"/>
        <v>-20.941902877991726</v>
      </c>
      <c r="F9" s="734">
        <f>'14.Exp. Verde'!D8+'15.Exp. Solúvel'!D8+'16.Exp. Torrado'!D8+'17.Exp. Extrato'!D8</f>
        <v>3108436.9210000001</v>
      </c>
      <c r="G9" s="740">
        <f t="shared" si="6"/>
        <v>3.3010659583629032</v>
      </c>
      <c r="H9" s="740">
        <f t="shared" si="1"/>
        <v>-2.129463208227822</v>
      </c>
      <c r="I9" s="741">
        <f t="shared" si="2"/>
        <v>146.31754562150886</v>
      </c>
      <c r="J9" s="740">
        <f t="shared" si="7"/>
        <v>-1.620530955382371</v>
      </c>
      <c r="K9" s="740">
        <f t="shared" si="3"/>
        <v>-19.221759976435948</v>
      </c>
      <c r="L9" s="734">
        <f>'14.Exp. Verde'!F8+'15.Exp. Solúvel'!F8+'16.Exp. Torrado'!F8+'17.Exp. Extrato'!F8</f>
        <v>575297</v>
      </c>
      <c r="M9" s="740">
        <f t="shared" si="8"/>
        <v>6.5325358320062143</v>
      </c>
      <c r="N9" s="734">
        <f>'14.Exp. Verde'!G8+'15.Exp. Solúvel'!G8+'16.Exp. Torrado'!G8+'17.Exp. Extrato'!G8</f>
        <v>3176070.166666667</v>
      </c>
      <c r="O9" s="740">
        <f t="shared" si="9"/>
        <v>14.375093867761279</v>
      </c>
      <c r="P9" s="743">
        <f t="shared" si="4"/>
        <v>181.13485213199266</v>
      </c>
      <c r="Q9" s="740">
        <f t="shared" si="10"/>
        <v>-6.8568757152868471</v>
      </c>
      <c r="R9" s="397"/>
    </row>
    <row r="10" spans="1:18" ht="12.95" customHeight="1">
      <c r="A10" s="788"/>
      <c r="B10" s="88" t="s">
        <v>124</v>
      </c>
      <c r="C10" s="734">
        <f>'14.Exp. Verde'!C9+'15.Exp. Solúvel'!C9+'16.Exp. Torrado'!C9+'17.Exp. Extrato'!C9</f>
        <v>371491.37800000003</v>
      </c>
      <c r="D10" s="740">
        <f t="shared" si="5"/>
        <v>-18.321026268961159</v>
      </c>
      <c r="E10" s="740">
        <f t="shared" si="0"/>
        <v>-29.269511691269003</v>
      </c>
      <c r="F10" s="734">
        <f>'14.Exp. Verde'!D9+'15.Exp. Solúvel'!D9+'16.Exp. Torrado'!D9+'17.Exp. Extrato'!D9</f>
        <v>2542429.4202999999</v>
      </c>
      <c r="G10" s="740">
        <f t="shared" si="6"/>
        <v>-18.208749769897626</v>
      </c>
      <c r="H10" s="740">
        <f t="shared" si="1"/>
        <v>-19.285772637556509</v>
      </c>
      <c r="I10" s="741">
        <f t="shared" si="2"/>
        <v>146.11669257515319</v>
      </c>
      <c r="J10" s="740">
        <f t="shared" si="7"/>
        <v>-0.13727201717504967</v>
      </c>
      <c r="K10" s="740">
        <f t="shared" si="3"/>
        <v>-12.369243168098453</v>
      </c>
      <c r="L10" s="734">
        <f>'14.Exp. Verde'!F9+'15.Exp. Solúvel'!F9+'16.Exp. Torrado'!F9+'17.Exp. Extrato'!F9</f>
        <v>525221</v>
      </c>
      <c r="M10" s="740">
        <f t="shared" si="8"/>
        <v>-8.7043735670444988</v>
      </c>
      <c r="N10" s="734">
        <f>'14.Exp. Verde'!G9+'15.Exp. Solúvel'!G9+'16.Exp. Torrado'!G9+'17.Exp. Extrato'!G9</f>
        <v>3149914.8333333335</v>
      </c>
      <c r="O10" s="740">
        <f t="shared" si="9"/>
        <v>-0.8235124528367721</v>
      </c>
      <c r="P10" s="743">
        <f t="shared" si="4"/>
        <v>166.74133358843721</v>
      </c>
      <c r="Q10" s="740">
        <f t="shared" si="10"/>
        <v>-7.9462998832863558</v>
      </c>
      <c r="R10" s="397"/>
    </row>
    <row r="11" spans="1:18" ht="12.95" customHeight="1">
      <c r="A11" s="397"/>
      <c r="B11" s="88" t="s">
        <v>125</v>
      </c>
      <c r="C11" s="734">
        <f>'14.Exp. Verde'!C10+'15.Exp. Solúvel'!C10+'16.Exp. Torrado'!C10+'17.Exp. Extrato'!C10</f>
        <v>361323.83699999994</v>
      </c>
      <c r="D11" s="740">
        <f t="shared" si="5"/>
        <v>-2.7369520807559833</v>
      </c>
      <c r="E11" s="740">
        <f t="shared" si="0"/>
        <v>-25.32456004745185</v>
      </c>
      <c r="F11" s="734">
        <f>'14.Exp. Verde'!D10+'15.Exp. Solúvel'!D10+'16.Exp. Torrado'!D10+'17.Exp. Extrato'!D10</f>
        <v>2479953.301</v>
      </c>
      <c r="G11" s="740">
        <f t="shared" si="6"/>
        <v>-2.4573393778863584</v>
      </c>
      <c r="H11" s="740">
        <f t="shared" si="1"/>
        <v>-15.272712516608401</v>
      </c>
      <c r="I11" s="741">
        <f t="shared" si="2"/>
        <v>145.69783909007566</v>
      </c>
      <c r="J11" s="740">
        <f t="shared" si="7"/>
        <v>-0.2866568341342024</v>
      </c>
      <c r="K11" s="736">
        <f t="shared" si="3"/>
        <v>-11.86376647879095</v>
      </c>
      <c r="L11" s="734">
        <f>'14.Exp. Verde'!F10+'15.Exp. Solúvel'!F10+'16.Exp. Torrado'!F10+'17.Exp. Extrato'!F10</f>
        <v>483859</v>
      </c>
      <c r="M11" s="740">
        <f t="shared" si="8"/>
        <v>-7.8751611226512308</v>
      </c>
      <c r="N11" s="734">
        <f>'14.Exp. Verde'!G10+'15.Exp. Solúvel'!G10+'16.Exp. Torrado'!G10+'17.Exp. Extrato'!G10</f>
        <v>2926983</v>
      </c>
      <c r="O11" s="740">
        <f t="shared" si="9"/>
        <v>-7.0773924099217789</v>
      </c>
      <c r="P11" s="743">
        <f t="shared" si="4"/>
        <v>165.30980876896109</v>
      </c>
      <c r="Q11" s="740">
        <f t="shared" si="10"/>
        <v>-0.85853026881116401</v>
      </c>
      <c r="R11" s="397"/>
    </row>
    <row r="12" spans="1:18" ht="12.95" customHeight="1">
      <c r="A12" s="824"/>
      <c r="B12" s="88" t="s">
        <v>126</v>
      </c>
      <c r="C12" s="734">
        <f>'14.Exp. Verde'!C11+'15.Exp. Solúvel'!C11+'16.Exp. Torrado'!C11+'17.Exp. Extrato'!C11</f>
        <v>353979.89999999997</v>
      </c>
      <c r="D12" s="740">
        <f t="shared" si="5"/>
        <v>-2.0325083063921889</v>
      </c>
      <c r="E12" s="740">
        <f t="shared" si="0"/>
        <v>-21.2664148828271</v>
      </c>
      <c r="F12" s="734">
        <f>'14.Exp. Verde'!D11+'15.Exp. Solúvel'!D11+'16.Exp. Torrado'!D11+'17.Exp. Extrato'!D11</f>
        <v>2412817.5550000002</v>
      </c>
      <c r="G12" s="740">
        <f t="shared" si="6"/>
        <v>-2.7071375083122962</v>
      </c>
      <c r="H12" s="740">
        <f t="shared" si="1"/>
        <v>-11.642619247997288</v>
      </c>
      <c r="I12" s="741">
        <f t="shared" si="2"/>
        <v>146.70810864520584</v>
      </c>
      <c r="J12" s="740">
        <f t="shared" si="7"/>
        <v>0.69340050713146972</v>
      </c>
      <c r="K12" s="740">
        <f t="shared" si="3"/>
        <v>-10.891897827801655</v>
      </c>
      <c r="L12" s="734">
        <f>'14.Exp. Verde'!F11+'15.Exp. Solúvel'!F11+'16.Exp. Torrado'!F11+'17.Exp. Extrato'!F11</f>
        <v>449592</v>
      </c>
      <c r="M12" s="740">
        <f t="shared" si="8"/>
        <v>-7.0820218286732235</v>
      </c>
      <c r="N12" s="734">
        <f>'14.Exp. Verde'!G11+'15.Exp. Solúvel'!G11+'16.Exp. Torrado'!G11+'17.Exp. Extrato'!G11</f>
        <v>2730748.1666666665</v>
      </c>
      <c r="O12" s="736">
        <f t="shared" si="9"/>
        <v>-6.7043379935357805</v>
      </c>
      <c r="P12" s="743">
        <f t="shared" si="4"/>
        <v>164.64059391782069</v>
      </c>
      <c r="Q12" s="740">
        <f t="shared" si="10"/>
        <v>-0.40482464780762228</v>
      </c>
      <c r="R12" s="397"/>
    </row>
    <row r="13" spans="1:18" ht="12.95" customHeight="1">
      <c r="A13" s="824"/>
      <c r="B13" s="88" t="s">
        <v>128</v>
      </c>
      <c r="C13" s="734">
        <f>'14.Exp. Verde'!C12+'15.Exp. Solúvel'!C12+'16.Exp. Torrado'!C12+'17.Exp. Extrato'!C12</f>
        <v>323029.81099999999</v>
      </c>
      <c r="D13" s="740">
        <f t="shared" si="5"/>
        <v>-8.7434594450136789</v>
      </c>
      <c r="E13" s="740">
        <f t="shared" si="0"/>
        <v>-29.927849482425017</v>
      </c>
      <c r="F13" s="734">
        <f>'14.Exp. Verde'!D12+'15.Exp. Solúvel'!D12+'16.Exp. Torrado'!D12+'17.Exp. Extrato'!D12</f>
        <v>2077198.5404999994</v>
      </c>
      <c r="G13" s="740">
        <f t="shared" si="6"/>
        <v>-13.909838056528923</v>
      </c>
      <c r="H13" s="740">
        <f t="shared" si="1"/>
        <v>-27.06137984783026</v>
      </c>
      <c r="I13" s="741">
        <f t="shared" si="2"/>
        <v>155.5122462787038</v>
      </c>
      <c r="J13" s="740">
        <f t="shared" si="7"/>
        <v>6.0011254420773819</v>
      </c>
      <c r="K13" s="740">
        <f t="shared" si="3"/>
        <v>-3.9299751333580435</v>
      </c>
      <c r="L13" s="734">
        <f>'14.Exp. Verde'!F12+'15.Exp. Solúvel'!F12+'16.Exp. Torrado'!F12+'17.Exp. Extrato'!F12</f>
        <v>460996</v>
      </c>
      <c r="M13" s="740">
        <f t="shared" si="8"/>
        <v>2.536522002170849</v>
      </c>
      <c r="N13" s="734">
        <f>'14.Exp. Verde'!G12+'15.Exp. Solúvel'!G12+'16.Exp. Torrado'!G12+'17.Exp. Extrato'!G12</f>
        <v>2847872</v>
      </c>
      <c r="O13" s="740">
        <f t="shared" si="9"/>
        <v>4.2890748683099167</v>
      </c>
      <c r="P13" s="743">
        <f t="shared" si="4"/>
        <v>161.87384826284327</v>
      </c>
      <c r="Q13" s="740">
        <f t="shared" si="10"/>
        <v>-1.6804759926694834</v>
      </c>
      <c r="R13" s="788"/>
    </row>
    <row r="14" spans="1:18" ht="12.95" customHeight="1">
      <c r="A14" s="397"/>
      <c r="B14" s="821" t="s">
        <v>129</v>
      </c>
      <c r="C14" s="545">
        <f>'14.Exp. Verde'!C13+'15.Exp. Solúvel'!C13+'16.Exp. Torrado'!C13+'17.Exp. Extrato'!C13</f>
        <v>476881.88499999995</v>
      </c>
      <c r="D14" s="744">
        <f t="shared" si="5"/>
        <v>47.627825284521499</v>
      </c>
      <c r="E14" s="744">
        <f t="shared" si="0"/>
        <v>-6.6207971089093931E-2</v>
      </c>
      <c r="F14" s="545">
        <f>'14.Exp. Verde'!D13+'15.Exp. Solúvel'!D13+'16.Exp. Torrado'!D13+'17.Exp. Extrato'!D13</f>
        <v>2970884.8378333328</v>
      </c>
      <c r="G14" s="744">
        <f t="shared" si="6"/>
        <v>43.02363399110687</v>
      </c>
      <c r="H14" s="744">
        <f t="shared" si="1"/>
        <v>-0.82815284691802882</v>
      </c>
      <c r="I14" s="745">
        <f t="shared" si="2"/>
        <v>160.51846874946187</v>
      </c>
      <c r="J14" s="744">
        <f t="shared" si="7"/>
        <v>3.2191821483859906</v>
      </c>
      <c r="K14" s="1183">
        <f t="shared" si="3"/>
        <v>0.76830763740114438</v>
      </c>
      <c r="L14" s="545">
        <f>'14.Exp. Verde'!F13+'15.Exp. Solúvel'!F13+'16.Exp. Torrado'!F13+'17.Exp. Extrato'!F13</f>
        <v>477197.82799999998</v>
      </c>
      <c r="M14" s="744">
        <f t="shared" si="8"/>
        <v>3.5145268071740343</v>
      </c>
      <c r="N14" s="545">
        <f>'14.Exp. Verde'!G13+'15.Exp. Solúvel'!G13+'16.Exp. Torrado'!G13+'17.Exp. Extrato'!G13</f>
        <v>2995693.7609999999</v>
      </c>
      <c r="O14" s="744">
        <f t="shared" si="9"/>
        <v>5.1906041072070641</v>
      </c>
      <c r="P14" s="1109">
        <f t="shared" si="4"/>
        <v>159.29459620088318</v>
      </c>
      <c r="Q14" s="744">
        <f t="shared" si="10"/>
        <v>-1.5933716839622081</v>
      </c>
      <c r="R14" s="397"/>
    </row>
    <row r="15" spans="1:18" ht="12.95" customHeight="1">
      <c r="A15" s="397"/>
      <c r="B15" s="409" t="s">
        <v>130</v>
      </c>
      <c r="C15" s="545">
        <f>'14.Exp. Verde'!C14+'15.Exp. Solúvel'!C14+'16.Exp. Torrado'!C14+'17.Exp. Extrato'!C14+'12.Exportações'!D17</f>
        <v>516228.54000000004</v>
      </c>
      <c r="D15" s="744">
        <f t="shared" si="5"/>
        <v>8.2508177051011433</v>
      </c>
      <c r="E15" s="744">
        <f t="shared" si="0"/>
        <v>1.7983580828691004</v>
      </c>
      <c r="F15" s="545">
        <f>'14.Exp. Verde'!D14+'15.Exp. Solúvel'!D14+'16.Exp. Torrado'!D14+'17.Exp. Extrato'!D14+'12.Exportações'!E17</f>
        <v>3126342.8454999998</v>
      </c>
      <c r="G15" s="744">
        <f t="shared" si="6"/>
        <v>5.2327173940556637</v>
      </c>
      <c r="H15" s="744">
        <f t="shared" si="1"/>
        <v>-3.3234257463224504</v>
      </c>
      <c r="I15" s="745">
        <f t="shared" si="2"/>
        <v>165.12217805639898</v>
      </c>
      <c r="J15" s="744">
        <f t="shared" si="7"/>
        <v>2.8680246845131485</v>
      </c>
      <c r="K15" s="1183">
        <f t="shared" si="3"/>
        <v>5.2978540755406422</v>
      </c>
      <c r="L15" s="545">
        <f>'14.Exp. Verde'!F14+'15.Exp. Solúvel'!F14+'16.Exp. Torrado'!F14+'17.Exp. Extrato'!F14+'12.Exportações'!G17</f>
        <v>507108.90600000002</v>
      </c>
      <c r="M15" s="744">
        <f t="shared" si="8"/>
        <v>6.2680666685683395</v>
      </c>
      <c r="N15" s="545">
        <f>'14.Exp. Verde'!G14+'15.Exp. Solúvel'!G14+'16.Exp. Torrado'!G14+'17.Exp. Extrato'!G14+'12.Exportações'!H17</f>
        <v>3233816.3299999996</v>
      </c>
      <c r="O15" s="744">
        <f t="shared" si="9"/>
        <v>7.948828818888054</v>
      </c>
      <c r="P15" s="1109">
        <f t="shared" si="4"/>
        <v>156.81438098248458</v>
      </c>
      <c r="Q15" s="744">
        <f t="shared" si="10"/>
        <v>-1.5569989676679663</v>
      </c>
      <c r="R15" s="397"/>
    </row>
    <row r="16" spans="1:18">
      <c r="A16" s="397"/>
      <c r="B16" s="88" t="s">
        <v>131</v>
      </c>
      <c r="C16" s="734"/>
      <c r="D16" s="740"/>
      <c r="E16" s="740"/>
      <c r="F16" s="734"/>
      <c r="G16" s="740"/>
      <c r="H16" s="740"/>
      <c r="I16" s="741"/>
      <c r="J16" s="740"/>
      <c r="K16" s="740"/>
      <c r="L16" s="742"/>
      <c r="M16" s="740"/>
      <c r="N16" s="742"/>
      <c r="O16" s="740"/>
      <c r="P16" s="743"/>
      <c r="Q16" s="740"/>
      <c r="R16" s="398"/>
    </row>
    <row r="17" spans="1:18">
      <c r="A17" s="397"/>
      <c r="B17" s="88" t="s">
        <v>132</v>
      </c>
      <c r="C17" s="734"/>
      <c r="D17" s="740"/>
      <c r="E17" s="740"/>
      <c r="F17" s="734"/>
      <c r="G17" s="740"/>
      <c r="H17" s="740"/>
      <c r="I17" s="741"/>
      <c r="J17" s="740"/>
      <c r="K17" s="740"/>
      <c r="L17" s="742"/>
      <c r="M17" s="740"/>
      <c r="N17" s="742"/>
      <c r="O17" s="740"/>
      <c r="P17" s="743"/>
      <c r="Q17" s="740"/>
      <c r="R17" s="397"/>
    </row>
    <row r="18" spans="1:18">
      <c r="A18" s="397"/>
      <c r="B18" s="88" t="s">
        <v>133</v>
      </c>
      <c r="C18" s="545"/>
      <c r="D18" s="744"/>
      <c r="E18" s="744"/>
      <c r="F18" s="545"/>
      <c r="G18" s="744"/>
      <c r="H18" s="744"/>
      <c r="I18" s="745"/>
      <c r="J18" s="744"/>
      <c r="K18" s="744"/>
      <c r="L18" s="725"/>
      <c r="M18" s="744"/>
      <c r="N18" s="742"/>
      <c r="O18" s="736"/>
      <c r="P18" s="731"/>
      <c r="Q18" s="744"/>
      <c r="R18" s="397"/>
    </row>
    <row r="19" spans="1:18">
      <c r="A19" s="397"/>
      <c r="B19" s="409" t="s">
        <v>115</v>
      </c>
      <c r="C19" s="759">
        <f>SUM(C7:C18)</f>
        <v>3708852.8020000001</v>
      </c>
      <c r="D19" s="760">
        <v>0</v>
      </c>
      <c r="E19" s="758">
        <f>(C19/L19-1)*100</f>
        <v>-19.518467086525149</v>
      </c>
      <c r="F19" s="761">
        <f>SUM(F7:F18)</f>
        <v>24482115.891133331</v>
      </c>
      <c r="G19" s="760">
        <v>0</v>
      </c>
      <c r="H19" s="829">
        <f>(F19/N19-1)*100</f>
        <v>-8.7112255619679715</v>
      </c>
      <c r="I19" s="765">
        <f>(C19*1000)/F19</f>
        <v>151.49233091177518</v>
      </c>
      <c r="J19" s="762">
        <v>0</v>
      </c>
      <c r="K19" s="758">
        <f>(I19/P19-1)*100</f>
        <v>-11.838521867651153</v>
      </c>
      <c r="L19" s="763">
        <f>SUM(L7:L18)</f>
        <v>4608327.7340000002</v>
      </c>
      <c r="M19" s="758">
        <v>0</v>
      </c>
      <c r="N19" s="763">
        <f>SUM(N7:N18)</f>
        <v>26818320.261</v>
      </c>
      <c r="O19" s="764">
        <v>0</v>
      </c>
      <c r="P19" s="771">
        <f>(L19*1000)/N19</f>
        <v>171.83506234361619</v>
      </c>
      <c r="Q19" s="762">
        <v>0</v>
      </c>
      <c r="R19" s="397"/>
    </row>
    <row r="20" spans="1:18" ht="12.95" customHeight="1">
      <c r="A20" s="397"/>
      <c r="B20" s="411" t="s">
        <v>116</v>
      </c>
      <c r="C20" s="412"/>
      <c r="D20" s="412"/>
      <c r="E20" s="754"/>
      <c r="F20" s="412"/>
      <c r="G20" s="412"/>
      <c r="H20" s="412"/>
      <c r="I20" s="132"/>
      <c r="J20" s="132"/>
      <c r="K20" s="132"/>
      <c r="L20" s="396"/>
      <c r="M20" s="396"/>
      <c r="N20" s="413"/>
      <c r="O20" s="413"/>
      <c r="P20" s="132"/>
      <c r="Q20" s="76"/>
      <c r="R20" s="397"/>
    </row>
    <row r="21" spans="1:18" ht="12.95" customHeight="1">
      <c r="A21" s="397"/>
      <c r="B21" s="411" t="s">
        <v>319</v>
      </c>
      <c r="C21" s="412"/>
      <c r="D21" s="412"/>
      <c r="E21" s="412"/>
      <c r="F21" s="412"/>
      <c r="G21" s="412"/>
      <c r="H21" s="412"/>
      <c r="I21" s="132"/>
      <c r="J21" s="132"/>
      <c r="K21" s="132"/>
      <c r="L21" s="396" t="s">
        <v>134</v>
      </c>
      <c r="M21" s="396"/>
      <c r="N21" s="396" t="s">
        <v>346</v>
      </c>
      <c r="O21" s="413"/>
      <c r="P21" s="132"/>
      <c r="Q21" s="76"/>
      <c r="R21" s="397"/>
    </row>
    <row r="22" spans="1:18" ht="15" customHeight="1">
      <c r="A22" s="397"/>
      <c r="B22" s="139"/>
      <c r="C22" s="412"/>
      <c r="D22" s="412"/>
      <c r="E22" s="412"/>
      <c r="F22" s="412"/>
      <c r="G22" s="412"/>
      <c r="H22" s="412"/>
      <c r="I22" s="132"/>
      <c r="J22" s="132"/>
      <c r="K22" s="132"/>
      <c r="L22" s="413"/>
      <c r="M22" s="413"/>
      <c r="N22" s="413"/>
      <c r="O22" s="413"/>
      <c r="P22" s="132"/>
      <c r="Q22" s="76"/>
      <c r="R22" s="397"/>
    </row>
    <row r="23" spans="1:18" ht="15" customHeight="1">
      <c r="A23" s="397"/>
      <c r="B23" s="414"/>
      <c r="C23" s="412"/>
      <c r="D23" s="412"/>
      <c r="E23" s="412"/>
      <c r="F23" s="412"/>
      <c r="G23" s="412"/>
      <c r="H23" s="412"/>
      <c r="I23" s="140"/>
      <c r="J23" s="140"/>
      <c r="K23" s="140"/>
      <c r="L23" s="140"/>
      <c r="M23" s="140"/>
      <c r="N23" s="140"/>
      <c r="O23" s="140"/>
      <c r="P23" s="140"/>
      <c r="Q23" s="141"/>
      <c r="R23" s="397"/>
    </row>
    <row r="24" spans="1:18" ht="15" customHeight="1">
      <c r="A24" s="397"/>
      <c r="B24" s="137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76"/>
      <c r="R24" s="397"/>
    </row>
    <row r="25" spans="1:18" ht="15" customHeight="1">
      <c r="A25" s="397"/>
      <c r="B25" s="137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76"/>
      <c r="R25" s="397"/>
    </row>
    <row r="26" spans="1:18" ht="15" customHeight="1">
      <c r="A26" s="397"/>
      <c r="B26" s="137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76"/>
      <c r="R26" s="397"/>
    </row>
    <row r="27" spans="1:18" ht="15" customHeight="1">
      <c r="A27" s="397"/>
      <c r="B27" s="137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76"/>
      <c r="R27" s="397"/>
    </row>
    <row r="28" spans="1:18" ht="15" customHeight="1">
      <c r="A28" s="397"/>
      <c r="B28" s="137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76"/>
      <c r="R28" s="397"/>
    </row>
    <row r="29" spans="1:18" ht="15" customHeight="1">
      <c r="A29" s="397"/>
      <c r="B29" s="137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76"/>
      <c r="R29" s="397"/>
    </row>
    <row r="30" spans="1:18" ht="15" customHeight="1">
      <c r="A30" s="397"/>
      <c r="B30" s="137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76"/>
      <c r="R30" s="397"/>
    </row>
    <row r="31" spans="1:18" ht="15" customHeight="1">
      <c r="A31" s="397"/>
      <c r="B31" s="137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76"/>
      <c r="R31" s="397"/>
    </row>
    <row r="32" spans="1:18" ht="15" customHeight="1">
      <c r="A32" s="397"/>
      <c r="B32" s="137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76"/>
      <c r="R32" s="397"/>
    </row>
    <row r="33" spans="1:18" ht="15" customHeight="1">
      <c r="A33" s="397"/>
      <c r="B33" s="415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416"/>
      <c r="R33" s="397"/>
    </row>
    <row r="34" spans="1:18">
      <c r="A34" s="397"/>
      <c r="B34" s="399"/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9"/>
      <c r="N34" s="399"/>
      <c r="O34" s="399"/>
      <c r="P34" s="399"/>
      <c r="Q34" s="399"/>
      <c r="R34" s="397"/>
    </row>
    <row r="35" spans="1:18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8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8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8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8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8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8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8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8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8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8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8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8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8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2:17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2:17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2:17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2:17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2:17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2:17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2:17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2:17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2:17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2:17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2:17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2:17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2:17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2:17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2:17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2:17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2:17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2:17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2:17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2:17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2:17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2:17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2:17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2:17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2:17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2:17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2:17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2:17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2:17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2:17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2:17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2:17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2:17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2:17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2:17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2:17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2:17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2:17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2:17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2:17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2:17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2:17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2:17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</sheetData>
  <mergeCells count="12">
    <mergeCell ref="A1:R1"/>
    <mergeCell ref="B2:Q2"/>
    <mergeCell ref="L4:P4"/>
    <mergeCell ref="D5:E5"/>
    <mergeCell ref="C5:C6"/>
    <mergeCell ref="G5:H5"/>
    <mergeCell ref="F5:F6"/>
    <mergeCell ref="L5:L6"/>
    <mergeCell ref="N5:N6"/>
    <mergeCell ref="J5:K5"/>
    <mergeCell ref="C4:K4"/>
    <mergeCell ref="B4:B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129"/>
  <sheetViews>
    <sheetView workbookViewId="0">
      <selection activeCell="L34" sqref="L34"/>
    </sheetView>
  </sheetViews>
  <sheetFormatPr defaultRowHeight="12.75"/>
  <cols>
    <col min="1" max="1" width="20.85546875" customWidth="1"/>
    <col min="2" max="3" width="10.28515625" bestFit="1" customWidth="1"/>
    <col min="4" max="4" width="8.85546875" bestFit="1" customWidth="1"/>
    <col min="5" max="6" width="10.28515625" bestFit="1" customWidth="1"/>
    <col min="7" max="7" width="8.85546875" bestFit="1" customWidth="1"/>
    <col min="8" max="9" width="8.140625" bestFit="1" customWidth="1"/>
    <col min="10" max="10" width="8.85546875" bestFit="1" customWidth="1"/>
  </cols>
  <sheetData>
    <row r="1" spans="1:11">
      <c r="A1" s="1570" t="s">
        <v>418</v>
      </c>
      <c r="B1" s="1570"/>
      <c r="C1" s="1570"/>
      <c r="D1" s="1570"/>
      <c r="E1" s="1570"/>
      <c r="F1" s="1570"/>
      <c r="G1" s="1570"/>
      <c r="H1" s="1570"/>
      <c r="I1" s="1570"/>
      <c r="J1" s="1570"/>
    </row>
    <row r="2" spans="1:11" ht="15.75">
      <c r="A2" s="1439" t="s">
        <v>139</v>
      </c>
      <c r="B2" s="1439"/>
      <c r="C2" s="1439"/>
      <c r="D2" s="1439"/>
      <c r="E2" s="1439"/>
      <c r="F2" s="1439"/>
      <c r="G2" s="1439"/>
      <c r="H2" s="1439"/>
      <c r="I2" s="1439"/>
      <c r="J2" s="1439"/>
    </row>
    <row r="3" spans="1:11">
      <c r="A3" s="381"/>
      <c r="B3" s="381"/>
      <c r="C3" s="381"/>
      <c r="D3" s="381"/>
      <c r="E3" s="381"/>
      <c r="F3" s="381"/>
      <c r="G3" s="382"/>
      <c r="H3" s="381"/>
      <c r="I3" s="381"/>
      <c r="J3" s="381"/>
    </row>
    <row r="4" spans="1:11">
      <c r="A4" s="1440" t="s">
        <v>84</v>
      </c>
      <c r="B4" s="1442" t="s">
        <v>602</v>
      </c>
      <c r="C4" s="1443"/>
      <c r="D4" s="1443"/>
      <c r="E4" s="1442" t="s">
        <v>603</v>
      </c>
      <c r="F4" s="1443"/>
      <c r="G4" s="1443"/>
      <c r="H4" s="1444" t="s">
        <v>105</v>
      </c>
      <c r="I4" s="1444"/>
      <c r="J4" s="1445"/>
    </row>
    <row r="5" spans="1:11">
      <c r="A5" s="1441"/>
      <c r="B5" s="229" t="s">
        <v>106</v>
      </c>
      <c r="C5" s="229" t="s">
        <v>107</v>
      </c>
      <c r="D5" s="229" t="s">
        <v>108</v>
      </c>
      <c r="E5" s="229" t="s">
        <v>106</v>
      </c>
      <c r="F5" s="229" t="s">
        <v>107</v>
      </c>
      <c r="G5" s="229" t="s">
        <v>108</v>
      </c>
      <c r="H5" s="1446" t="s">
        <v>446</v>
      </c>
      <c r="I5" s="1446"/>
      <c r="J5" s="1447"/>
    </row>
    <row r="6" spans="1:11">
      <c r="A6" s="230"/>
      <c r="B6" s="231" t="s">
        <v>109</v>
      </c>
      <c r="C6" s="231" t="s">
        <v>140</v>
      </c>
      <c r="D6" s="233" t="s">
        <v>141</v>
      </c>
      <c r="E6" s="231" t="s">
        <v>109</v>
      </c>
      <c r="F6" s="231" t="s">
        <v>140</v>
      </c>
      <c r="G6" s="229" t="s">
        <v>141</v>
      </c>
      <c r="H6" s="231" t="s">
        <v>106</v>
      </c>
      <c r="I6" s="231" t="s">
        <v>107</v>
      </c>
      <c r="J6" s="234" t="s">
        <v>108</v>
      </c>
    </row>
    <row r="7" spans="1:11">
      <c r="A7" s="18" t="s">
        <v>13</v>
      </c>
      <c r="B7" s="19">
        <f>'12.Exportações'!D13</f>
        <v>3262104.7289999998</v>
      </c>
      <c r="C7" s="19">
        <v>1290666.1710000001</v>
      </c>
      <c r="D7" s="23">
        <f t="shared" ref="D7:D12" si="0">(B7*1000)/C7</f>
        <v>2527.4581470377748</v>
      </c>
      <c r="E7" s="19">
        <f>'12.Exportações'!G13</f>
        <v>4142558.7</v>
      </c>
      <c r="F7" s="19">
        <v>1441073.9890000001</v>
      </c>
      <c r="G7" s="23">
        <f t="shared" ref="G7:G12" si="1">(E7*1000)/F7</f>
        <v>2874.6328999211432</v>
      </c>
      <c r="H7" s="836">
        <f t="shared" ref="H7:J12" si="2">SUM(B7-E7)*100/E7</f>
        <v>-21.253868315734437</v>
      </c>
      <c r="I7" s="836">
        <f t="shared" si="2"/>
        <v>-10.437203026915501</v>
      </c>
      <c r="J7" s="837">
        <f t="shared" si="2"/>
        <v>-12.077185677965772</v>
      </c>
    </row>
    <row r="8" spans="1:11">
      <c r="A8" s="18" t="s">
        <v>112</v>
      </c>
      <c r="B8" s="19">
        <f>'12.Exportações'!D14</f>
        <v>407074.223</v>
      </c>
      <c r="C8" s="19">
        <v>61752.904000000002</v>
      </c>
      <c r="D8" s="23">
        <f t="shared" si="0"/>
        <v>6591.9850991946869</v>
      </c>
      <c r="E8" s="19">
        <f>'12.Exportações'!G14</f>
        <v>428462.66499999998</v>
      </c>
      <c r="F8" s="19">
        <v>58963.786</v>
      </c>
      <c r="G8" s="23">
        <f t="shared" si="1"/>
        <v>7266.5392449528254</v>
      </c>
      <c r="H8" s="836">
        <f t="shared" si="2"/>
        <v>-4.9919033202111054</v>
      </c>
      <c r="I8" s="836">
        <f t="shared" si="2"/>
        <v>4.73022203832027</v>
      </c>
      <c r="J8" s="837">
        <f t="shared" si="2"/>
        <v>-9.2830179954875849</v>
      </c>
    </row>
    <row r="9" spans="1:11">
      <c r="A9" s="18" t="s">
        <v>113</v>
      </c>
      <c r="B9" s="19">
        <f>'12.Exportações'!D15</f>
        <v>7664.5640000000003</v>
      </c>
      <c r="C9" s="488">
        <v>1368.6690000000001</v>
      </c>
      <c r="D9" s="23">
        <f t="shared" si="0"/>
        <v>5600.0128592084711</v>
      </c>
      <c r="E9" s="19">
        <f>'12.Exportações'!G15</f>
        <v>7765.0869999999995</v>
      </c>
      <c r="F9" s="19">
        <v>1261.0250000000001</v>
      </c>
      <c r="G9" s="23">
        <f t="shared" si="1"/>
        <v>6157.7581729148906</v>
      </c>
      <c r="H9" s="836">
        <f t="shared" si="2"/>
        <v>-1.2945508530683461</v>
      </c>
      <c r="I9" s="836">
        <f t="shared" si="2"/>
        <v>8.5362304474534607</v>
      </c>
      <c r="J9" s="837">
        <f t="shared" si="2"/>
        <v>-9.0576034011806641</v>
      </c>
    </row>
    <row r="10" spans="1:11">
      <c r="A10" s="20" t="s">
        <v>114</v>
      </c>
      <c r="B10" s="19">
        <f>'12.Exportações'!D16</f>
        <v>31984.341999999997</v>
      </c>
      <c r="C10" s="488">
        <v>6178.5540000000001</v>
      </c>
      <c r="D10" s="23">
        <f t="shared" si="0"/>
        <v>5176.6711110722663</v>
      </c>
      <c r="E10" s="19">
        <f>'12.Exportações'!G16</f>
        <v>29481.876</v>
      </c>
      <c r="F10" s="19">
        <v>5073.0659999999998</v>
      </c>
      <c r="G10" s="23">
        <f t="shared" si="1"/>
        <v>5811.4512998648161</v>
      </c>
      <c r="H10" s="836">
        <f t="shared" si="2"/>
        <v>8.4881504826897611</v>
      </c>
      <c r="I10" s="838">
        <f t="shared" si="2"/>
        <v>21.791319095789419</v>
      </c>
      <c r="J10" s="839">
        <f t="shared" si="2"/>
        <v>-10.922920214565263</v>
      </c>
    </row>
    <row r="11" spans="1:11">
      <c r="A11" s="20" t="s">
        <v>275</v>
      </c>
      <c r="B11" s="488">
        <f>'12.Exportações'!D17</f>
        <v>24.943999999999999</v>
      </c>
      <c r="C11" s="488">
        <v>3.9279999999999999</v>
      </c>
      <c r="D11" s="718">
        <f t="shared" si="0"/>
        <v>6350.3054989816701</v>
      </c>
      <c r="E11" s="488">
        <v>60.405999999999999</v>
      </c>
      <c r="F11" s="488">
        <v>11.06</v>
      </c>
      <c r="G11" s="23">
        <f t="shared" si="1"/>
        <v>5461.663652802893</v>
      </c>
      <c r="H11" s="836">
        <f t="shared" si="2"/>
        <v>-58.706088799125922</v>
      </c>
      <c r="I11" s="836">
        <f t="shared" si="2"/>
        <v>-64.484629294755877</v>
      </c>
      <c r="J11" s="839">
        <f t="shared" si="2"/>
        <v>16.270534083927547</v>
      </c>
      <c r="K11" s="4"/>
    </row>
    <row r="12" spans="1:11">
      <c r="A12" s="235" t="s">
        <v>115</v>
      </c>
      <c r="B12" s="236">
        <f>SUM(B7:B11)</f>
        <v>3708852.8019999997</v>
      </c>
      <c r="C12" s="236">
        <f>SUM(C7:C11)</f>
        <v>1359970.2260000003</v>
      </c>
      <c r="D12" s="848">
        <f t="shared" si="0"/>
        <v>2727.157353222819</v>
      </c>
      <c r="E12" s="236">
        <f>SUM(E7:E11)</f>
        <v>4608328.7340000011</v>
      </c>
      <c r="F12" s="236">
        <f>SUM(F7:F11)</f>
        <v>1506382.9260000002</v>
      </c>
      <c r="G12" s="848">
        <f t="shared" si="1"/>
        <v>3059.2013852923878</v>
      </c>
      <c r="H12" s="840">
        <f>SUM(B12-E12)*100/E12</f>
        <v>-19.518484550889706</v>
      </c>
      <c r="I12" s="841">
        <f t="shared" si="2"/>
        <v>-9.7194874870747139</v>
      </c>
      <c r="J12" s="842">
        <f t="shared" si="2"/>
        <v>-10.853944878095472</v>
      </c>
    </row>
    <row r="13" spans="1:11">
      <c r="A13" s="237" t="s">
        <v>116</v>
      </c>
      <c r="B13" s="825"/>
      <c r="C13" s="825"/>
      <c r="D13" s="826"/>
      <c r="E13" s="825"/>
      <c r="F13" s="825"/>
      <c r="G13" s="826"/>
      <c r="H13" s="827"/>
      <c r="I13" s="828"/>
      <c r="J13" s="827"/>
    </row>
    <row r="14" spans="1:11">
      <c r="A14" s="232" t="s">
        <v>319</v>
      </c>
      <c r="B14" s="6"/>
      <c r="C14" s="6"/>
      <c r="D14" s="6"/>
      <c r="E14" s="6"/>
      <c r="F14" s="6"/>
      <c r="G14" s="21"/>
      <c r="H14" s="6"/>
      <c r="I14" s="6"/>
      <c r="J14" s="6"/>
    </row>
    <row r="15" spans="1:11">
      <c r="A15" s="22" t="s">
        <v>142</v>
      </c>
      <c r="B15" s="6"/>
      <c r="C15" s="6"/>
      <c r="D15" s="6"/>
      <c r="E15" s="6"/>
      <c r="F15" s="6"/>
      <c r="G15" s="21"/>
      <c r="H15" s="6"/>
      <c r="I15" s="6"/>
      <c r="J15" s="6"/>
    </row>
    <row r="16" spans="1:11">
      <c r="A16" s="22" t="s">
        <v>143</v>
      </c>
      <c r="B16" s="6"/>
      <c r="C16" s="6"/>
      <c r="D16" s="6"/>
      <c r="E16" s="6"/>
      <c r="F16" s="6"/>
      <c r="G16" s="21"/>
      <c r="H16" s="6"/>
      <c r="I16" s="6"/>
      <c r="J16" s="6"/>
    </row>
    <row r="17" spans="1:10">
      <c r="A17" s="22" t="s">
        <v>144</v>
      </c>
      <c r="B17" s="6"/>
      <c r="C17" s="6"/>
      <c r="D17" s="6"/>
      <c r="E17" s="6"/>
      <c r="F17" s="6"/>
      <c r="G17" s="21"/>
      <c r="H17" s="6"/>
      <c r="I17" s="6"/>
      <c r="J17" s="6"/>
    </row>
    <row r="18" spans="1:10">
      <c r="A18" s="22" t="s">
        <v>351</v>
      </c>
      <c r="B18" s="6"/>
      <c r="C18" s="6"/>
      <c r="D18" s="6"/>
      <c r="E18" s="6"/>
      <c r="F18" s="6"/>
      <c r="G18" s="21"/>
      <c r="H18" s="6"/>
      <c r="I18" s="6"/>
      <c r="J18" s="6"/>
    </row>
    <row r="19" spans="1:10">
      <c r="A19" s="22"/>
      <c r="B19" s="6"/>
      <c r="C19" s="6"/>
      <c r="D19" s="6"/>
      <c r="E19" s="6"/>
      <c r="F19" s="6"/>
      <c r="G19" s="21"/>
      <c r="H19" s="6"/>
      <c r="I19" s="6"/>
      <c r="J19" s="6"/>
    </row>
    <row r="20" spans="1:10">
      <c r="A20" s="1448" t="s">
        <v>145</v>
      </c>
      <c r="B20" s="1448"/>
      <c r="C20" s="1448"/>
      <c r="D20" s="1448"/>
      <c r="E20" s="1448"/>
      <c r="F20" s="1448"/>
      <c r="G20" s="1448"/>
      <c r="H20" s="1448"/>
      <c r="I20" s="1448"/>
      <c r="J20" s="1448"/>
    </row>
    <row r="21" spans="1:10">
      <c r="A21" s="1448" t="s">
        <v>320</v>
      </c>
      <c r="B21" s="1448"/>
      <c r="C21" s="1448"/>
      <c r="D21" s="1448"/>
      <c r="E21" s="1448"/>
      <c r="F21" s="1448"/>
      <c r="G21" s="1448"/>
      <c r="H21" s="1448"/>
      <c r="I21" s="1448"/>
      <c r="J21" s="1448"/>
    </row>
    <row r="22" spans="1:10">
      <c r="A22" s="238"/>
      <c r="B22" s="238"/>
      <c r="C22" s="238"/>
      <c r="D22" s="238"/>
      <c r="E22" s="238"/>
      <c r="F22" s="238"/>
      <c r="G22" s="239"/>
      <c r="H22" s="238"/>
      <c r="I22" s="238"/>
      <c r="J22" s="238"/>
    </row>
    <row r="23" spans="1:10">
      <c r="A23" s="1449" t="s">
        <v>146</v>
      </c>
      <c r="B23" s="1450"/>
      <c r="C23" s="1450"/>
      <c r="D23" s="238"/>
      <c r="E23" s="238"/>
      <c r="F23" s="238"/>
      <c r="G23" s="239"/>
      <c r="H23" s="238"/>
      <c r="I23" s="238"/>
      <c r="J23" s="238"/>
    </row>
    <row r="24" spans="1:10">
      <c r="A24" s="6"/>
      <c r="B24" s="6"/>
      <c r="C24" s="6"/>
      <c r="D24" s="6"/>
      <c r="E24" s="6"/>
      <c r="F24" s="6"/>
      <c r="G24" s="21"/>
      <c r="H24" s="6"/>
      <c r="I24" s="6"/>
      <c r="J24" s="6"/>
    </row>
    <row r="25" spans="1:10">
      <c r="A25" s="1440" t="s">
        <v>147</v>
      </c>
      <c r="B25" s="1452" t="str">
        <f>B4</f>
        <v>Jan a Set/2016</v>
      </c>
      <c r="C25" s="1446"/>
      <c r="D25" s="1446"/>
      <c r="E25" s="1452" t="str">
        <f>E4</f>
        <v>Jan a Set/2015</v>
      </c>
      <c r="F25" s="1446"/>
      <c r="G25" s="1446"/>
      <c r="H25" s="1444" t="s">
        <v>105</v>
      </c>
      <c r="I25" s="1444"/>
      <c r="J25" s="1445"/>
    </row>
    <row r="26" spans="1:10">
      <c r="A26" s="1451"/>
      <c r="B26" s="240" t="s">
        <v>106</v>
      </c>
      <c r="C26" s="231" t="s">
        <v>148</v>
      </c>
      <c r="D26" s="233" t="s">
        <v>108</v>
      </c>
      <c r="E26" s="231" t="s">
        <v>106</v>
      </c>
      <c r="F26" s="231" t="s">
        <v>148</v>
      </c>
      <c r="G26" s="229" t="s">
        <v>108</v>
      </c>
      <c r="H26" s="1444" t="str">
        <f>H5</f>
        <v>(16/15)</v>
      </c>
      <c r="I26" s="1444"/>
      <c r="J26" s="1445"/>
    </row>
    <row r="27" spans="1:10">
      <c r="A27" s="241"/>
      <c r="B27" s="242" t="s">
        <v>149</v>
      </c>
      <c r="C27" s="243" t="s">
        <v>140</v>
      </c>
      <c r="D27" s="244" t="s">
        <v>141</v>
      </c>
      <c r="E27" s="242" t="s">
        <v>149</v>
      </c>
      <c r="F27" s="243" t="s">
        <v>140</v>
      </c>
      <c r="G27" s="245" t="s">
        <v>141</v>
      </c>
      <c r="H27" s="243" t="s">
        <v>106</v>
      </c>
      <c r="I27" s="243" t="s">
        <v>107</v>
      </c>
      <c r="J27" s="246" t="s">
        <v>108</v>
      </c>
    </row>
    <row r="28" spans="1:10">
      <c r="A28" s="521" t="s">
        <v>321</v>
      </c>
      <c r="B28" s="488">
        <v>1724063.76</v>
      </c>
      <c r="C28" s="488">
        <v>685143.31799999997</v>
      </c>
      <c r="D28" s="718">
        <f t="shared" ref="D28:D34" si="3">(B28*1000)/C28</f>
        <v>2516.3549212341586</v>
      </c>
      <c r="E28" s="488">
        <v>2179155.9270000001</v>
      </c>
      <c r="F28" s="488">
        <v>749554.14800000004</v>
      </c>
      <c r="G28" s="718">
        <f t="shared" ref="G28:G34" si="4">(E28*1000)/F28</f>
        <v>2907.2695185725261</v>
      </c>
      <c r="H28" s="838">
        <f t="shared" ref="H28:J30" si="5">SUM(B28-E28)*100/E28</f>
        <v>-20.883873492546094</v>
      </c>
      <c r="I28" s="838">
        <f t="shared" si="5"/>
        <v>-8.5932190718795241</v>
      </c>
      <c r="J28" s="839">
        <f t="shared" si="5"/>
        <v>-13.446107931895737</v>
      </c>
    </row>
    <row r="29" spans="1:10">
      <c r="A29" s="521" t="s">
        <v>280</v>
      </c>
      <c r="B29" s="1212">
        <v>648187.81099999999</v>
      </c>
      <c r="C29" s="1212">
        <v>258056.723</v>
      </c>
      <c r="D29" s="23">
        <f t="shared" si="3"/>
        <v>2511.8036200126435</v>
      </c>
      <c r="E29" s="1212">
        <v>887392.72900000005</v>
      </c>
      <c r="F29" s="1212">
        <v>320615.85100000002</v>
      </c>
      <c r="G29" s="23">
        <f t="shared" si="4"/>
        <v>2767.7755988427407</v>
      </c>
      <c r="H29" s="836">
        <f t="shared" si="5"/>
        <v>-26.955924945380076</v>
      </c>
      <c r="I29" s="836">
        <f t="shared" si="5"/>
        <v>-19.512175647235864</v>
      </c>
      <c r="J29" s="837">
        <f t="shared" si="5"/>
        <v>-9.248292344839081</v>
      </c>
    </row>
    <row r="30" spans="1:10">
      <c r="A30" s="521" t="s">
        <v>281</v>
      </c>
      <c r="B30" s="1212">
        <v>279569.451</v>
      </c>
      <c r="C30" s="1212">
        <v>94333.745999999999</v>
      </c>
      <c r="D30" s="23">
        <f t="shared" si="3"/>
        <v>2963.6207916518019</v>
      </c>
      <c r="E30" s="1212">
        <v>313434.04399999999</v>
      </c>
      <c r="F30" s="1212">
        <v>90375.79</v>
      </c>
      <c r="G30" s="23">
        <f t="shared" si="4"/>
        <v>3468.1195483879037</v>
      </c>
      <c r="H30" s="836">
        <f t="shared" si="5"/>
        <v>-10.804376119398183</v>
      </c>
      <c r="I30" s="836">
        <f t="shared" si="5"/>
        <v>4.3794427689096889</v>
      </c>
      <c r="J30" s="837">
        <f t="shared" si="5"/>
        <v>-14.546752200932907</v>
      </c>
    </row>
    <row r="31" spans="1:10">
      <c r="A31" s="521" t="s">
        <v>282</v>
      </c>
      <c r="B31" s="1212">
        <v>84335.027000000002</v>
      </c>
      <c r="C31" s="1212">
        <v>32660.171999999999</v>
      </c>
      <c r="D31" s="23">
        <f t="shared" si="3"/>
        <v>2582.1978830974926</v>
      </c>
      <c r="E31" s="1212">
        <v>104995.40399999999</v>
      </c>
      <c r="F31" s="1212">
        <v>29618.398000000001</v>
      </c>
      <c r="G31" s="23">
        <f t="shared" si="4"/>
        <v>3544.9386560339963</v>
      </c>
      <c r="H31" s="836">
        <f t="shared" ref="H31:J34" si="6">SUM(B31-E31)*100/E31</f>
        <v>-19.67741083219223</v>
      </c>
      <c r="I31" s="836">
        <f t="shared" si="6"/>
        <v>10.269880227823252</v>
      </c>
      <c r="J31" s="837">
        <f t="shared" si="6"/>
        <v>-27.15817864147748</v>
      </c>
    </row>
    <row r="32" spans="1:10">
      <c r="A32" s="521" t="s">
        <v>283</v>
      </c>
      <c r="B32" s="1212">
        <v>67781.021999999997</v>
      </c>
      <c r="C32" s="1212">
        <v>29531.957999999999</v>
      </c>
      <c r="D32" s="23">
        <f t="shared" si="3"/>
        <v>2295.1753486849739</v>
      </c>
      <c r="E32" s="1212">
        <v>84453.895999999993</v>
      </c>
      <c r="F32" s="1212">
        <v>34352.279000000002</v>
      </c>
      <c r="G32" s="23">
        <f t="shared" si="4"/>
        <v>2458.4655940876587</v>
      </c>
      <c r="H32" s="836">
        <f t="shared" si="6"/>
        <v>-19.741983247285592</v>
      </c>
      <c r="I32" s="836">
        <f t="shared" si="6"/>
        <v>-14.032026812544236</v>
      </c>
      <c r="J32" s="837">
        <f t="shared" si="6"/>
        <v>-6.6419577233612719</v>
      </c>
    </row>
    <row r="33" spans="1:10">
      <c r="A33" s="521" t="s">
        <v>611</v>
      </c>
      <c r="B33" s="1212">
        <v>65857.365000000005</v>
      </c>
      <c r="C33" s="1212">
        <v>24584.45</v>
      </c>
      <c r="D33" s="23">
        <f>(B33*1000)/C33</f>
        <v>2678.8219789338386</v>
      </c>
      <c r="E33" s="1212">
        <v>76498.907000000007</v>
      </c>
      <c r="F33" s="1212">
        <v>23821.525000000001</v>
      </c>
      <c r="G33" s="23">
        <f>(E33*1000)/F33</f>
        <v>3211.3354203813565</v>
      </c>
      <c r="H33" s="836">
        <f>SUM(B33-E33)*100/E33</f>
        <v>-13.910711168722974</v>
      </c>
      <c r="I33" s="836">
        <f>SUM(C33-F33)*100/F33</f>
        <v>3.2026706938367684</v>
      </c>
      <c r="J33" s="837">
        <f>SUM(D33-G33)*100/G33</f>
        <v>-16.582305232515392</v>
      </c>
    </row>
    <row r="34" spans="1:10">
      <c r="A34" s="521" t="s">
        <v>322</v>
      </c>
      <c r="B34" s="1212">
        <v>53784.226000000002</v>
      </c>
      <c r="C34" s="1212">
        <v>20426.157999999999</v>
      </c>
      <c r="D34" s="23">
        <f t="shared" si="3"/>
        <v>2633.1053544185843</v>
      </c>
      <c r="E34" s="1212">
        <v>51218.754999999997</v>
      </c>
      <c r="F34" s="1212">
        <v>18016.555</v>
      </c>
      <c r="G34" s="23">
        <f t="shared" si="4"/>
        <v>2842.8717365778307</v>
      </c>
      <c r="H34" s="836">
        <f t="shared" si="6"/>
        <v>5.0088507617961531</v>
      </c>
      <c r="I34" s="836">
        <f>SUM(C34-F34)*100/F34</f>
        <v>13.374382616432493</v>
      </c>
      <c r="J34" s="837">
        <f>SUM(D34-G34)*100/G34</f>
        <v>-7.3786790821508292</v>
      </c>
    </row>
    <row r="35" spans="1:10">
      <c r="A35" s="521" t="s">
        <v>323</v>
      </c>
      <c r="B35" s="1212">
        <v>47510.159</v>
      </c>
      <c r="C35" s="1212">
        <v>19112.66</v>
      </c>
      <c r="D35" s="23">
        <f t="shared" ref="D35:D42" si="7">(B35*1000)/C35</f>
        <v>2485.7952268287095</v>
      </c>
      <c r="E35" s="1212">
        <v>51089.680999999997</v>
      </c>
      <c r="F35" s="1212">
        <v>18327.688999999998</v>
      </c>
      <c r="G35" s="23">
        <f t="shared" ref="G35:G42" si="8">(E35*1000)/F35</f>
        <v>2787.5680889172663</v>
      </c>
      <c r="H35" s="836">
        <f t="shared" ref="H35:J39" si="9">SUM(B35-E35)*100/E35</f>
        <v>-7.00635026474328</v>
      </c>
      <c r="I35" s="836">
        <f t="shared" si="9"/>
        <v>4.2829786123062297</v>
      </c>
      <c r="J35" s="837">
        <f t="shared" si="9"/>
        <v>-10.825667838871338</v>
      </c>
    </row>
    <row r="36" spans="1:10">
      <c r="A36" s="521" t="s">
        <v>286</v>
      </c>
      <c r="B36" s="1212">
        <v>38839.521000000001</v>
      </c>
      <c r="C36" s="1212">
        <v>18275.001</v>
      </c>
      <c r="D36" s="23">
        <f>(B36*1000)/C36</f>
        <v>2125.2814705728333</v>
      </c>
      <c r="E36" s="1212">
        <v>51549.784</v>
      </c>
      <c r="F36" s="1212">
        <v>21626.16</v>
      </c>
      <c r="G36" s="23">
        <f>(E36*1000)/F36</f>
        <v>2383.6771761607238</v>
      </c>
      <c r="H36" s="836">
        <f>SUM(B36-E36)*100/E36</f>
        <v>-24.656287599575585</v>
      </c>
      <c r="I36" s="836">
        <f>SUM(C36-F36)*100/F36</f>
        <v>-15.495857794448943</v>
      </c>
      <c r="J36" s="837">
        <f>SUM(D36-G36)*100/G36</f>
        <v>-10.840213942228377</v>
      </c>
    </row>
    <row r="37" spans="1:10">
      <c r="A37" s="521" t="s">
        <v>451</v>
      </c>
      <c r="B37" s="1212">
        <v>36130.156000000003</v>
      </c>
      <c r="C37" s="1212">
        <v>16874.174999999999</v>
      </c>
      <c r="D37" s="23">
        <f>(B37*1000)/C37</f>
        <v>2141.1509599728579</v>
      </c>
      <c r="E37" s="1212">
        <v>44733.273999999998</v>
      </c>
      <c r="F37" s="1212">
        <v>18518.02</v>
      </c>
      <c r="G37" s="23">
        <f>(E37*1000)/F37</f>
        <v>2415.6618256163456</v>
      </c>
      <c r="H37" s="836">
        <f t="shared" ref="H37:J37" si="10">SUM(B37-E37)*100/E37</f>
        <v>-19.232032960520609</v>
      </c>
      <c r="I37" s="836">
        <f t="shared" si="10"/>
        <v>-8.8770019688930084</v>
      </c>
      <c r="J37" s="837">
        <f t="shared" si="10"/>
        <v>-11.363795326502187</v>
      </c>
    </row>
    <row r="38" spans="1:10">
      <c r="A38" s="521" t="s">
        <v>610</v>
      </c>
      <c r="B38" s="1212">
        <v>34112.987000000001</v>
      </c>
      <c r="C38" s="1212">
        <v>11000.79</v>
      </c>
      <c r="D38" s="23">
        <f>(B38*1000)/C38</f>
        <v>3100.9579312031224</v>
      </c>
      <c r="E38" s="1212">
        <v>32476.616999999998</v>
      </c>
      <c r="F38" s="1212">
        <v>9942.7350000000006</v>
      </c>
      <c r="G38" s="23">
        <f>(E38*1000)/F38</f>
        <v>3266.3665480373356</v>
      </c>
      <c r="H38" s="836">
        <f t="shared" ref="H38:J38" si="11">SUM(B38-E38)*100/E38</f>
        <v>5.0386097788448927</v>
      </c>
      <c r="I38" s="836">
        <f t="shared" si="11"/>
        <v>10.641488483802497</v>
      </c>
      <c r="J38" s="837">
        <f t="shared" si="11"/>
        <v>-5.0639943313649978</v>
      </c>
    </row>
    <row r="39" spans="1:10">
      <c r="A39" s="521" t="s">
        <v>293</v>
      </c>
      <c r="B39" s="1212">
        <v>32971.112000000001</v>
      </c>
      <c r="C39" s="1212">
        <v>15626.287</v>
      </c>
      <c r="D39" s="23">
        <f t="shared" si="7"/>
        <v>2109.9773733837092</v>
      </c>
      <c r="E39" s="1212">
        <v>61361.495999999999</v>
      </c>
      <c r="F39" s="1212">
        <v>28594.623</v>
      </c>
      <c r="G39" s="23">
        <f t="shared" si="8"/>
        <v>2145.9102992894855</v>
      </c>
      <c r="H39" s="836">
        <f t="shared" si="9"/>
        <v>-46.267424770738963</v>
      </c>
      <c r="I39" s="836">
        <f t="shared" si="9"/>
        <v>-45.352358728422466</v>
      </c>
      <c r="J39" s="837">
        <f t="shared" si="9"/>
        <v>-1.6744840601060424</v>
      </c>
    </row>
    <row r="40" spans="1:10">
      <c r="A40" s="521" t="s">
        <v>493</v>
      </c>
      <c r="B40" s="1212">
        <v>26591.386999999999</v>
      </c>
      <c r="C40" s="1212">
        <v>10411.375</v>
      </c>
      <c r="D40" s="23">
        <f t="shared" si="7"/>
        <v>2554.0706198748962</v>
      </c>
      <c r="E40" s="1212">
        <v>32048.409</v>
      </c>
      <c r="F40" s="1212">
        <v>10714.91</v>
      </c>
      <c r="G40" s="23">
        <f t="shared" si="8"/>
        <v>2991.0105637844836</v>
      </c>
      <c r="H40" s="836">
        <f t="shared" ref="H40:J42" si="12">SUM(B40-E40)*100/E40</f>
        <v>-17.027434965648375</v>
      </c>
      <c r="I40" s="836">
        <f t="shared" si="12"/>
        <v>-2.8328282738725745</v>
      </c>
      <c r="J40" s="837">
        <f t="shared" si="12"/>
        <v>-14.608438672872266</v>
      </c>
    </row>
    <row r="41" spans="1:10">
      <c r="A41" s="719" t="s">
        <v>468</v>
      </c>
      <c r="B41" s="1212">
        <v>18595.311000000002</v>
      </c>
      <c r="C41" s="1212">
        <v>8753.17</v>
      </c>
      <c r="D41" s="23">
        <f>(B41*1000)/C41</f>
        <v>2124.408757056015</v>
      </c>
      <c r="E41" s="1212">
        <v>19166.666000000001</v>
      </c>
      <c r="F41" s="1212">
        <v>8462.9</v>
      </c>
      <c r="G41" s="23">
        <f>(E41*1000)/F41</f>
        <v>2264.7870115445062</v>
      </c>
      <c r="H41" s="836">
        <f t="shared" si="12"/>
        <v>-2.980982712382005</v>
      </c>
      <c r="I41" s="836">
        <f t="shared" si="12"/>
        <v>3.4299117323848853</v>
      </c>
      <c r="J41" s="837">
        <f t="shared" si="12"/>
        <v>-6.1982982846920365</v>
      </c>
    </row>
    <row r="42" spans="1:10">
      <c r="A42" s="521" t="s">
        <v>450</v>
      </c>
      <c r="B42" s="1212">
        <v>16681.284</v>
      </c>
      <c r="C42" s="1212">
        <v>8257.3320000000003</v>
      </c>
      <c r="D42" s="23">
        <f t="shared" si="7"/>
        <v>2020.1784305148442</v>
      </c>
      <c r="E42" s="1212">
        <v>26240.535</v>
      </c>
      <c r="F42" s="1212">
        <v>11321.846</v>
      </c>
      <c r="G42" s="23">
        <f t="shared" si="8"/>
        <v>2317.6905073607254</v>
      </c>
      <c r="H42" s="836">
        <f t="shared" si="12"/>
        <v>-36.429329661152103</v>
      </c>
      <c r="I42" s="836">
        <f t="shared" si="12"/>
        <v>-27.067264472595717</v>
      </c>
      <c r="J42" s="837">
        <f t="shared" si="12"/>
        <v>-12.836574853329907</v>
      </c>
    </row>
    <row r="43" spans="1:10">
      <c r="A43" s="247" t="s">
        <v>127</v>
      </c>
      <c r="B43" s="248">
        <f>SUM(B28:B42)</f>
        <v>3175010.5790000004</v>
      </c>
      <c r="C43" s="248">
        <f>SUM(C28:C42)</f>
        <v>1253047.3149999999</v>
      </c>
      <c r="D43" s="249">
        <f>(B43*1000)/C43</f>
        <v>2533.831357357803</v>
      </c>
      <c r="E43" s="248">
        <f>SUM(E28:E42)</f>
        <v>4015816.1240000008</v>
      </c>
      <c r="F43" s="248">
        <f>SUM(F28:F42)</f>
        <v>1393863.4289999998</v>
      </c>
      <c r="G43" s="249">
        <f>(E43*1000)/F43</f>
        <v>2881.0685756215516</v>
      </c>
      <c r="H43" s="843">
        <f t="shared" ref="H43:J45" si="13">SUM(B43-E43)*100/E43</f>
        <v>-20.937351687370242</v>
      </c>
      <c r="I43" s="843">
        <f t="shared" si="13"/>
        <v>-10.102576125483514</v>
      </c>
      <c r="J43" s="844">
        <f t="shared" si="13"/>
        <v>-12.052376024712876</v>
      </c>
    </row>
    <row r="44" spans="1:10">
      <c r="A44" s="24" t="s">
        <v>150</v>
      </c>
      <c r="B44" s="25">
        <f>B45-B43</f>
        <v>87094.149999999441</v>
      </c>
      <c r="C44" s="25">
        <f>C45-C43</f>
        <v>37618.856000000145</v>
      </c>
      <c r="D44" s="23">
        <f>(B44*1000)/C44</f>
        <v>2315.1727420950574</v>
      </c>
      <c r="E44" s="25">
        <f>E45-E43</f>
        <v>126742.57599999942</v>
      </c>
      <c r="F44" s="25">
        <f>F45-F43</f>
        <v>47210.560000000289</v>
      </c>
      <c r="G44" s="23">
        <f>(E44*1000)/F44</f>
        <v>2684.6234401794563</v>
      </c>
      <c r="H44" s="836">
        <f t="shared" si="13"/>
        <v>-31.282641754101764</v>
      </c>
      <c r="I44" s="836">
        <f t="shared" si="13"/>
        <v>-20.316861312384528</v>
      </c>
      <c r="J44" s="837">
        <f t="shared" si="13"/>
        <v>-13.761732560142685</v>
      </c>
    </row>
    <row r="45" spans="1:10">
      <c r="A45" s="250" t="s">
        <v>151</v>
      </c>
      <c r="B45" s="251">
        <f>B7</f>
        <v>3262104.7289999998</v>
      </c>
      <c r="C45" s="228">
        <f>C7</f>
        <v>1290666.1710000001</v>
      </c>
      <c r="D45" s="252">
        <f>(B45*1000)/C45</f>
        <v>2527.4581470377748</v>
      </c>
      <c r="E45" s="228">
        <f>E7</f>
        <v>4142558.7</v>
      </c>
      <c r="F45" s="228">
        <f>F7</f>
        <v>1441073.9890000001</v>
      </c>
      <c r="G45" s="252">
        <f>(E45*1000)/F45</f>
        <v>2874.6328999211432</v>
      </c>
      <c r="H45" s="840">
        <f t="shared" si="13"/>
        <v>-21.253868315734437</v>
      </c>
      <c r="I45" s="840">
        <f t="shared" si="13"/>
        <v>-10.437203026915501</v>
      </c>
      <c r="J45" s="845">
        <f t="shared" si="13"/>
        <v>-12.077185677965772</v>
      </c>
    </row>
    <row r="46" spans="1:10">
      <c r="A46" s="237" t="s">
        <v>116</v>
      </c>
      <c r="B46" s="6"/>
      <c r="C46" s="6"/>
      <c r="D46" s="6"/>
      <c r="E46" s="6"/>
      <c r="F46" s="6"/>
      <c r="G46" s="21"/>
      <c r="H46" s="6"/>
      <c r="I46" s="6"/>
      <c r="J46" s="6"/>
    </row>
    <row r="47" spans="1:10">
      <c r="A47" s="1448" t="s">
        <v>152</v>
      </c>
      <c r="B47" s="1448"/>
      <c r="C47" s="1448"/>
      <c r="D47" s="1448"/>
      <c r="E47" s="1448"/>
      <c r="F47" s="1448"/>
      <c r="G47" s="1448"/>
      <c r="H47" s="1448"/>
      <c r="I47" s="1448"/>
      <c r="J47" s="1448"/>
    </row>
    <row r="48" spans="1:10">
      <c r="A48" s="1448" t="s">
        <v>320</v>
      </c>
      <c r="B48" s="1448"/>
      <c r="C48" s="1448"/>
      <c r="D48" s="1448"/>
      <c r="E48" s="1448"/>
      <c r="F48" s="1448"/>
      <c r="G48" s="1448"/>
      <c r="H48" s="1448"/>
      <c r="I48" s="1448"/>
      <c r="J48" s="1448"/>
    </row>
    <row r="49" spans="1:10">
      <c r="A49" s="238"/>
      <c r="B49" s="238"/>
      <c r="C49" s="238"/>
      <c r="D49" s="238"/>
      <c r="E49" s="238"/>
      <c r="F49" s="238"/>
      <c r="G49" s="239"/>
      <c r="H49" s="238"/>
      <c r="I49" s="238"/>
      <c r="J49" s="238"/>
    </row>
    <row r="50" spans="1:10">
      <c r="A50" s="1449" t="s">
        <v>153</v>
      </c>
      <c r="B50" s="1450"/>
      <c r="C50" s="1450"/>
      <c r="D50" s="238"/>
      <c r="E50" s="238"/>
      <c r="F50" s="238"/>
      <c r="G50" s="239"/>
      <c r="H50" s="238"/>
      <c r="I50" s="238"/>
      <c r="J50" s="238"/>
    </row>
    <row r="51" spans="1:10">
      <c r="A51" s="6"/>
      <c r="B51" s="6"/>
      <c r="C51" s="6"/>
      <c r="D51" s="6"/>
      <c r="E51" s="6"/>
      <c r="F51" s="6"/>
      <c r="G51" s="21"/>
      <c r="H51" s="6"/>
      <c r="I51" s="6"/>
      <c r="J51" s="6"/>
    </row>
    <row r="52" spans="1:10">
      <c r="A52" s="1440" t="s">
        <v>147</v>
      </c>
      <c r="B52" s="1452" t="str">
        <f>B4</f>
        <v>Jan a Set/2016</v>
      </c>
      <c r="C52" s="1446"/>
      <c r="D52" s="1446"/>
      <c r="E52" s="1452" t="str">
        <f>E4</f>
        <v>Jan a Set/2015</v>
      </c>
      <c r="F52" s="1446"/>
      <c r="G52" s="1446"/>
      <c r="H52" s="1444" t="s">
        <v>105</v>
      </c>
      <c r="I52" s="1444"/>
      <c r="J52" s="1445"/>
    </row>
    <row r="53" spans="1:10">
      <c r="A53" s="1451"/>
      <c r="B53" s="240" t="s">
        <v>106</v>
      </c>
      <c r="C53" s="231" t="s">
        <v>148</v>
      </c>
      <c r="D53" s="233" t="s">
        <v>108</v>
      </c>
      <c r="E53" s="231" t="s">
        <v>106</v>
      </c>
      <c r="F53" s="231" t="s">
        <v>148</v>
      </c>
      <c r="G53" s="229" t="s">
        <v>108</v>
      </c>
      <c r="H53" s="1444" t="str">
        <f>H5</f>
        <v>(16/15)</v>
      </c>
      <c r="I53" s="1444"/>
      <c r="J53" s="1445"/>
    </row>
    <row r="54" spans="1:10">
      <c r="A54" s="241"/>
      <c r="B54" s="240" t="s">
        <v>149</v>
      </c>
      <c r="C54" s="231" t="s">
        <v>140</v>
      </c>
      <c r="D54" s="233" t="s">
        <v>141</v>
      </c>
      <c r="E54" s="231" t="s">
        <v>149</v>
      </c>
      <c r="F54" s="231" t="s">
        <v>140</v>
      </c>
      <c r="G54" s="229" t="s">
        <v>141</v>
      </c>
      <c r="H54" s="231" t="s">
        <v>106</v>
      </c>
      <c r="I54" s="231" t="s">
        <v>107</v>
      </c>
      <c r="J54" s="234" t="s">
        <v>108</v>
      </c>
    </row>
    <row r="55" spans="1:10">
      <c r="A55" s="521" t="s">
        <v>321</v>
      </c>
      <c r="B55" s="488">
        <v>68853.210999999996</v>
      </c>
      <c r="C55" s="488">
        <v>9949.2919999999995</v>
      </c>
      <c r="D55" s="718">
        <f t="shared" ref="D55:D63" si="14">(B55*1000)/C55</f>
        <v>6920.4131309041895</v>
      </c>
      <c r="E55" s="488">
        <v>76273.312000000005</v>
      </c>
      <c r="F55" s="488">
        <v>10334.373</v>
      </c>
      <c r="G55" s="718">
        <f t="shared" ref="G55:G63" si="15">(E55*1000)/F55</f>
        <v>7380.5456799362673</v>
      </c>
      <c r="H55" s="838">
        <f t="shared" ref="H55:J60" si="16">SUM(B55-E55)*100/E55</f>
        <v>-9.7283057539182369</v>
      </c>
      <c r="I55" s="838">
        <f t="shared" si="16"/>
        <v>-3.7262154172294744</v>
      </c>
      <c r="J55" s="839">
        <f t="shared" si="16"/>
        <v>-6.2343974143122054</v>
      </c>
    </row>
    <row r="56" spans="1:10">
      <c r="A56" s="521" t="s">
        <v>280</v>
      </c>
      <c r="B56" s="1212">
        <v>59847.355000000003</v>
      </c>
      <c r="C56" s="1212">
        <v>10206.17</v>
      </c>
      <c r="D56" s="718">
        <f t="shared" si="14"/>
        <v>5863.8406963630823</v>
      </c>
      <c r="E56" s="1212">
        <v>67455.846999999994</v>
      </c>
      <c r="F56" s="1212">
        <v>10434.388000000001</v>
      </c>
      <c r="G56" s="718">
        <f t="shared" si="15"/>
        <v>6464.7631466263274</v>
      </c>
      <c r="H56" s="838">
        <f t="shared" si="16"/>
        <v>-11.279217945332437</v>
      </c>
      <c r="I56" s="838">
        <f t="shared" si="16"/>
        <v>-2.1871718782165348</v>
      </c>
      <c r="J56" s="839">
        <f t="shared" si="16"/>
        <v>-9.2953513784467088</v>
      </c>
    </row>
    <row r="57" spans="1:10">
      <c r="A57" s="521" t="s">
        <v>323</v>
      </c>
      <c r="B57" s="1212">
        <v>56435.057000000001</v>
      </c>
      <c r="C57" s="1212">
        <v>8382.6769999999997</v>
      </c>
      <c r="D57" s="718">
        <f>(B57*1000)/C57</f>
        <v>6732.3430212090962</v>
      </c>
      <c r="E57" s="1212">
        <v>47999.106</v>
      </c>
      <c r="F57" s="1212">
        <v>6674.2939999999999</v>
      </c>
      <c r="G57" s="718">
        <f>(E57*1000)/F57</f>
        <v>7191.6379470248094</v>
      </c>
      <c r="H57" s="838">
        <f>SUM(B57-E57)*100/E57</f>
        <v>17.575225255237047</v>
      </c>
      <c r="I57" s="838">
        <f>SUM(C57-F57)*100/F57</f>
        <v>25.596460090011018</v>
      </c>
      <c r="J57" s="837">
        <f>SUM(D57-G57)*100/G57</f>
        <v>-6.38651346465132</v>
      </c>
    </row>
    <row r="58" spans="1:10">
      <c r="A58" s="521" t="s">
        <v>281</v>
      </c>
      <c r="B58" s="1212">
        <v>31452.128000000001</v>
      </c>
      <c r="C58" s="1212">
        <v>4373.8860000000004</v>
      </c>
      <c r="D58" s="23">
        <f t="shared" si="14"/>
        <v>7190.8888343226135</v>
      </c>
      <c r="E58" s="1212">
        <v>27186.920999999998</v>
      </c>
      <c r="F58" s="1212">
        <v>3739.5990000000002</v>
      </c>
      <c r="G58" s="23">
        <f t="shared" si="15"/>
        <v>7270.0096989008707</v>
      </c>
      <c r="H58" s="836">
        <f t="shared" si="16"/>
        <v>15.688451811074899</v>
      </c>
      <c r="I58" s="836">
        <f t="shared" si="16"/>
        <v>16.961364039299408</v>
      </c>
      <c r="J58" s="837">
        <f t="shared" si="16"/>
        <v>-1.0883185560291508</v>
      </c>
    </row>
    <row r="59" spans="1:10">
      <c r="A59" s="521" t="s">
        <v>285</v>
      </c>
      <c r="B59" s="1212">
        <v>18532.332999999999</v>
      </c>
      <c r="C59" s="1212">
        <v>3215.64</v>
      </c>
      <c r="D59" s="23">
        <f t="shared" si="14"/>
        <v>5763.1864885372743</v>
      </c>
      <c r="E59" s="1212">
        <v>22325.241000000002</v>
      </c>
      <c r="F59" s="1212">
        <v>3444.24</v>
      </c>
      <c r="G59" s="23">
        <f t="shared" si="15"/>
        <v>6481.9063131489102</v>
      </c>
      <c r="H59" s="836">
        <f t="shared" si="16"/>
        <v>-16.989326117464991</v>
      </c>
      <c r="I59" s="836">
        <f t="shared" si="16"/>
        <v>-6.6371681415929187</v>
      </c>
      <c r="J59" s="837">
        <f t="shared" si="16"/>
        <v>-11.088093377000412</v>
      </c>
    </row>
    <row r="60" spans="1:10">
      <c r="A60" s="521" t="s">
        <v>589</v>
      </c>
      <c r="B60" s="1212">
        <v>17160.580999999998</v>
      </c>
      <c r="C60" s="1212">
        <v>2984.1</v>
      </c>
      <c r="D60" s="23">
        <f t="shared" si="14"/>
        <v>5750.672229482926</v>
      </c>
      <c r="E60" s="1212">
        <v>20405.026999999998</v>
      </c>
      <c r="F60" s="1212">
        <v>3329.8319999999999</v>
      </c>
      <c r="G60" s="23">
        <f t="shared" si="15"/>
        <v>6127.9448933159392</v>
      </c>
      <c r="H60" s="836">
        <f t="shared" si="16"/>
        <v>-15.900228899476586</v>
      </c>
      <c r="I60" s="836">
        <f t="shared" si="16"/>
        <v>-10.382866162617212</v>
      </c>
      <c r="J60" s="837">
        <f t="shared" si="16"/>
        <v>-6.1565936117428812</v>
      </c>
    </row>
    <row r="61" spans="1:10">
      <c r="A61" s="521" t="s">
        <v>282</v>
      </c>
      <c r="B61" s="1212">
        <v>11406.878000000001</v>
      </c>
      <c r="C61" s="1212">
        <v>1629.682</v>
      </c>
      <c r="D61" s="23">
        <f>(B61*1000)/C61</f>
        <v>6999.4501994867705</v>
      </c>
      <c r="E61" s="1212">
        <v>14836.505999999999</v>
      </c>
      <c r="F61" s="1212">
        <v>1830.4110000000001</v>
      </c>
      <c r="G61" s="23">
        <f>(E61*1000)/F61</f>
        <v>8105.5598988423908</v>
      </c>
      <c r="H61" s="836">
        <f t="shared" ref="H61:J62" si="17">SUM(B61-E61)*100/E61</f>
        <v>-23.116143383084932</v>
      </c>
      <c r="I61" s="836">
        <f t="shared" si="17"/>
        <v>-10.966334883258462</v>
      </c>
      <c r="J61" s="837">
        <f t="shared" si="17"/>
        <v>-13.64630837548423</v>
      </c>
    </row>
    <row r="62" spans="1:10">
      <c r="A62" s="521" t="s">
        <v>495</v>
      </c>
      <c r="B62" s="1212">
        <v>10808.985000000001</v>
      </c>
      <c r="C62" s="1212">
        <v>1348.7449999999999</v>
      </c>
      <c r="D62" s="23">
        <f>(B62*1000)/C62</f>
        <v>8014.1057056745349</v>
      </c>
      <c r="E62" s="1212">
        <v>4415.71</v>
      </c>
      <c r="F62" s="1212">
        <v>438.08499999999998</v>
      </c>
      <c r="G62" s="23">
        <f>(E62*1000)/F62</f>
        <v>10079.57359873084</v>
      </c>
      <c r="H62" s="836">
        <f t="shared" si="17"/>
        <v>144.78475715117162</v>
      </c>
      <c r="I62" s="836">
        <f t="shared" si="17"/>
        <v>207.87290137758652</v>
      </c>
      <c r="J62" s="837">
        <f t="shared" si="17"/>
        <v>-20.49161973792598</v>
      </c>
    </row>
    <row r="63" spans="1:10">
      <c r="A63" s="521" t="s">
        <v>287</v>
      </c>
      <c r="B63" s="1212">
        <v>10542.415000000001</v>
      </c>
      <c r="C63" s="1212">
        <v>1952.8409999999999</v>
      </c>
      <c r="D63" s="23">
        <f t="shared" si="14"/>
        <v>5398.5014653010667</v>
      </c>
      <c r="E63" s="1212">
        <v>11781.620999999999</v>
      </c>
      <c r="F63" s="1212">
        <v>1626.5920000000001</v>
      </c>
      <c r="G63" s="23">
        <f t="shared" si="15"/>
        <v>7243.1322667269969</v>
      </c>
      <c r="H63" s="836">
        <f t="shared" ref="H63:I63" si="18">SUM(B63-E63)*100/E63</f>
        <v>-10.518128193055933</v>
      </c>
      <c r="I63" s="836">
        <f t="shared" si="18"/>
        <v>20.05721164250161</v>
      </c>
      <c r="J63" s="837">
        <f t="shared" ref="J63:J72" si="19">SUM(D63-G63)*100/G63</f>
        <v>-25.467307975303285</v>
      </c>
    </row>
    <row r="64" spans="1:10">
      <c r="A64" s="521" t="s">
        <v>494</v>
      </c>
      <c r="B64" s="1212">
        <v>10504.388999999999</v>
      </c>
      <c r="C64" s="1212">
        <v>1864.318</v>
      </c>
      <c r="D64" s="23">
        <f>(B64*1000)/C64</f>
        <v>5634.4405836343367</v>
      </c>
      <c r="E64" s="1212">
        <v>6660.058</v>
      </c>
      <c r="F64" s="1212">
        <v>972.46199999999999</v>
      </c>
      <c r="G64" s="23">
        <f>(E64*1000)/F64</f>
        <v>6848.6562971098101</v>
      </c>
      <c r="H64" s="836">
        <f>SUM(B64-E64)*100/E64</f>
        <v>57.722185001992464</v>
      </c>
      <c r="I64" s="836">
        <f>SUM(C64-F64)*100/F64</f>
        <v>91.711141412209429</v>
      </c>
      <c r="J64" s="837">
        <f>SUM(D64-G64)*100/G64</f>
        <v>-17.729254627479008</v>
      </c>
    </row>
    <row r="65" spans="1:10">
      <c r="A65" s="521" t="s">
        <v>284</v>
      </c>
      <c r="B65" s="1212">
        <v>9924.9770000000008</v>
      </c>
      <c r="C65" s="1212">
        <v>1319.546</v>
      </c>
      <c r="D65" s="23">
        <f>(B57*1000)/C57</f>
        <v>6732.3430212090962</v>
      </c>
      <c r="E65" s="1212">
        <v>11473.901</v>
      </c>
      <c r="F65" s="1212">
        <v>1354.808</v>
      </c>
      <c r="G65" s="23">
        <f>(E57*1000)/F57</f>
        <v>7191.6379470248094</v>
      </c>
      <c r="H65" s="836">
        <f>SUM(B57-E57)*100/E57</f>
        <v>17.575225255237047</v>
      </c>
      <c r="I65" s="836">
        <f>SUM(C57-F57)*100/F57</f>
        <v>25.596460090011018</v>
      </c>
      <c r="J65" s="837">
        <f t="shared" si="19"/>
        <v>-6.38651346465132</v>
      </c>
    </row>
    <row r="66" spans="1:10">
      <c r="A66" s="521" t="s">
        <v>286</v>
      </c>
      <c r="B66" s="1212">
        <v>7118.0230000000001</v>
      </c>
      <c r="C66" s="1212">
        <v>1214.6099999999999</v>
      </c>
      <c r="D66" s="23">
        <f>(B66*1000)/C66</f>
        <v>5860.3362396160092</v>
      </c>
      <c r="E66" s="1212">
        <v>11902.856</v>
      </c>
      <c r="F66" s="1212">
        <v>1820.1990000000001</v>
      </c>
      <c r="G66" s="23">
        <f>(E66*1000)/F66</f>
        <v>6539.3157561343569</v>
      </c>
      <c r="H66" s="836">
        <f>SUM(B66-E66)*100/E66</f>
        <v>-40.199032904371855</v>
      </c>
      <c r="I66" s="836">
        <f>SUM(C66-F66)*100/F66</f>
        <v>-33.270483062566242</v>
      </c>
      <c r="J66" s="837">
        <f>SUM(D66-G66)*100/G66</f>
        <v>-10.383036113241896</v>
      </c>
    </row>
    <row r="67" spans="1:10">
      <c r="A67" s="521" t="s">
        <v>292</v>
      </c>
      <c r="B67" s="1212">
        <v>6537.808</v>
      </c>
      <c r="C67" s="1212">
        <v>782.84100000000001</v>
      </c>
      <c r="D67" s="23">
        <f t="shared" ref="D67:D72" si="20">(B67*1000)/C67</f>
        <v>8351.386807793664</v>
      </c>
      <c r="E67" s="1212">
        <v>7861.4030000000002</v>
      </c>
      <c r="F67" s="1212">
        <v>947.86599999999999</v>
      </c>
      <c r="G67" s="23">
        <f t="shared" ref="G67:G72" si="21">(E67*1000)/F67</f>
        <v>8293.7915274943934</v>
      </c>
      <c r="H67" s="836">
        <f t="shared" ref="H67:I72" si="22">SUM(B67-E67)*100/E67</f>
        <v>-16.836625726985378</v>
      </c>
      <c r="I67" s="836">
        <f t="shared" si="22"/>
        <v>-17.410161351921047</v>
      </c>
      <c r="J67" s="837">
        <f t="shared" si="19"/>
        <v>0.69443848580397693</v>
      </c>
    </row>
    <row r="68" spans="1:10">
      <c r="A68" s="521" t="s">
        <v>496</v>
      </c>
      <c r="B68" s="1212">
        <v>5594.64</v>
      </c>
      <c r="C68" s="1212">
        <v>871.70299999999997</v>
      </c>
      <c r="D68" s="23">
        <f t="shared" si="20"/>
        <v>6418.0575264740401</v>
      </c>
      <c r="E68" s="1212">
        <v>5536.2790000000005</v>
      </c>
      <c r="F68" s="1212">
        <v>780.56899999999996</v>
      </c>
      <c r="G68" s="23">
        <f t="shared" si="21"/>
        <v>7092.6196146657121</v>
      </c>
      <c r="H68" s="836">
        <f t="shared" si="22"/>
        <v>1.0541556883242313</v>
      </c>
      <c r="I68" s="836">
        <f t="shared" si="22"/>
        <v>11.675329150914271</v>
      </c>
      <c r="J68" s="837">
        <f t="shared" si="19"/>
        <v>-9.5107608308339451</v>
      </c>
    </row>
    <row r="69" spans="1:10">
      <c r="A69" s="521" t="s">
        <v>467</v>
      </c>
      <c r="B69" s="1212">
        <v>5068.3040000000001</v>
      </c>
      <c r="C69" s="1212">
        <v>682.06100000000004</v>
      </c>
      <c r="D69" s="23">
        <f t="shared" si="20"/>
        <v>7430.8661542002837</v>
      </c>
      <c r="E69" s="1212">
        <v>8609.4830000000002</v>
      </c>
      <c r="F69" s="1212">
        <v>872.26800000000003</v>
      </c>
      <c r="G69" s="23">
        <f t="shared" si="21"/>
        <v>9870.2268110259683</v>
      </c>
      <c r="H69" s="836">
        <f t="shared" si="22"/>
        <v>-41.131145737787044</v>
      </c>
      <c r="I69" s="836">
        <f t="shared" si="22"/>
        <v>-21.806027505308002</v>
      </c>
      <c r="J69" s="837">
        <f t="shared" si="19"/>
        <v>-24.714332340374288</v>
      </c>
    </row>
    <row r="70" spans="1:10">
      <c r="A70" s="253" t="s">
        <v>127</v>
      </c>
      <c r="B70" s="248">
        <f>SUM(B55:B69)</f>
        <v>329787.08400000003</v>
      </c>
      <c r="C70" s="248">
        <f>SUM(C55:C69)</f>
        <v>50778.112000000008</v>
      </c>
      <c r="D70" s="249">
        <f t="shared" si="20"/>
        <v>6494.6700657165038</v>
      </c>
      <c r="E70" s="248">
        <f>SUM(E55:E69)</f>
        <v>344723.27100000001</v>
      </c>
      <c r="F70" s="248">
        <f>SUM(F55:F69)</f>
        <v>48599.986000000004</v>
      </c>
      <c r="G70" s="249">
        <f t="shared" si="21"/>
        <v>7093.0734630252764</v>
      </c>
      <c r="H70" s="843">
        <f t="shared" si="22"/>
        <v>-4.3328049645943327</v>
      </c>
      <c r="I70" s="843">
        <f t="shared" si="22"/>
        <v>4.4817420317775474</v>
      </c>
      <c r="J70" s="844">
        <f t="shared" si="19"/>
        <v>-8.4364471963828596</v>
      </c>
    </row>
    <row r="71" spans="1:10">
      <c r="A71" s="24" t="s">
        <v>150</v>
      </c>
      <c r="B71" s="25">
        <f>B72-B70</f>
        <v>77287.138999999966</v>
      </c>
      <c r="C71" s="25">
        <f>C72-C70</f>
        <v>10974.791999999994</v>
      </c>
      <c r="D71" s="23">
        <f t="shared" si="20"/>
        <v>7042.2418028514812</v>
      </c>
      <c r="E71" s="25">
        <f>E72-E70</f>
        <v>83739.393999999971</v>
      </c>
      <c r="F71" s="25">
        <f>F72-F70</f>
        <v>10363.799999999996</v>
      </c>
      <c r="G71" s="23">
        <f t="shared" si="21"/>
        <v>8079.9893861324999</v>
      </c>
      <c r="H71" s="836">
        <f t="shared" si="22"/>
        <v>-7.7051608469963453</v>
      </c>
      <c r="I71" s="836">
        <f t="shared" si="22"/>
        <v>5.8954437561512059</v>
      </c>
      <c r="J71" s="837">
        <f t="shared" si="19"/>
        <v>-12.843427555264876</v>
      </c>
    </row>
    <row r="72" spans="1:10">
      <c r="A72" s="250" t="s">
        <v>151</v>
      </c>
      <c r="B72" s="251">
        <f>B8</f>
        <v>407074.223</v>
      </c>
      <c r="C72" s="228">
        <f>C8</f>
        <v>61752.904000000002</v>
      </c>
      <c r="D72" s="252">
        <f t="shared" si="20"/>
        <v>6591.9850991946869</v>
      </c>
      <c r="E72" s="228">
        <f>E8</f>
        <v>428462.66499999998</v>
      </c>
      <c r="F72" s="228">
        <f>F8</f>
        <v>58963.786</v>
      </c>
      <c r="G72" s="252">
        <f t="shared" si="21"/>
        <v>7266.5392449528254</v>
      </c>
      <c r="H72" s="840">
        <f t="shared" si="22"/>
        <v>-4.9919033202111054</v>
      </c>
      <c r="I72" s="840">
        <f t="shared" si="22"/>
        <v>4.73022203832027</v>
      </c>
      <c r="J72" s="845">
        <f t="shared" si="19"/>
        <v>-9.2830179954875849</v>
      </c>
    </row>
    <row r="73" spans="1:10">
      <c r="A73" s="237" t="s">
        <v>116</v>
      </c>
      <c r="B73" s="4"/>
      <c r="C73" s="4"/>
      <c r="D73" s="4"/>
      <c r="E73" s="4"/>
      <c r="F73" s="4"/>
      <c r="G73" s="4"/>
      <c r="H73" s="4"/>
      <c r="I73" s="4"/>
      <c r="J73" s="4"/>
    </row>
    <row r="74" spans="1:10">
      <c r="A74" s="1453" t="s">
        <v>138</v>
      </c>
      <c r="B74" s="1453"/>
      <c r="C74" s="1453"/>
      <c r="D74" s="1453"/>
      <c r="E74" s="1453"/>
      <c r="F74" s="1453"/>
      <c r="G74" s="1453"/>
      <c r="H74" s="1453"/>
      <c r="I74" s="1453"/>
      <c r="J74" s="1453"/>
    </row>
    <row r="75" spans="1:10">
      <c r="A75" s="1448" t="s">
        <v>320</v>
      </c>
      <c r="B75" s="1448"/>
      <c r="C75" s="1448"/>
      <c r="D75" s="1448"/>
      <c r="E75" s="1448"/>
      <c r="F75" s="1448"/>
      <c r="G75" s="1448"/>
      <c r="H75" s="1448"/>
      <c r="I75" s="1448"/>
      <c r="J75" s="1448"/>
    </row>
    <row r="76" spans="1:10">
      <c r="A76" s="254"/>
      <c r="B76" s="254"/>
      <c r="C76" s="254"/>
      <c r="D76" s="254"/>
      <c r="E76" s="254"/>
      <c r="F76" s="254"/>
      <c r="G76" s="254"/>
      <c r="H76" s="254"/>
      <c r="I76" s="254"/>
      <c r="J76" s="254"/>
    </row>
    <row r="77" spans="1:10">
      <c r="A77" s="1454" t="s">
        <v>154</v>
      </c>
      <c r="B77" s="1457"/>
      <c r="C77" s="1457"/>
      <c r="D77" s="26"/>
      <c r="E77" s="26"/>
      <c r="F77" s="26"/>
      <c r="G77" s="26"/>
      <c r="H77" s="26"/>
      <c r="I77" s="26"/>
      <c r="J77" s="26"/>
    </row>
    <row r="78" spans="1:10">
      <c r="A78" s="6"/>
      <c r="B78" s="6"/>
      <c r="C78" s="6"/>
      <c r="D78" s="6"/>
      <c r="E78" s="6"/>
      <c r="F78" s="6"/>
      <c r="G78" s="21"/>
      <c r="H78" s="6"/>
      <c r="I78" s="6"/>
      <c r="J78" s="6"/>
    </row>
    <row r="79" spans="1:10">
      <c r="A79" s="1440" t="s">
        <v>147</v>
      </c>
      <c r="B79" s="1455" t="str">
        <f>B4</f>
        <v>Jan a Set/2016</v>
      </c>
      <c r="C79" s="1458"/>
      <c r="D79" s="1459"/>
      <c r="E79" s="1455" t="str">
        <f>E4</f>
        <v>Jan a Set/2015</v>
      </c>
      <c r="F79" s="1458"/>
      <c r="G79" s="1459"/>
      <c r="H79" s="1444" t="s">
        <v>105</v>
      </c>
      <c r="I79" s="1444"/>
      <c r="J79" s="1445"/>
    </row>
    <row r="80" spans="1:10">
      <c r="A80" s="1451"/>
      <c r="B80" s="240" t="s">
        <v>106</v>
      </c>
      <c r="C80" s="231" t="s">
        <v>148</v>
      </c>
      <c r="D80" s="233" t="s">
        <v>108</v>
      </c>
      <c r="E80" s="231" t="s">
        <v>106</v>
      </c>
      <c r="F80" s="231" t="s">
        <v>148</v>
      </c>
      <c r="G80" s="229" t="s">
        <v>108</v>
      </c>
      <c r="H80" s="1444" t="str">
        <f>H5</f>
        <v>(16/15)</v>
      </c>
      <c r="I80" s="1444"/>
      <c r="J80" s="1445"/>
    </row>
    <row r="81" spans="1:11">
      <c r="A81" s="241"/>
      <c r="B81" s="240" t="s">
        <v>149</v>
      </c>
      <c r="C81" s="231" t="s">
        <v>140</v>
      </c>
      <c r="D81" s="233" t="s">
        <v>141</v>
      </c>
      <c r="E81" s="231" t="s">
        <v>149</v>
      </c>
      <c r="F81" s="231" t="s">
        <v>140</v>
      </c>
      <c r="G81" s="229" t="s">
        <v>141</v>
      </c>
      <c r="H81" s="231" t="s">
        <v>106</v>
      </c>
      <c r="I81" s="231" t="s">
        <v>107</v>
      </c>
      <c r="J81" s="234" t="s">
        <v>108</v>
      </c>
    </row>
    <row r="82" spans="1:11">
      <c r="A82" s="521" t="s">
        <v>280</v>
      </c>
      <c r="B82" s="1212">
        <v>3618.2649999999999</v>
      </c>
      <c r="C82" s="1212">
        <v>524.80499999999995</v>
      </c>
      <c r="D82" s="23">
        <f t="shared" ref="D82:D88" si="23">(B82*1000)/C82</f>
        <v>6894.4941454444988</v>
      </c>
      <c r="E82" s="1212">
        <v>3234.723</v>
      </c>
      <c r="F82" s="1212">
        <v>387.10700000000003</v>
      </c>
      <c r="G82" s="23">
        <f t="shared" ref="G82:G87" si="24">(E82*1000)/F82</f>
        <v>8356.1470084498596</v>
      </c>
      <c r="H82" s="836">
        <f t="shared" ref="H82:J83" si="25">SUM(B82-E82)*100/E82</f>
        <v>11.85702763420546</v>
      </c>
      <c r="I82" s="836">
        <f t="shared" si="25"/>
        <v>35.571043664929832</v>
      </c>
      <c r="J82" s="837">
        <f t="shared" si="25"/>
        <v>-17.491947682673793</v>
      </c>
    </row>
    <row r="83" spans="1:11">
      <c r="A83" s="521" t="s">
        <v>321</v>
      </c>
      <c r="B83" s="25">
        <v>1261.893</v>
      </c>
      <c r="C83" s="25">
        <v>338.00099999999998</v>
      </c>
      <c r="D83" s="718">
        <f t="shared" si="23"/>
        <v>3733.4001970408376</v>
      </c>
      <c r="E83" s="25">
        <v>1759.625</v>
      </c>
      <c r="F83" s="25">
        <v>389.37299999999999</v>
      </c>
      <c r="G83" s="718">
        <f t="shared" si="24"/>
        <v>4519.1243357911308</v>
      </c>
      <c r="H83" s="838">
        <f t="shared" si="25"/>
        <v>-28.286254173474461</v>
      </c>
      <c r="I83" s="838">
        <f t="shared" si="25"/>
        <v>-13.193518811011554</v>
      </c>
      <c r="J83" s="839">
        <f t="shared" si="25"/>
        <v>-17.386645738587365</v>
      </c>
    </row>
    <row r="84" spans="1:11">
      <c r="A84" s="521" t="s">
        <v>281</v>
      </c>
      <c r="B84" s="1212">
        <v>693.25699999999995</v>
      </c>
      <c r="C84" s="1212">
        <v>134.92699999999999</v>
      </c>
      <c r="D84" s="23">
        <f t="shared" si="23"/>
        <v>5138.0153712748379</v>
      </c>
      <c r="E84" s="1212">
        <v>568.83799999999997</v>
      </c>
      <c r="F84" s="1212">
        <v>112.087</v>
      </c>
      <c r="G84" s="23">
        <f t="shared" si="24"/>
        <v>5074.9685512146816</v>
      </c>
      <c r="H84" s="836">
        <f t="shared" ref="H84:J86" si="26">SUM(B84-E84)*100/E84</f>
        <v>21.872483905786883</v>
      </c>
      <c r="I84" s="836">
        <f t="shared" si="26"/>
        <v>20.377028558173553</v>
      </c>
      <c r="J84" s="837">
        <f t="shared" si="26"/>
        <v>1.2423095714566776</v>
      </c>
    </row>
    <row r="85" spans="1:11">
      <c r="A85" s="521" t="s">
        <v>286</v>
      </c>
      <c r="B85" s="1212">
        <v>454.90800000000002</v>
      </c>
      <c r="C85" s="1212">
        <v>108.044</v>
      </c>
      <c r="D85" s="718">
        <f t="shared" si="23"/>
        <v>4210.3957646884601</v>
      </c>
      <c r="E85" s="1212">
        <v>543.79499999999996</v>
      </c>
      <c r="F85" s="1212">
        <v>112.506</v>
      </c>
      <c r="G85" s="23">
        <f t="shared" si="24"/>
        <v>4833.4755479707746</v>
      </c>
      <c r="H85" s="836">
        <f>SUM(B85-E85)*100/E85</f>
        <v>-16.345681736683851</v>
      </c>
      <c r="I85" s="836">
        <f>SUM(C85-F85)*100/F85</f>
        <v>-3.9660107016514705</v>
      </c>
      <c r="J85" s="837">
        <f>SUM(D85-G85)*100/G85</f>
        <v>-12.890926562024308</v>
      </c>
    </row>
    <row r="86" spans="1:11">
      <c r="A86" s="521" t="s">
        <v>289</v>
      </c>
      <c r="B86" s="1212">
        <v>453.32</v>
      </c>
      <c r="C86" s="1212">
        <v>67.561000000000007</v>
      </c>
      <c r="D86" s="23">
        <f t="shared" si="23"/>
        <v>6709.7881914122045</v>
      </c>
      <c r="E86" s="1212">
        <v>398.98399999999998</v>
      </c>
      <c r="F86" s="1212">
        <v>65.567999999999998</v>
      </c>
      <c r="G86" s="23">
        <f t="shared" si="24"/>
        <v>6085.0414836505615</v>
      </c>
      <c r="H86" s="836">
        <f t="shared" si="26"/>
        <v>13.618591221703129</v>
      </c>
      <c r="I86" s="836">
        <f t="shared" si="26"/>
        <v>3.0395924841386184</v>
      </c>
      <c r="J86" s="837">
        <f t="shared" si="26"/>
        <v>10.266926025734215</v>
      </c>
    </row>
    <row r="87" spans="1:11">
      <c r="A87" s="521" t="s">
        <v>288</v>
      </c>
      <c r="B87" s="1212">
        <v>330.40800000000002</v>
      </c>
      <c r="C87" s="1212">
        <v>55.128</v>
      </c>
      <c r="D87" s="23">
        <f t="shared" si="23"/>
        <v>5993.4697431432305</v>
      </c>
      <c r="E87" s="1212">
        <v>443.05099999999999</v>
      </c>
      <c r="F87" s="1212">
        <v>53.003999999999998</v>
      </c>
      <c r="G87" s="23">
        <f t="shared" si="24"/>
        <v>8358.8219756999479</v>
      </c>
      <c r="H87" s="836">
        <f>SUM(B87-E87)*100/E87</f>
        <v>-25.424386808742103</v>
      </c>
      <c r="I87" s="836">
        <f>SUM(C87-F87)*100/F87</f>
        <v>4.0072447362463253</v>
      </c>
      <c r="J87" s="837">
        <f>SUM(D87-G87)*100/G87</f>
        <v>-28.297674474143211</v>
      </c>
    </row>
    <row r="88" spans="1:11">
      <c r="A88" s="521" t="s">
        <v>469</v>
      </c>
      <c r="B88" s="1212">
        <v>271.69900000000001</v>
      </c>
      <c r="C88" s="1212">
        <v>31.231999999999999</v>
      </c>
      <c r="D88" s="23">
        <f t="shared" si="23"/>
        <v>8699.3788422131147</v>
      </c>
      <c r="E88" s="1212">
        <v>116.685</v>
      </c>
      <c r="F88" s="1212">
        <v>13.678000000000001</v>
      </c>
      <c r="G88" s="23">
        <v>0</v>
      </c>
      <c r="H88" s="836">
        <v>0</v>
      </c>
      <c r="I88" s="836">
        <v>0</v>
      </c>
      <c r="J88" s="837">
        <v>0</v>
      </c>
    </row>
    <row r="89" spans="1:11">
      <c r="A89" s="521" t="s">
        <v>468</v>
      </c>
      <c r="B89" s="1212">
        <v>260.02</v>
      </c>
      <c r="C89" s="1212">
        <v>51.692</v>
      </c>
      <c r="D89" s="23">
        <f t="shared" ref="D89:D99" si="27">(B89*1000)/C89</f>
        <v>5030.1787510639942</v>
      </c>
      <c r="E89" s="1212">
        <v>268.35199999999998</v>
      </c>
      <c r="F89" s="1212">
        <v>46.268999999999998</v>
      </c>
      <c r="G89" s="23">
        <f>(E89*1000)/F89</f>
        <v>5799.8227755084399</v>
      </c>
      <c r="H89" s="836">
        <f>SUM(B89-E89)*100/E89</f>
        <v>-3.1048771762461223</v>
      </c>
      <c r="I89" s="836">
        <f>SUM(C89-F89)*100/F89</f>
        <v>11.7205904601353</v>
      </c>
      <c r="J89" s="837">
        <f>SUM(D89-G89)*100/G89</f>
        <v>-13.270130040774823</v>
      </c>
    </row>
    <row r="90" spans="1:11">
      <c r="A90" s="521" t="s">
        <v>467</v>
      </c>
      <c r="B90" s="1212">
        <v>40.878999999999998</v>
      </c>
      <c r="C90" s="1212">
        <v>5.6390000000000002</v>
      </c>
      <c r="D90" s="23">
        <f>(B90*1000)/C90</f>
        <v>7249.3349884731333</v>
      </c>
      <c r="E90" s="1212">
        <v>22.335000000000001</v>
      </c>
      <c r="F90" s="1212">
        <v>1.0620000000000001</v>
      </c>
      <c r="G90" s="23">
        <f>(E90*1000)/F90</f>
        <v>21031.073446327682</v>
      </c>
      <c r="H90" s="836">
        <f t="shared" ref="H90:J91" si="28">SUM(B90-E90)*100/E90</f>
        <v>83.026639802999753</v>
      </c>
      <c r="I90" s="836">
        <f t="shared" si="28"/>
        <v>430.97928436911485</v>
      </c>
      <c r="J90" s="837">
        <f t="shared" si="28"/>
        <v>-65.530361505446763</v>
      </c>
    </row>
    <row r="91" spans="1:11">
      <c r="A91" s="521" t="s">
        <v>466</v>
      </c>
      <c r="B91" s="1212">
        <v>35.531999999999996</v>
      </c>
      <c r="C91" s="1212">
        <v>7.5209999999999999</v>
      </c>
      <c r="D91" s="23">
        <f>(B91*1000)/C91</f>
        <v>4724.371759074591</v>
      </c>
      <c r="E91" s="1212">
        <v>35.531999999999996</v>
      </c>
      <c r="F91" s="1212">
        <v>7.5209999999999999</v>
      </c>
      <c r="G91" s="23">
        <f>(E91*1000)/F91</f>
        <v>4724.371759074591</v>
      </c>
      <c r="H91" s="836">
        <f t="shared" si="28"/>
        <v>0</v>
      </c>
      <c r="I91" s="836">
        <f t="shared" si="28"/>
        <v>0</v>
      </c>
      <c r="J91" s="837">
        <f t="shared" si="28"/>
        <v>0</v>
      </c>
    </row>
    <row r="92" spans="1:11">
      <c r="A92" s="521" t="s">
        <v>470</v>
      </c>
      <c r="B92" s="1212">
        <v>27.04</v>
      </c>
      <c r="C92" s="1212">
        <v>4.9130000000000003</v>
      </c>
      <c r="D92" s="23">
        <f>(B92*1000)/C92</f>
        <v>5503.7655200488498</v>
      </c>
      <c r="E92" s="1212">
        <v>9.5609999999999999</v>
      </c>
      <c r="F92" s="1212">
        <v>2.073</v>
      </c>
      <c r="G92" s="23">
        <f>(E92*1000)/F92</f>
        <v>4612.156295224313</v>
      </c>
      <c r="H92" s="836">
        <v>0</v>
      </c>
      <c r="I92" s="836">
        <v>0</v>
      </c>
      <c r="J92" s="837">
        <v>0</v>
      </c>
      <c r="K92" s="830"/>
    </row>
    <row r="93" spans="1:11">
      <c r="A93" s="521" t="s">
        <v>283</v>
      </c>
      <c r="B93" s="1212">
        <v>21.498999999999999</v>
      </c>
      <c r="C93" s="1212">
        <v>3.7</v>
      </c>
      <c r="D93" s="23">
        <f>(B93*1000)/C93</f>
        <v>5810.54054054054</v>
      </c>
      <c r="E93" s="1212">
        <v>7.7350000000000003</v>
      </c>
      <c r="F93" s="1212">
        <v>1.2</v>
      </c>
      <c r="G93" s="23">
        <f>(E93*1000)/F93</f>
        <v>6445.8333333333339</v>
      </c>
      <c r="H93" s="836">
        <v>0</v>
      </c>
      <c r="I93" s="836">
        <v>0</v>
      </c>
      <c r="J93" s="837">
        <v>0</v>
      </c>
    </row>
    <row r="94" spans="1:11">
      <c r="A94" s="521" t="s">
        <v>287</v>
      </c>
      <c r="B94" s="1212">
        <v>12.366</v>
      </c>
      <c r="C94" s="1212">
        <v>0.91500000000000004</v>
      </c>
      <c r="D94" s="23">
        <f t="shared" si="27"/>
        <v>13514.754098360656</v>
      </c>
      <c r="E94" s="1212">
        <v>10.973000000000001</v>
      </c>
      <c r="F94" s="1212">
        <v>0.95</v>
      </c>
      <c r="G94" s="23">
        <v>0</v>
      </c>
      <c r="H94" s="836">
        <v>0</v>
      </c>
      <c r="I94" s="836">
        <v>0</v>
      </c>
      <c r="J94" s="837">
        <v>0</v>
      </c>
    </row>
    <row r="95" spans="1:11">
      <c r="A95" s="521" t="s">
        <v>592</v>
      </c>
      <c r="B95" s="1212">
        <v>12.061999999999999</v>
      </c>
      <c r="C95" s="1212">
        <v>1.26</v>
      </c>
      <c r="D95" s="23">
        <f>(B95*1000)/C95</f>
        <v>9573.0158730158728</v>
      </c>
      <c r="E95" s="1212">
        <v>24.701000000000001</v>
      </c>
      <c r="F95" s="1212">
        <v>2.8</v>
      </c>
      <c r="G95" s="23">
        <f>(E95*1000)/F95</f>
        <v>8821.7857142857156</v>
      </c>
      <c r="H95" s="836">
        <f>SUM(B95-E95)*100/E95</f>
        <v>-51.167968908141376</v>
      </c>
      <c r="I95" s="836">
        <f>SUM(C95-F95)*100/F95</f>
        <v>-54.999999999999993</v>
      </c>
      <c r="J95" s="837">
        <f>SUM(D95-G95)*100/G95</f>
        <v>8.5156246485747129</v>
      </c>
    </row>
    <row r="96" spans="1:11">
      <c r="A96" s="521" t="s">
        <v>535</v>
      </c>
      <c r="B96" s="1212">
        <v>9.2970000000000006</v>
      </c>
      <c r="C96" s="1212">
        <v>1.75</v>
      </c>
      <c r="D96" s="23">
        <f t="shared" si="27"/>
        <v>5312.5714285714284</v>
      </c>
      <c r="E96" s="1212">
        <v>18.948</v>
      </c>
      <c r="F96" s="1212">
        <v>2.9529999999999998</v>
      </c>
      <c r="G96" s="23">
        <f>(E96*1000)/F96</f>
        <v>6416.5255672197773</v>
      </c>
      <c r="H96" s="836">
        <v>0</v>
      </c>
      <c r="I96" s="836">
        <v>0</v>
      </c>
      <c r="J96" s="837">
        <v>0</v>
      </c>
    </row>
    <row r="97" spans="1:10">
      <c r="A97" s="247" t="s">
        <v>127</v>
      </c>
      <c r="B97" s="248">
        <f>SUM(B82:B96)</f>
        <v>7502.4449999999979</v>
      </c>
      <c r="C97" s="248">
        <f>SUM(C82:C96)</f>
        <v>1337.0879999999997</v>
      </c>
      <c r="D97" s="249">
        <f t="shared" si="27"/>
        <v>5611.0330808443423</v>
      </c>
      <c r="E97" s="248">
        <f>SUM(E82:E96)</f>
        <v>7463.8380000000006</v>
      </c>
      <c r="F97" s="248">
        <f>SUM(F82:F96)</f>
        <v>1198.1510000000001</v>
      </c>
      <c r="G97" s="249">
        <f>(E97*1000)/F97</f>
        <v>6229.463565109907</v>
      </c>
      <c r="H97" s="843">
        <f>SUM(B97-E97)*100/E97</f>
        <v>0.5172539918470529</v>
      </c>
      <c r="I97" s="843">
        <f t="shared" ref="I97:J99" si="29">SUM(C97-F97)*100/F97</f>
        <v>11.595950760797235</v>
      </c>
      <c r="J97" s="844">
        <f t="shared" si="29"/>
        <v>-9.9275078472130645</v>
      </c>
    </row>
    <row r="98" spans="1:10">
      <c r="A98" s="24" t="s">
        <v>150</v>
      </c>
      <c r="B98" s="25">
        <f>B99-B97</f>
        <v>162.11900000000242</v>
      </c>
      <c r="C98" s="25">
        <f>C99-C97</f>
        <v>31.581000000000358</v>
      </c>
      <c r="D98" s="718">
        <f t="shared" si="27"/>
        <v>5133.4346600804465</v>
      </c>
      <c r="E98" s="25">
        <f>E99-E97</f>
        <v>301.24899999999889</v>
      </c>
      <c r="F98" s="25">
        <f>F99-F97</f>
        <v>62.874000000000024</v>
      </c>
      <c r="G98" s="23">
        <f>(E98*1000)/F98</f>
        <v>4791.3127842987369</v>
      </c>
      <c r="H98" s="836">
        <f>SUM(B98-E98)*100/E98</f>
        <v>-46.184385674308288</v>
      </c>
      <c r="I98" s="836">
        <f t="shared" si="29"/>
        <v>-49.770970512452926</v>
      </c>
      <c r="J98" s="837">
        <f t="shared" si="29"/>
        <v>7.140462148554616</v>
      </c>
    </row>
    <row r="99" spans="1:10">
      <c r="A99" s="250" t="s">
        <v>151</v>
      </c>
      <c r="B99" s="251">
        <f>B9</f>
        <v>7664.5640000000003</v>
      </c>
      <c r="C99" s="228">
        <f>C9</f>
        <v>1368.6690000000001</v>
      </c>
      <c r="D99" s="252">
        <f t="shared" si="27"/>
        <v>5600.0128592084711</v>
      </c>
      <c r="E99" s="228">
        <f>E9</f>
        <v>7765.0869999999995</v>
      </c>
      <c r="F99" s="228">
        <f>F9</f>
        <v>1261.0250000000001</v>
      </c>
      <c r="G99" s="252">
        <f>(E99*1000)/F99</f>
        <v>6157.7581729148906</v>
      </c>
      <c r="H99" s="840">
        <f>SUM(B99-E99)*100/E99</f>
        <v>-1.2945508530683461</v>
      </c>
      <c r="I99" s="840">
        <f t="shared" si="29"/>
        <v>8.5362304474534607</v>
      </c>
      <c r="J99" s="845">
        <f t="shared" si="29"/>
        <v>-9.0576034011806641</v>
      </c>
    </row>
    <row r="100" spans="1:10">
      <c r="A100" s="237" t="s">
        <v>116</v>
      </c>
      <c r="B100" s="6"/>
      <c r="C100" s="6"/>
      <c r="D100" s="6"/>
      <c r="E100" s="6"/>
      <c r="F100" s="6"/>
      <c r="G100" s="21"/>
      <c r="H100" s="6"/>
      <c r="I100" s="6"/>
      <c r="J100" s="6"/>
    </row>
    <row r="101" spans="1:10">
      <c r="A101" s="383"/>
      <c r="B101" s="383"/>
      <c r="C101" s="383"/>
      <c r="D101" s="383"/>
      <c r="E101" s="383"/>
      <c r="F101" s="383"/>
      <c r="G101" s="384"/>
      <c r="H101" s="383"/>
      <c r="I101" s="383"/>
      <c r="J101" s="383"/>
    </row>
    <row r="102" spans="1:10">
      <c r="A102" s="1453" t="s">
        <v>155</v>
      </c>
      <c r="B102" s="1453"/>
      <c r="C102" s="1453"/>
      <c r="D102" s="1453"/>
      <c r="E102" s="1453"/>
      <c r="F102" s="1453"/>
      <c r="G102" s="1453"/>
      <c r="H102" s="1453"/>
      <c r="I102" s="1453"/>
      <c r="J102" s="1453"/>
    </row>
    <row r="103" spans="1:10">
      <c r="A103" s="1448" t="s">
        <v>320</v>
      </c>
      <c r="B103" s="1448"/>
      <c r="C103" s="1448"/>
      <c r="D103" s="1448"/>
      <c r="E103" s="1448"/>
      <c r="F103" s="1448"/>
      <c r="G103" s="1448"/>
      <c r="H103" s="1448"/>
      <c r="I103" s="1448"/>
      <c r="J103" s="1448"/>
    </row>
    <row r="104" spans="1:10">
      <c r="A104" s="254"/>
      <c r="B104" s="254"/>
      <c r="C104" s="254"/>
      <c r="D104" s="254"/>
      <c r="E104" s="254"/>
      <c r="F104" s="254"/>
      <c r="G104" s="254"/>
      <c r="H104" s="254"/>
      <c r="I104" s="254"/>
      <c r="J104" s="254"/>
    </row>
    <row r="105" spans="1:10">
      <c r="A105" s="1454" t="s">
        <v>156</v>
      </c>
      <c r="B105" s="1454"/>
      <c r="C105" s="1454"/>
      <c r="D105" s="26"/>
      <c r="E105" s="26"/>
      <c r="F105" s="26"/>
      <c r="G105" s="26"/>
      <c r="H105" s="26"/>
      <c r="I105" s="26"/>
      <c r="J105" s="26"/>
    </row>
    <row r="106" spans="1:10">
      <c r="A106" s="6"/>
      <c r="B106" s="6"/>
      <c r="C106" s="6"/>
      <c r="D106" s="6"/>
      <c r="E106" s="6"/>
      <c r="F106" s="6"/>
      <c r="G106" s="21"/>
      <c r="H106" s="6"/>
      <c r="I106" s="6"/>
      <c r="J106" s="6"/>
    </row>
    <row r="107" spans="1:10">
      <c r="A107" s="1440" t="s">
        <v>147</v>
      </c>
      <c r="B107" s="1455" t="str">
        <f>B4</f>
        <v>Jan a Set/2016</v>
      </c>
      <c r="C107" s="1456"/>
      <c r="D107" s="1452"/>
      <c r="E107" s="1452" t="str">
        <f>E4</f>
        <v>Jan a Set/2015</v>
      </c>
      <c r="F107" s="1446"/>
      <c r="G107" s="1446"/>
      <c r="H107" s="1444" t="s">
        <v>105</v>
      </c>
      <c r="I107" s="1444"/>
      <c r="J107" s="1445"/>
    </row>
    <row r="108" spans="1:10">
      <c r="A108" s="1451"/>
      <c r="B108" s="240" t="s">
        <v>106</v>
      </c>
      <c r="C108" s="231" t="s">
        <v>148</v>
      </c>
      <c r="D108" s="233" t="s">
        <v>108</v>
      </c>
      <c r="E108" s="231" t="s">
        <v>106</v>
      </c>
      <c r="F108" s="231" t="s">
        <v>148</v>
      </c>
      <c r="G108" s="229" t="s">
        <v>108</v>
      </c>
      <c r="H108" s="1444" t="str">
        <f>H5</f>
        <v>(16/15)</v>
      </c>
      <c r="I108" s="1444"/>
      <c r="J108" s="1445"/>
    </row>
    <row r="109" spans="1:10">
      <c r="A109" s="241"/>
      <c r="B109" s="240" t="s">
        <v>149</v>
      </c>
      <c r="C109" s="231" t="s">
        <v>140</v>
      </c>
      <c r="D109" s="233" t="s">
        <v>141</v>
      </c>
      <c r="E109" s="231" t="s">
        <v>149</v>
      </c>
      <c r="F109" s="231" t="s">
        <v>140</v>
      </c>
      <c r="G109" s="229" t="s">
        <v>141</v>
      </c>
      <c r="H109" s="231" t="s">
        <v>106</v>
      </c>
      <c r="I109" s="231" t="s">
        <v>107</v>
      </c>
      <c r="J109" s="234" t="s">
        <v>108</v>
      </c>
    </row>
    <row r="110" spans="1:10">
      <c r="A110" s="521" t="s">
        <v>281</v>
      </c>
      <c r="B110" s="1212">
        <v>13359.054</v>
      </c>
      <c r="C110" s="1212">
        <v>2356.241</v>
      </c>
      <c r="D110" s="23">
        <f>(B110*1000)/C110</f>
        <v>5669.6466957327375</v>
      </c>
      <c r="E110" s="1212">
        <v>11925.23</v>
      </c>
      <c r="F110" s="1212">
        <v>1896.88</v>
      </c>
      <c r="G110" s="23">
        <f>(E110*1000)/F110</f>
        <v>6286.7603643878365</v>
      </c>
      <c r="H110" s="836">
        <f t="shared" ref="H110:H116" si="30">SUM(B110-E110)*100/E110</f>
        <v>12.023449442903832</v>
      </c>
      <c r="I110" s="836">
        <f>SUM(C110-F110)*100/F110</f>
        <v>24.216661043397572</v>
      </c>
      <c r="J110" s="837">
        <f>SUM(D110-G110)*100/G110</f>
        <v>-9.8160838474267109</v>
      </c>
    </row>
    <row r="111" spans="1:10">
      <c r="A111" s="521" t="s">
        <v>286</v>
      </c>
      <c r="B111" s="1212">
        <v>14075.833000000001</v>
      </c>
      <c r="C111" s="1212">
        <v>3144.7150000000001</v>
      </c>
      <c r="D111" s="23">
        <f>(B114*1000)/C114</f>
        <v>46471.303930200913</v>
      </c>
      <c r="E111" s="1212">
        <v>12548.808000000001</v>
      </c>
      <c r="F111" s="1212">
        <v>2445.56</v>
      </c>
      <c r="G111" s="23">
        <f>(E114*1000)/F114</f>
        <v>12990.608953708585</v>
      </c>
      <c r="H111" s="836">
        <f>SUM(B114-E114)*100/E114</f>
        <v>-12.74486523206776</v>
      </c>
      <c r="I111" s="836">
        <f>SUM(C114-F114)*100/F114</f>
        <v>-75.608660848513239</v>
      </c>
      <c r="J111" s="837">
        <f>SUM(D111-G111)*100/G111</f>
        <v>257.72998860791813</v>
      </c>
    </row>
    <row r="112" spans="1:10">
      <c r="A112" s="521" t="s">
        <v>322</v>
      </c>
      <c r="B112" s="1212">
        <v>2521.1030000000001</v>
      </c>
      <c r="C112" s="1212">
        <v>473.084</v>
      </c>
      <c r="D112" s="23">
        <f>(B113*1000)/C113</f>
        <v>9936.9194836233273</v>
      </c>
      <c r="E112" s="1212">
        <v>2483.5749999999998</v>
      </c>
      <c r="F112" s="1212">
        <v>422.59399999999999</v>
      </c>
      <c r="G112" s="23">
        <f t="shared" ref="G112:G121" si="31">(E112*1000)/F112</f>
        <v>5876.976483338618</v>
      </c>
      <c r="H112" s="836">
        <f t="shared" si="30"/>
        <v>1.5110475826178089</v>
      </c>
      <c r="I112" s="836">
        <f>SUM(C112-F112)*100/F112</f>
        <v>11.947637685343382</v>
      </c>
      <c r="J112" s="837">
        <f>SUM(D112-G112)*100/G112</f>
        <v>69.082171960271637</v>
      </c>
    </row>
    <row r="113" spans="1:11">
      <c r="A113" s="521" t="s">
        <v>289</v>
      </c>
      <c r="B113" s="1212">
        <v>548.82600000000002</v>
      </c>
      <c r="C113" s="1212">
        <v>55.231000000000002</v>
      </c>
      <c r="D113" s="23">
        <f t="shared" ref="D113:D122" si="32">(B113*1000)/C113</f>
        <v>9936.9194836233273</v>
      </c>
      <c r="E113" s="1212">
        <v>347.69299999999998</v>
      </c>
      <c r="F113" s="1212">
        <v>35.902000000000001</v>
      </c>
      <c r="G113" s="23">
        <f t="shared" si="31"/>
        <v>9684.502256141719</v>
      </c>
      <c r="H113" s="836">
        <f t="shared" ref="H113:J114" si="33">SUM(B113-E113)*100/E113</f>
        <v>57.847871541848711</v>
      </c>
      <c r="I113" s="836">
        <f t="shared" si="33"/>
        <v>53.838226282658347</v>
      </c>
      <c r="J113" s="837">
        <f t="shared" si="33"/>
        <v>2.6064037242753524</v>
      </c>
    </row>
    <row r="114" spans="1:11">
      <c r="A114" s="521" t="s">
        <v>321</v>
      </c>
      <c r="B114" s="19">
        <v>580.56600000000003</v>
      </c>
      <c r="C114" s="19">
        <v>12.493</v>
      </c>
      <c r="D114" s="23">
        <f t="shared" si="32"/>
        <v>46471.303930200913</v>
      </c>
      <c r="E114" s="19">
        <v>665.36599999999999</v>
      </c>
      <c r="F114" s="19">
        <v>51.219000000000001</v>
      </c>
      <c r="G114" s="23">
        <f t="shared" si="31"/>
        <v>12990.608953708585</v>
      </c>
      <c r="H114" s="836">
        <f t="shared" si="33"/>
        <v>-12.74486523206776</v>
      </c>
      <c r="I114" s="836">
        <f t="shared" si="33"/>
        <v>-75.608660848513239</v>
      </c>
      <c r="J114" s="839">
        <f t="shared" si="33"/>
        <v>257.72998860791813</v>
      </c>
    </row>
    <row r="115" spans="1:11">
      <c r="A115" s="521" t="s">
        <v>468</v>
      </c>
      <c r="B115" s="1212">
        <v>432.315</v>
      </c>
      <c r="C115" s="1212">
        <v>60.991</v>
      </c>
      <c r="D115" s="23">
        <f t="shared" si="32"/>
        <v>7088.1769441392989</v>
      </c>
      <c r="E115" s="1212">
        <v>489.334</v>
      </c>
      <c r="F115" s="1212">
        <v>54.298000000000002</v>
      </c>
      <c r="G115" s="23">
        <f t="shared" si="31"/>
        <v>9012.00780875907</v>
      </c>
      <c r="H115" s="836">
        <f t="shared" si="30"/>
        <v>-11.652368321024086</v>
      </c>
      <c r="I115" s="836">
        <f t="shared" ref="I115:J119" si="34">SUM(C115-F115)*100/F115</f>
        <v>12.32642086264687</v>
      </c>
      <c r="J115" s="837">
        <f t="shared" si="34"/>
        <v>-21.347416751569344</v>
      </c>
    </row>
    <row r="116" spans="1:11">
      <c r="A116" s="521" t="s">
        <v>291</v>
      </c>
      <c r="B116" s="1212">
        <v>241.04</v>
      </c>
      <c r="C116" s="1212">
        <v>56.8</v>
      </c>
      <c r="D116" s="23">
        <f t="shared" si="32"/>
        <v>4243.6619718309857</v>
      </c>
      <c r="E116" s="1212">
        <v>435.44799999999998</v>
      </c>
      <c r="F116" s="1212">
        <v>85.2</v>
      </c>
      <c r="G116" s="23">
        <f t="shared" si="31"/>
        <v>5110.8920187793428</v>
      </c>
      <c r="H116" s="836">
        <f t="shared" si="30"/>
        <v>-44.645514504602154</v>
      </c>
      <c r="I116" s="836">
        <f t="shared" si="34"/>
        <v>-33.333333333333336</v>
      </c>
      <c r="J116" s="837">
        <f t="shared" si="34"/>
        <v>-16.968271756903238</v>
      </c>
    </row>
    <row r="117" spans="1:11">
      <c r="A117" s="521" t="s">
        <v>287</v>
      </c>
      <c r="B117" s="1212">
        <v>41.436</v>
      </c>
      <c r="C117" s="1212">
        <v>0.47</v>
      </c>
      <c r="D117" s="23">
        <f t="shared" si="32"/>
        <v>88161.702127659577</v>
      </c>
      <c r="E117" s="1212">
        <v>4.8659999999999997</v>
      </c>
      <c r="F117" s="1212">
        <v>0.06</v>
      </c>
      <c r="G117" s="23">
        <f t="shared" si="31"/>
        <v>81100</v>
      </c>
      <c r="H117" s="836">
        <f>SUM(B117-E117)*100/E117</f>
        <v>751.54130702836005</v>
      </c>
      <c r="I117" s="836">
        <f t="shared" si="34"/>
        <v>683.33333333333337</v>
      </c>
      <c r="J117" s="837">
        <f t="shared" si="34"/>
        <v>8.7074008972374557</v>
      </c>
    </row>
    <row r="118" spans="1:11">
      <c r="A118" s="521" t="s">
        <v>288</v>
      </c>
      <c r="B118" s="1212">
        <v>49.140999999999998</v>
      </c>
      <c r="C118" s="1212">
        <v>6.1059999999999999</v>
      </c>
      <c r="D118" s="23">
        <f t="shared" si="32"/>
        <v>8047.9855879462821</v>
      </c>
      <c r="E118" s="1212">
        <v>141.12200000000001</v>
      </c>
      <c r="F118" s="1212">
        <v>21.184000000000001</v>
      </c>
      <c r="G118" s="23">
        <f t="shared" si="31"/>
        <v>6661.7258308157097</v>
      </c>
      <c r="H118" s="836">
        <f>SUM(B118-E118)*100/E118</f>
        <v>-65.178356315811854</v>
      </c>
      <c r="I118" s="836">
        <f t="shared" si="34"/>
        <v>-71.176359516616316</v>
      </c>
      <c r="J118" s="837">
        <f t="shared" si="34"/>
        <v>20.809318671117222</v>
      </c>
    </row>
    <row r="119" spans="1:11">
      <c r="A119" s="521" t="s">
        <v>290</v>
      </c>
      <c r="B119" s="1212">
        <v>32.328000000000003</v>
      </c>
      <c r="C119" s="1212">
        <v>2.403</v>
      </c>
      <c r="D119" s="23">
        <f t="shared" si="32"/>
        <v>13453.183520599252</v>
      </c>
      <c r="E119" s="1212">
        <v>53.665999999999997</v>
      </c>
      <c r="F119" s="1212">
        <v>3.5939999999999999</v>
      </c>
      <c r="G119" s="23">
        <f t="shared" si="31"/>
        <v>14932.109070673345</v>
      </c>
      <c r="H119" s="836">
        <f>SUM(B119-E119)*100/E119</f>
        <v>-39.760742369470414</v>
      </c>
      <c r="I119" s="836">
        <f t="shared" si="34"/>
        <v>-33.138564273789648</v>
      </c>
      <c r="J119" s="837">
        <f t="shared" si="34"/>
        <v>-9.9043312841767399</v>
      </c>
    </row>
    <row r="120" spans="1:11">
      <c r="A120" s="521" t="s">
        <v>469</v>
      </c>
      <c r="B120" s="1212">
        <v>28.789000000000001</v>
      </c>
      <c r="C120" s="1212">
        <v>3.3740000000000001</v>
      </c>
      <c r="D120" s="23">
        <f t="shared" si="32"/>
        <v>8532.6022525192639</v>
      </c>
      <c r="E120" s="1212">
        <v>6.6319999999999997</v>
      </c>
      <c r="F120" s="1212">
        <v>1.02</v>
      </c>
      <c r="G120" s="23">
        <f t="shared" si="31"/>
        <v>6501.9607843137255</v>
      </c>
      <c r="H120" s="836">
        <v>0</v>
      </c>
      <c r="I120" s="836">
        <v>0</v>
      </c>
      <c r="J120" s="837">
        <v>0</v>
      </c>
    </row>
    <row r="121" spans="1:11">
      <c r="A121" s="521" t="s">
        <v>280</v>
      </c>
      <c r="B121" s="1212">
        <v>40.383000000000003</v>
      </c>
      <c r="C121" s="1212">
        <v>3.536</v>
      </c>
      <c r="D121" s="23">
        <f t="shared" si="32"/>
        <v>11420.531674208145</v>
      </c>
      <c r="E121" s="1212">
        <v>292.89499999999998</v>
      </c>
      <c r="F121" s="1212">
        <v>50.335999999999999</v>
      </c>
      <c r="G121" s="23">
        <f t="shared" si="31"/>
        <v>5818.7976795931345</v>
      </c>
      <c r="H121" s="836">
        <f>SUM(B121-E121)*100/E121</f>
        <v>-86.212465217910847</v>
      </c>
      <c r="I121" s="836">
        <f>SUM(C121-F121)*100/F121</f>
        <v>-92.975206611570258</v>
      </c>
      <c r="J121" s="837">
        <f>SUM(D121-G121)*100/G121</f>
        <v>96.269612780327819</v>
      </c>
    </row>
    <row r="122" spans="1:11">
      <c r="A122" s="521" t="s">
        <v>473</v>
      </c>
      <c r="B122" s="1212">
        <v>11.691000000000001</v>
      </c>
      <c r="C122" s="1212">
        <v>2.1</v>
      </c>
      <c r="D122" s="23">
        <f t="shared" si="32"/>
        <v>5567.1428571428569</v>
      </c>
      <c r="E122" s="1212">
        <v>0</v>
      </c>
      <c r="F122" s="1212">
        <v>0</v>
      </c>
      <c r="G122" s="836">
        <v>0</v>
      </c>
      <c r="H122" s="836">
        <v>0</v>
      </c>
      <c r="I122" s="836">
        <v>0</v>
      </c>
      <c r="J122" s="837">
        <v>0</v>
      </c>
    </row>
    <row r="123" spans="1:11">
      <c r="A123" s="521" t="s">
        <v>590</v>
      </c>
      <c r="B123" s="1212">
        <v>3.012</v>
      </c>
      <c r="C123" s="1212">
        <v>0.01</v>
      </c>
      <c r="D123" s="23">
        <v>0</v>
      </c>
      <c r="E123" s="1212">
        <v>0</v>
      </c>
      <c r="F123" s="1212">
        <v>0</v>
      </c>
      <c r="G123" s="836">
        <v>0</v>
      </c>
      <c r="H123" s="836">
        <v>0</v>
      </c>
      <c r="I123" s="836">
        <v>0</v>
      </c>
      <c r="J123" s="837">
        <v>0</v>
      </c>
      <c r="K123" s="4"/>
    </row>
    <row r="124" spans="1:11">
      <c r="A124" s="521" t="s">
        <v>591</v>
      </c>
      <c r="B124" s="1212">
        <v>16.648</v>
      </c>
      <c r="C124" s="1212">
        <v>0.995</v>
      </c>
      <c r="D124" s="23">
        <v>0</v>
      </c>
      <c r="E124" s="1212">
        <v>66.578999999999994</v>
      </c>
      <c r="F124" s="1212">
        <v>3.9529999999999998</v>
      </c>
      <c r="G124" s="23">
        <f>(E124*1000)/F124</f>
        <v>16842.65115102454</v>
      </c>
      <c r="H124" s="836">
        <f>SUM(B124-E124)*100/E124</f>
        <v>-74.995118580933934</v>
      </c>
      <c r="I124" s="836">
        <f>SUM(C124-F124)*100/F124</f>
        <v>-74.829243612446234</v>
      </c>
      <c r="J124" s="837">
        <f>SUM(D124-G124)*100/G124</f>
        <v>-100</v>
      </c>
    </row>
    <row r="125" spans="1:11">
      <c r="A125" s="247" t="s">
        <v>127</v>
      </c>
      <c r="B125" s="248">
        <f>SUM(B110:B124)</f>
        <v>31982.165000000005</v>
      </c>
      <c r="C125" s="248">
        <f>SUM(C110:C124)</f>
        <v>6178.5490000000009</v>
      </c>
      <c r="D125" s="249">
        <f>(B125*1000)/C125</f>
        <v>5176.3229522012371</v>
      </c>
      <c r="E125" s="248">
        <f>SUM(E110:E124)</f>
        <v>29461.214000000004</v>
      </c>
      <c r="F125" s="248">
        <f>SUM(F110:F124)</f>
        <v>5071.800000000002</v>
      </c>
      <c r="G125" s="249">
        <f>(E125*1000)/F125</f>
        <v>5808.8280294964297</v>
      </c>
      <c r="H125" s="843">
        <f>SUM(B125-E125)*100/E125</f>
        <v>8.556846978539312</v>
      </c>
      <c r="I125" s="843">
        <f t="shared" ref="I125:J127" si="35">SUM(C125-F125)*100/F125</f>
        <v>21.82162151504394</v>
      </c>
      <c r="J125" s="844">
        <f t="shared" si="35"/>
        <v>-10.888686566092487</v>
      </c>
    </row>
    <row r="126" spans="1:11">
      <c r="A126" s="24" t="s">
        <v>150</v>
      </c>
      <c r="B126" s="25">
        <f>B127-B125</f>
        <v>2.1769999999924039</v>
      </c>
      <c r="C126" s="25">
        <f>C127-C125</f>
        <v>4.9999999991996447E-3</v>
      </c>
      <c r="D126" s="249">
        <v>0</v>
      </c>
      <c r="E126" s="25">
        <f>E127-E125</f>
        <v>20.661999999996624</v>
      </c>
      <c r="F126" s="25">
        <f>F127-F125</f>
        <v>1.2659999999978027</v>
      </c>
      <c r="G126" s="23">
        <v>0</v>
      </c>
      <c r="H126" s="846">
        <v>0</v>
      </c>
      <c r="I126" s="846">
        <v>0</v>
      </c>
      <c r="J126" s="847">
        <v>0</v>
      </c>
      <c r="K126" s="4"/>
    </row>
    <row r="127" spans="1:11">
      <c r="A127" s="250" t="s">
        <v>151</v>
      </c>
      <c r="B127" s="251">
        <f>B10</f>
        <v>31984.341999999997</v>
      </c>
      <c r="C127" s="251">
        <f>C10</f>
        <v>6178.5540000000001</v>
      </c>
      <c r="D127" s="252">
        <f>(B127*1000)/C127</f>
        <v>5176.6711110722663</v>
      </c>
      <c r="E127" s="228">
        <f>E10</f>
        <v>29481.876</v>
      </c>
      <c r="F127" s="228">
        <f>F10</f>
        <v>5073.0659999999998</v>
      </c>
      <c r="G127" s="252">
        <f>(E127*1000)/F127</f>
        <v>5811.4512998648161</v>
      </c>
      <c r="H127" s="840">
        <f>SUM(B127-E127)*100/E127</f>
        <v>8.4881504826897611</v>
      </c>
      <c r="I127" s="840">
        <f t="shared" si="35"/>
        <v>21.791319095789419</v>
      </c>
      <c r="J127" s="845">
        <f t="shared" si="35"/>
        <v>-10.922920214565263</v>
      </c>
    </row>
    <row r="128" spans="1:11">
      <c r="A128" s="232" t="s">
        <v>116</v>
      </c>
      <c r="B128" s="3"/>
      <c r="C128" s="3"/>
      <c r="D128" s="3"/>
      <c r="E128" s="3"/>
      <c r="F128" s="3"/>
      <c r="G128" s="17"/>
      <c r="H128" s="3"/>
      <c r="I128" s="3"/>
      <c r="J128" s="3"/>
    </row>
    <row r="129" spans="1:10">
      <c r="A129" s="381"/>
      <c r="B129" s="381"/>
      <c r="C129" s="381"/>
      <c r="D129" s="381"/>
      <c r="E129" s="381"/>
      <c r="F129" s="381"/>
      <c r="G129" s="382"/>
      <c r="H129" s="381"/>
      <c r="I129" s="381"/>
      <c r="J129" s="381"/>
    </row>
  </sheetData>
  <mergeCells count="39">
    <mergeCell ref="A1:J1"/>
    <mergeCell ref="A102:J102"/>
    <mergeCell ref="A103:J103"/>
    <mergeCell ref="A105:C105"/>
    <mergeCell ref="A107:A108"/>
    <mergeCell ref="B107:D107"/>
    <mergeCell ref="E107:G107"/>
    <mergeCell ref="H107:J107"/>
    <mergeCell ref="H108:J108"/>
    <mergeCell ref="A74:J74"/>
    <mergeCell ref="A75:J75"/>
    <mergeCell ref="A77:C77"/>
    <mergeCell ref="A79:A80"/>
    <mergeCell ref="B79:D79"/>
    <mergeCell ref="E79:G79"/>
    <mergeCell ref="H79:J79"/>
    <mergeCell ref="H80:J80"/>
    <mergeCell ref="A47:J47"/>
    <mergeCell ref="A48:J48"/>
    <mergeCell ref="A50:C50"/>
    <mergeCell ref="A52:A53"/>
    <mergeCell ref="B52:D52"/>
    <mergeCell ref="E52:G52"/>
    <mergeCell ref="H52:J52"/>
    <mergeCell ref="H53:J53"/>
    <mergeCell ref="A20:J20"/>
    <mergeCell ref="A21:J21"/>
    <mergeCell ref="A23:C23"/>
    <mergeCell ref="A25:A26"/>
    <mergeCell ref="B25:D25"/>
    <mergeCell ref="E25:G25"/>
    <mergeCell ref="H25:J25"/>
    <mergeCell ref="H26:J26"/>
    <mergeCell ref="A2:J2"/>
    <mergeCell ref="A4:A5"/>
    <mergeCell ref="B4:D4"/>
    <mergeCell ref="E4:G4"/>
    <mergeCell ref="H4:J4"/>
    <mergeCell ref="H5:J5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9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49"/>
  <sheetViews>
    <sheetView workbookViewId="0">
      <selection activeCell="O28" sqref="O28"/>
    </sheetView>
  </sheetViews>
  <sheetFormatPr defaultRowHeight="12.75"/>
  <cols>
    <col min="1" max="1" width="40.5703125" customWidth="1"/>
    <col min="2" max="2" width="10.28515625" bestFit="1" customWidth="1"/>
    <col min="3" max="3" width="9" bestFit="1" customWidth="1"/>
    <col min="4" max="4" width="10.28515625" bestFit="1" customWidth="1"/>
    <col min="5" max="5" width="9" bestFit="1" customWidth="1"/>
    <col min="6" max="6" width="12" customWidth="1"/>
    <col min="7" max="7" width="11.140625" customWidth="1"/>
    <col min="8" max="8" width="12.5703125" customWidth="1"/>
    <col min="9" max="9" width="11.85546875" customWidth="1"/>
    <col min="10" max="11" width="9" customWidth="1"/>
    <col min="12" max="12" width="8.5703125" customWidth="1"/>
    <col min="200" max="200" width="39.42578125" customWidth="1"/>
    <col min="201" max="201" width="10.28515625" bestFit="1" customWidth="1"/>
    <col min="202" max="202" width="9" bestFit="1" customWidth="1"/>
    <col min="203" max="203" width="10.28515625" bestFit="1" customWidth="1"/>
    <col min="204" max="204" width="9" bestFit="1" customWidth="1"/>
    <col min="205" max="205" width="11" customWidth="1"/>
    <col min="206" max="206" width="11.140625" customWidth="1"/>
    <col min="207" max="207" width="12.5703125" customWidth="1"/>
    <col min="208" max="208" width="11.85546875" customWidth="1"/>
    <col min="209" max="210" width="9" customWidth="1"/>
    <col min="211" max="211" width="8.5703125" customWidth="1"/>
    <col min="456" max="456" width="39.42578125" customWidth="1"/>
    <col min="457" max="457" width="10.28515625" bestFit="1" customWidth="1"/>
    <col min="458" max="458" width="9" bestFit="1" customWidth="1"/>
    <col min="459" max="459" width="10.28515625" bestFit="1" customWidth="1"/>
    <col min="460" max="460" width="9" bestFit="1" customWidth="1"/>
    <col min="461" max="461" width="11" customWidth="1"/>
    <col min="462" max="462" width="11.140625" customWidth="1"/>
    <col min="463" max="463" width="12.5703125" customWidth="1"/>
    <col min="464" max="464" width="11.85546875" customWidth="1"/>
    <col min="465" max="466" width="9" customWidth="1"/>
    <col min="467" max="467" width="8.5703125" customWidth="1"/>
    <col min="712" max="712" width="39.42578125" customWidth="1"/>
    <col min="713" max="713" width="10.28515625" bestFit="1" customWidth="1"/>
    <col min="714" max="714" width="9" bestFit="1" customWidth="1"/>
    <col min="715" max="715" width="10.28515625" bestFit="1" customWidth="1"/>
    <col min="716" max="716" width="9" bestFit="1" customWidth="1"/>
    <col min="717" max="717" width="11" customWidth="1"/>
    <col min="718" max="718" width="11.140625" customWidth="1"/>
    <col min="719" max="719" width="12.5703125" customWidth="1"/>
    <col min="720" max="720" width="11.85546875" customWidth="1"/>
    <col min="721" max="722" width="9" customWidth="1"/>
    <col min="723" max="723" width="8.5703125" customWidth="1"/>
    <col min="968" max="968" width="39.42578125" customWidth="1"/>
    <col min="969" max="969" width="10.28515625" bestFit="1" customWidth="1"/>
    <col min="970" max="970" width="9" bestFit="1" customWidth="1"/>
    <col min="971" max="971" width="10.28515625" bestFit="1" customWidth="1"/>
    <col min="972" max="972" width="9" bestFit="1" customWidth="1"/>
    <col min="973" max="973" width="11" customWidth="1"/>
    <col min="974" max="974" width="11.140625" customWidth="1"/>
    <col min="975" max="975" width="12.5703125" customWidth="1"/>
    <col min="976" max="976" width="11.85546875" customWidth="1"/>
    <col min="977" max="978" width="9" customWidth="1"/>
    <col min="979" max="979" width="8.5703125" customWidth="1"/>
    <col min="1224" max="1224" width="39.42578125" customWidth="1"/>
    <col min="1225" max="1225" width="10.28515625" bestFit="1" customWidth="1"/>
    <col min="1226" max="1226" width="9" bestFit="1" customWidth="1"/>
    <col min="1227" max="1227" width="10.28515625" bestFit="1" customWidth="1"/>
    <col min="1228" max="1228" width="9" bestFit="1" customWidth="1"/>
    <col min="1229" max="1229" width="11" customWidth="1"/>
    <col min="1230" max="1230" width="11.140625" customWidth="1"/>
    <col min="1231" max="1231" width="12.5703125" customWidth="1"/>
    <col min="1232" max="1232" width="11.85546875" customWidth="1"/>
    <col min="1233" max="1234" width="9" customWidth="1"/>
    <col min="1235" max="1235" width="8.5703125" customWidth="1"/>
    <col min="1480" max="1480" width="39.42578125" customWidth="1"/>
    <col min="1481" max="1481" width="10.28515625" bestFit="1" customWidth="1"/>
    <col min="1482" max="1482" width="9" bestFit="1" customWidth="1"/>
    <col min="1483" max="1483" width="10.28515625" bestFit="1" customWidth="1"/>
    <col min="1484" max="1484" width="9" bestFit="1" customWidth="1"/>
    <col min="1485" max="1485" width="11" customWidth="1"/>
    <col min="1486" max="1486" width="11.140625" customWidth="1"/>
    <col min="1487" max="1487" width="12.5703125" customWidth="1"/>
    <col min="1488" max="1488" width="11.85546875" customWidth="1"/>
    <col min="1489" max="1490" width="9" customWidth="1"/>
    <col min="1491" max="1491" width="8.5703125" customWidth="1"/>
    <col min="1736" max="1736" width="39.42578125" customWidth="1"/>
    <col min="1737" max="1737" width="10.28515625" bestFit="1" customWidth="1"/>
    <col min="1738" max="1738" width="9" bestFit="1" customWidth="1"/>
    <col min="1739" max="1739" width="10.28515625" bestFit="1" customWidth="1"/>
    <col min="1740" max="1740" width="9" bestFit="1" customWidth="1"/>
    <col min="1741" max="1741" width="11" customWidth="1"/>
    <col min="1742" max="1742" width="11.140625" customWidth="1"/>
    <col min="1743" max="1743" width="12.5703125" customWidth="1"/>
    <col min="1744" max="1744" width="11.85546875" customWidth="1"/>
    <col min="1745" max="1746" width="9" customWidth="1"/>
    <col min="1747" max="1747" width="8.5703125" customWidth="1"/>
    <col min="1992" max="1992" width="39.42578125" customWidth="1"/>
    <col min="1993" max="1993" width="10.28515625" bestFit="1" customWidth="1"/>
    <col min="1994" max="1994" width="9" bestFit="1" customWidth="1"/>
    <col min="1995" max="1995" width="10.28515625" bestFit="1" customWidth="1"/>
    <col min="1996" max="1996" width="9" bestFit="1" customWidth="1"/>
    <col min="1997" max="1997" width="11" customWidth="1"/>
    <col min="1998" max="1998" width="11.140625" customWidth="1"/>
    <col min="1999" max="1999" width="12.5703125" customWidth="1"/>
    <col min="2000" max="2000" width="11.85546875" customWidth="1"/>
    <col min="2001" max="2002" width="9" customWidth="1"/>
    <col min="2003" max="2003" width="8.5703125" customWidth="1"/>
    <col min="2248" max="2248" width="39.42578125" customWidth="1"/>
    <col min="2249" max="2249" width="10.28515625" bestFit="1" customWidth="1"/>
    <col min="2250" max="2250" width="9" bestFit="1" customWidth="1"/>
    <col min="2251" max="2251" width="10.28515625" bestFit="1" customWidth="1"/>
    <col min="2252" max="2252" width="9" bestFit="1" customWidth="1"/>
    <col min="2253" max="2253" width="11" customWidth="1"/>
    <col min="2254" max="2254" width="11.140625" customWidth="1"/>
    <col min="2255" max="2255" width="12.5703125" customWidth="1"/>
    <col min="2256" max="2256" width="11.85546875" customWidth="1"/>
    <col min="2257" max="2258" width="9" customWidth="1"/>
    <col min="2259" max="2259" width="8.5703125" customWidth="1"/>
    <col min="2504" max="2504" width="39.42578125" customWidth="1"/>
    <col min="2505" max="2505" width="10.28515625" bestFit="1" customWidth="1"/>
    <col min="2506" max="2506" width="9" bestFit="1" customWidth="1"/>
    <col min="2507" max="2507" width="10.28515625" bestFit="1" customWidth="1"/>
    <col min="2508" max="2508" width="9" bestFit="1" customWidth="1"/>
    <col min="2509" max="2509" width="11" customWidth="1"/>
    <col min="2510" max="2510" width="11.140625" customWidth="1"/>
    <col min="2511" max="2511" width="12.5703125" customWidth="1"/>
    <col min="2512" max="2512" width="11.85546875" customWidth="1"/>
    <col min="2513" max="2514" width="9" customWidth="1"/>
    <col min="2515" max="2515" width="8.5703125" customWidth="1"/>
    <col min="2760" max="2760" width="39.42578125" customWidth="1"/>
    <col min="2761" max="2761" width="10.28515625" bestFit="1" customWidth="1"/>
    <col min="2762" max="2762" width="9" bestFit="1" customWidth="1"/>
    <col min="2763" max="2763" width="10.28515625" bestFit="1" customWidth="1"/>
    <col min="2764" max="2764" width="9" bestFit="1" customWidth="1"/>
    <col min="2765" max="2765" width="11" customWidth="1"/>
    <col min="2766" max="2766" width="11.140625" customWidth="1"/>
    <col min="2767" max="2767" width="12.5703125" customWidth="1"/>
    <col min="2768" max="2768" width="11.85546875" customWidth="1"/>
    <col min="2769" max="2770" width="9" customWidth="1"/>
    <col min="2771" max="2771" width="8.5703125" customWidth="1"/>
    <col min="3016" max="3016" width="39.42578125" customWidth="1"/>
    <col min="3017" max="3017" width="10.28515625" bestFit="1" customWidth="1"/>
    <col min="3018" max="3018" width="9" bestFit="1" customWidth="1"/>
    <col min="3019" max="3019" width="10.28515625" bestFit="1" customWidth="1"/>
    <col min="3020" max="3020" width="9" bestFit="1" customWidth="1"/>
    <col min="3021" max="3021" width="11" customWidth="1"/>
    <col min="3022" max="3022" width="11.140625" customWidth="1"/>
    <col min="3023" max="3023" width="12.5703125" customWidth="1"/>
    <col min="3024" max="3024" width="11.85546875" customWidth="1"/>
    <col min="3025" max="3026" width="9" customWidth="1"/>
    <col min="3027" max="3027" width="8.5703125" customWidth="1"/>
    <col min="3272" max="3272" width="39.42578125" customWidth="1"/>
    <col min="3273" max="3273" width="10.28515625" bestFit="1" customWidth="1"/>
    <col min="3274" max="3274" width="9" bestFit="1" customWidth="1"/>
    <col min="3275" max="3275" width="10.28515625" bestFit="1" customWidth="1"/>
    <col min="3276" max="3276" width="9" bestFit="1" customWidth="1"/>
    <col min="3277" max="3277" width="11" customWidth="1"/>
    <col min="3278" max="3278" width="11.140625" customWidth="1"/>
    <col min="3279" max="3279" width="12.5703125" customWidth="1"/>
    <col min="3280" max="3280" width="11.85546875" customWidth="1"/>
    <col min="3281" max="3282" width="9" customWidth="1"/>
    <col min="3283" max="3283" width="8.5703125" customWidth="1"/>
    <col min="3528" max="3528" width="39.42578125" customWidth="1"/>
    <col min="3529" max="3529" width="10.28515625" bestFit="1" customWidth="1"/>
    <col min="3530" max="3530" width="9" bestFit="1" customWidth="1"/>
    <col min="3531" max="3531" width="10.28515625" bestFit="1" customWidth="1"/>
    <col min="3532" max="3532" width="9" bestFit="1" customWidth="1"/>
    <col min="3533" max="3533" width="11" customWidth="1"/>
    <col min="3534" max="3534" width="11.140625" customWidth="1"/>
    <col min="3535" max="3535" width="12.5703125" customWidth="1"/>
    <col min="3536" max="3536" width="11.85546875" customWidth="1"/>
    <col min="3537" max="3538" width="9" customWidth="1"/>
    <col min="3539" max="3539" width="8.5703125" customWidth="1"/>
    <col min="3784" max="3784" width="39.42578125" customWidth="1"/>
    <col min="3785" max="3785" width="10.28515625" bestFit="1" customWidth="1"/>
    <col min="3786" max="3786" width="9" bestFit="1" customWidth="1"/>
    <col min="3787" max="3787" width="10.28515625" bestFit="1" customWidth="1"/>
    <col min="3788" max="3788" width="9" bestFit="1" customWidth="1"/>
    <col min="3789" max="3789" width="11" customWidth="1"/>
    <col min="3790" max="3790" width="11.140625" customWidth="1"/>
    <col min="3791" max="3791" width="12.5703125" customWidth="1"/>
    <col min="3792" max="3792" width="11.85546875" customWidth="1"/>
    <col min="3793" max="3794" width="9" customWidth="1"/>
    <col min="3795" max="3795" width="8.5703125" customWidth="1"/>
    <col min="4040" max="4040" width="39.42578125" customWidth="1"/>
    <col min="4041" max="4041" width="10.28515625" bestFit="1" customWidth="1"/>
    <col min="4042" max="4042" width="9" bestFit="1" customWidth="1"/>
    <col min="4043" max="4043" width="10.28515625" bestFit="1" customWidth="1"/>
    <col min="4044" max="4044" width="9" bestFit="1" customWidth="1"/>
    <col min="4045" max="4045" width="11" customWidth="1"/>
    <col min="4046" max="4046" width="11.140625" customWidth="1"/>
    <col min="4047" max="4047" width="12.5703125" customWidth="1"/>
    <col min="4048" max="4048" width="11.85546875" customWidth="1"/>
    <col min="4049" max="4050" width="9" customWidth="1"/>
    <col min="4051" max="4051" width="8.5703125" customWidth="1"/>
    <col min="4296" max="4296" width="39.42578125" customWidth="1"/>
    <col min="4297" max="4297" width="10.28515625" bestFit="1" customWidth="1"/>
    <col min="4298" max="4298" width="9" bestFit="1" customWidth="1"/>
    <col min="4299" max="4299" width="10.28515625" bestFit="1" customWidth="1"/>
    <col min="4300" max="4300" width="9" bestFit="1" customWidth="1"/>
    <col min="4301" max="4301" width="11" customWidth="1"/>
    <col min="4302" max="4302" width="11.140625" customWidth="1"/>
    <col min="4303" max="4303" width="12.5703125" customWidth="1"/>
    <col min="4304" max="4304" width="11.85546875" customWidth="1"/>
    <col min="4305" max="4306" width="9" customWidth="1"/>
    <col min="4307" max="4307" width="8.5703125" customWidth="1"/>
    <col min="4552" max="4552" width="39.42578125" customWidth="1"/>
    <col min="4553" max="4553" width="10.28515625" bestFit="1" customWidth="1"/>
    <col min="4554" max="4554" width="9" bestFit="1" customWidth="1"/>
    <col min="4555" max="4555" width="10.28515625" bestFit="1" customWidth="1"/>
    <col min="4556" max="4556" width="9" bestFit="1" customWidth="1"/>
    <col min="4557" max="4557" width="11" customWidth="1"/>
    <col min="4558" max="4558" width="11.140625" customWidth="1"/>
    <col min="4559" max="4559" width="12.5703125" customWidth="1"/>
    <col min="4560" max="4560" width="11.85546875" customWidth="1"/>
    <col min="4561" max="4562" width="9" customWidth="1"/>
    <col min="4563" max="4563" width="8.5703125" customWidth="1"/>
    <col min="4808" max="4808" width="39.42578125" customWidth="1"/>
    <col min="4809" max="4809" width="10.28515625" bestFit="1" customWidth="1"/>
    <col min="4810" max="4810" width="9" bestFit="1" customWidth="1"/>
    <col min="4811" max="4811" width="10.28515625" bestFit="1" customWidth="1"/>
    <col min="4812" max="4812" width="9" bestFit="1" customWidth="1"/>
    <col min="4813" max="4813" width="11" customWidth="1"/>
    <col min="4814" max="4814" width="11.140625" customWidth="1"/>
    <col min="4815" max="4815" width="12.5703125" customWidth="1"/>
    <col min="4816" max="4816" width="11.85546875" customWidth="1"/>
    <col min="4817" max="4818" width="9" customWidth="1"/>
    <col min="4819" max="4819" width="8.5703125" customWidth="1"/>
    <col min="5064" max="5064" width="39.42578125" customWidth="1"/>
    <col min="5065" max="5065" width="10.28515625" bestFit="1" customWidth="1"/>
    <col min="5066" max="5066" width="9" bestFit="1" customWidth="1"/>
    <col min="5067" max="5067" width="10.28515625" bestFit="1" customWidth="1"/>
    <col min="5068" max="5068" width="9" bestFit="1" customWidth="1"/>
    <col min="5069" max="5069" width="11" customWidth="1"/>
    <col min="5070" max="5070" width="11.140625" customWidth="1"/>
    <col min="5071" max="5071" width="12.5703125" customWidth="1"/>
    <col min="5072" max="5072" width="11.85546875" customWidth="1"/>
    <col min="5073" max="5074" width="9" customWidth="1"/>
    <col min="5075" max="5075" width="8.5703125" customWidth="1"/>
    <col min="5320" max="5320" width="39.42578125" customWidth="1"/>
    <col min="5321" max="5321" width="10.28515625" bestFit="1" customWidth="1"/>
    <col min="5322" max="5322" width="9" bestFit="1" customWidth="1"/>
    <col min="5323" max="5323" width="10.28515625" bestFit="1" customWidth="1"/>
    <col min="5324" max="5324" width="9" bestFit="1" customWidth="1"/>
    <col min="5325" max="5325" width="11" customWidth="1"/>
    <col min="5326" max="5326" width="11.140625" customWidth="1"/>
    <col min="5327" max="5327" width="12.5703125" customWidth="1"/>
    <col min="5328" max="5328" width="11.85546875" customWidth="1"/>
    <col min="5329" max="5330" width="9" customWidth="1"/>
    <col min="5331" max="5331" width="8.5703125" customWidth="1"/>
    <col min="5576" max="5576" width="39.42578125" customWidth="1"/>
    <col min="5577" max="5577" width="10.28515625" bestFit="1" customWidth="1"/>
    <col min="5578" max="5578" width="9" bestFit="1" customWidth="1"/>
    <col min="5579" max="5579" width="10.28515625" bestFit="1" customWidth="1"/>
    <col min="5580" max="5580" width="9" bestFit="1" customWidth="1"/>
    <col min="5581" max="5581" width="11" customWidth="1"/>
    <col min="5582" max="5582" width="11.140625" customWidth="1"/>
    <col min="5583" max="5583" width="12.5703125" customWidth="1"/>
    <col min="5584" max="5584" width="11.85546875" customWidth="1"/>
    <col min="5585" max="5586" width="9" customWidth="1"/>
    <col min="5587" max="5587" width="8.5703125" customWidth="1"/>
    <col min="5832" max="5832" width="39.42578125" customWidth="1"/>
    <col min="5833" max="5833" width="10.28515625" bestFit="1" customWidth="1"/>
    <col min="5834" max="5834" width="9" bestFit="1" customWidth="1"/>
    <col min="5835" max="5835" width="10.28515625" bestFit="1" customWidth="1"/>
    <col min="5836" max="5836" width="9" bestFit="1" customWidth="1"/>
    <col min="5837" max="5837" width="11" customWidth="1"/>
    <col min="5838" max="5838" width="11.140625" customWidth="1"/>
    <col min="5839" max="5839" width="12.5703125" customWidth="1"/>
    <col min="5840" max="5840" width="11.85546875" customWidth="1"/>
    <col min="5841" max="5842" width="9" customWidth="1"/>
    <col min="5843" max="5843" width="8.5703125" customWidth="1"/>
    <col min="6088" max="6088" width="39.42578125" customWidth="1"/>
    <col min="6089" max="6089" width="10.28515625" bestFit="1" customWidth="1"/>
    <col min="6090" max="6090" width="9" bestFit="1" customWidth="1"/>
    <col min="6091" max="6091" width="10.28515625" bestFit="1" customWidth="1"/>
    <col min="6092" max="6092" width="9" bestFit="1" customWidth="1"/>
    <col min="6093" max="6093" width="11" customWidth="1"/>
    <col min="6094" max="6094" width="11.140625" customWidth="1"/>
    <col min="6095" max="6095" width="12.5703125" customWidth="1"/>
    <col min="6096" max="6096" width="11.85546875" customWidth="1"/>
    <col min="6097" max="6098" width="9" customWidth="1"/>
    <col min="6099" max="6099" width="8.5703125" customWidth="1"/>
    <col min="6344" max="6344" width="39.42578125" customWidth="1"/>
    <col min="6345" max="6345" width="10.28515625" bestFit="1" customWidth="1"/>
    <col min="6346" max="6346" width="9" bestFit="1" customWidth="1"/>
    <col min="6347" max="6347" width="10.28515625" bestFit="1" customWidth="1"/>
    <col min="6348" max="6348" width="9" bestFit="1" customWidth="1"/>
    <col min="6349" max="6349" width="11" customWidth="1"/>
    <col min="6350" max="6350" width="11.140625" customWidth="1"/>
    <col min="6351" max="6351" width="12.5703125" customWidth="1"/>
    <col min="6352" max="6352" width="11.85546875" customWidth="1"/>
    <col min="6353" max="6354" width="9" customWidth="1"/>
    <col min="6355" max="6355" width="8.5703125" customWidth="1"/>
    <col min="6600" max="6600" width="39.42578125" customWidth="1"/>
    <col min="6601" max="6601" width="10.28515625" bestFit="1" customWidth="1"/>
    <col min="6602" max="6602" width="9" bestFit="1" customWidth="1"/>
    <col min="6603" max="6603" width="10.28515625" bestFit="1" customWidth="1"/>
    <col min="6604" max="6604" width="9" bestFit="1" customWidth="1"/>
    <col min="6605" max="6605" width="11" customWidth="1"/>
    <col min="6606" max="6606" width="11.140625" customWidth="1"/>
    <col min="6607" max="6607" width="12.5703125" customWidth="1"/>
    <col min="6608" max="6608" width="11.85546875" customWidth="1"/>
    <col min="6609" max="6610" width="9" customWidth="1"/>
    <col min="6611" max="6611" width="8.5703125" customWidth="1"/>
    <col min="6856" max="6856" width="39.42578125" customWidth="1"/>
    <col min="6857" max="6857" width="10.28515625" bestFit="1" customWidth="1"/>
    <col min="6858" max="6858" width="9" bestFit="1" customWidth="1"/>
    <col min="6859" max="6859" width="10.28515625" bestFit="1" customWidth="1"/>
    <col min="6860" max="6860" width="9" bestFit="1" customWidth="1"/>
    <col min="6861" max="6861" width="11" customWidth="1"/>
    <col min="6862" max="6862" width="11.140625" customWidth="1"/>
    <col min="6863" max="6863" width="12.5703125" customWidth="1"/>
    <col min="6864" max="6864" width="11.85546875" customWidth="1"/>
    <col min="6865" max="6866" width="9" customWidth="1"/>
    <col min="6867" max="6867" width="8.5703125" customWidth="1"/>
    <col min="7112" max="7112" width="39.42578125" customWidth="1"/>
    <col min="7113" max="7113" width="10.28515625" bestFit="1" customWidth="1"/>
    <col min="7114" max="7114" width="9" bestFit="1" customWidth="1"/>
    <col min="7115" max="7115" width="10.28515625" bestFit="1" customWidth="1"/>
    <col min="7116" max="7116" width="9" bestFit="1" customWidth="1"/>
    <col min="7117" max="7117" width="11" customWidth="1"/>
    <col min="7118" max="7118" width="11.140625" customWidth="1"/>
    <col min="7119" max="7119" width="12.5703125" customWidth="1"/>
    <col min="7120" max="7120" width="11.85546875" customWidth="1"/>
    <col min="7121" max="7122" width="9" customWidth="1"/>
    <col min="7123" max="7123" width="8.5703125" customWidth="1"/>
    <col min="7368" max="7368" width="39.42578125" customWidth="1"/>
    <col min="7369" max="7369" width="10.28515625" bestFit="1" customWidth="1"/>
    <col min="7370" max="7370" width="9" bestFit="1" customWidth="1"/>
    <col min="7371" max="7371" width="10.28515625" bestFit="1" customWidth="1"/>
    <col min="7372" max="7372" width="9" bestFit="1" customWidth="1"/>
    <col min="7373" max="7373" width="11" customWidth="1"/>
    <col min="7374" max="7374" width="11.140625" customWidth="1"/>
    <col min="7375" max="7375" width="12.5703125" customWidth="1"/>
    <col min="7376" max="7376" width="11.85546875" customWidth="1"/>
    <col min="7377" max="7378" width="9" customWidth="1"/>
    <col min="7379" max="7379" width="8.5703125" customWidth="1"/>
    <col min="7624" max="7624" width="39.42578125" customWidth="1"/>
    <col min="7625" max="7625" width="10.28515625" bestFit="1" customWidth="1"/>
    <col min="7626" max="7626" width="9" bestFit="1" customWidth="1"/>
    <col min="7627" max="7627" width="10.28515625" bestFit="1" customWidth="1"/>
    <col min="7628" max="7628" width="9" bestFit="1" customWidth="1"/>
    <col min="7629" max="7629" width="11" customWidth="1"/>
    <col min="7630" max="7630" width="11.140625" customWidth="1"/>
    <col min="7631" max="7631" width="12.5703125" customWidth="1"/>
    <col min="7632" max="7632" width="11.85546875" customWidth="1"/>
    <col min="7633" max="7634" width="9" customWidth="1"/>
    <col min="7635" max="7635" width="8.5703125" customWidth="1"/>
    <col min="7880" max="7880" width="39.42578125" customWidth="1"/>
    <col min="7881" max="7881" width="10.28515625" bestFit="1" customWidth="1"/>
    <col min="7882" max="7882" width="9" bestFit="1" customWidth="1"/>
    <col min="7883" max="7883" width="10.28515625" bestFit="1" customWidth="1"/>
    <col min="7884" max="7884" width="9" bestFit="1" customWidth="1"/>
    <col min="7885" max="7885" width="11" customWidth="1"/>
    <col min="7886" max="7886" width="11.140625" customWidth="1"/>
    <col min="7887" max="7887" width="12.5703125" customWidth="1"/>
    <col min="7888" max="7888" width="11.85546875" customWidth="1"/>
    <col min="7889" max="7890" width="9" customWidth="1"/>
    <col min="7891" max="7891" width="8.5703125" customWidth="1"/>
    <col min="8136" max="8136" width="39.42578125" customWidth="1"/>
    <col min="8137" max="8137" width="10.28515625" bestFit="1" customWidth="1"/>
    <col min="8138" max="8138" width="9" bestFit="1" customWidth="1"/>
    <col min="8139" max="8139" width="10.28515625" bestFit="1" customWidth="1"/>
    <col min="8140" max="8140" width="9" bestFit="1" customWidth="1"/>
    <col min="8141" max="8141" width="11" customWidth="1"/>
    <col min="8142" max="8142" width="11.140625" customWidth="1"/>
    <col min="8143" max="8143" width="12.5703125" customWidth="1"/>
    <col min="8144" max="8144" width="11.85546875" customWidth="1"/>
    <col min="8145" max="8146" width="9" customWidth="1"/>
    <col min="8147" max="8147" width="8.5703125" customWidth="1"/>
    <col min="8392" max="8392" width="39.42578125" customWidth="1"/>
    <col min="8393" max="8393" width="10.28515625" bestFit="1" customWidth="1"/>
    <col min="8394" max="8394" width="9" bestFit="1" customWidth="1"/>
    <col min="8395" max="8395" width="10.28515625" bestFit="1" customWidth="1"/>
    <col min="8396" max="8396" width="9" bestFit="1" customWidth="1"/>
    <col min="8397" max="8397" width="11" customWidth="1"/>
    <col min="8398" max="8398" width="11.140625" customWidth="1"/>
    <col min="8399" max="8399" width="12.5703125" customWidth="1"/>
    <col min="8400" max="8400" width="11.85546875" customWidth="1"/>
    <col min="8401" max="8402" width="9" customWidth="1"/>
    <col min="8403" max="8403" width="8.5703125" customWidth="1"/>
    <col min="8648" max="8648" width="39.42578125" customWidth="1"/>
    <col min="8649" max="8649" width="10.28515625" bestFit="1" customWidth="1"/>
    <col min="8650" max="8650" width="9" bestFit="1" customWidth="1"/>
    <col min="8651" max="8651" width="10.28515625" bestFit="1" customWidth="1"/>
    <col min="8652" max="8652" width="9" bestFit="1" customWidth="1"/>
    <col min="8653" max="8653" width="11" customWidth="1"/>
    <col min="8654" max="8654" width="11.140625" customWidth="1"/>
    <col min="8655" max="8655" width="12.5703125" customWidth="1"/>
    <col min="8656" max="8656" width="11.85546875" customWidth="1"/>
    <col min="8657" max="8658" width="9" customWidth="1"/>
    <col min="8659" max="8659" width="8.5703125" customWidth="1"/>
    <col min="8904" max="8904" width="39.42578125" customWidth="1"/>
    <col min="8905" max="8905" width="10.28515625" bestFit="1" customWidth="1"/>
    <col min="8906" max="8906" width="9" bestFit="1" customWidth="1"/>
    <col min="8907" max="8907" width="10.28515625" bestFit="1" customWidth="1"/>
    <col min="8908" max="8908" width="9" bestFit="1" customWidth="1"/>
    <col min="8909" max="8909" width="11" customWidth="1"/>
    <col min="8910" max="8910" width="11.140625" customWidth="1"/>
    <col min="8911" max="8911" width="12.5703125" customWidth="1"/>
    <col min="8912" max="8912" width="11.85546875" customWidth="1"/>
    <col min="8913" max="8914" width="9" customWidth="1"/>
    <col min="8915" max="8915" width="8.5703125" customWidth="1"/>
    <col min="9160" max="9160" width="39.42578125" customWidth="1"/>
    <col min="9161" max="9161" width="10.28515625" bestFit="1" customWidth="1"/>
    <col min="9162" max="9162" width="9" bestFit="1" customWidth="1"/>
    <col min="9163" max="9163" width="10.28515625" bestFit="1" customWidth="1"/>
    <col min="9164" max="9164" width="9" bestFit="1" customWidth="1"/>
    <col min="9165" max="9165" width="11" customWidth="1"/>
    <col min="9166" max="9166" width="11.140625" customWidth="1"/>
    <col min="9167" max="9167" width="12.5703125" customWidth="1"/>
    <col min="9168" max="9168" width="11.85546875" customWidth="1"/>
    <col min="9169" max="9170" width="9" customWidth="1"/>
    <col min="9171" max="9171" width="8.5703125" customWidth="1"/>
    <col min="9416" max="9416" width="39.42578125" customWidth="1"/>
    <col min="9417" max="9417" width="10.28515625" bestFit="1" customWidth="1"/>
    <col min="9418" max="9418" width="9" bestFit="1" customWidth="1"/>
    <col min="9419" max="9419" width="10.28515625" bestFit="1" customWidth="1"/>
    <col min="9420" max="9420" width="9" bestFit="1" customWidth="1"/>
    <col min="9421" max="9421" width="11" customWidth="1"/>
    <col min="9422" max="9422" width="11.140625" customWidth="1"/>
    <col min="9423" max="9423" width="12.5703125" customWidth="1"/>
    <col min="9424" max="9424" width="11.85546875" customWidth="1"/>
    <col min="9425" max="9426" width="9" customWidth="1"/>
    <col min="9427" max="9427" width="8.5703125" customWidth="1"/>
    <col min="9672" max="9672" width="39.42578125" customWidth="1"/>
    <col min="9673" max="9673" width="10.28515625" bestFit="1" customWidth="1"/>
    <col min="9674" max="9674" width="9" bestFit="1" customWidth="1"/>
    <col min="9675" max="9675" width="10.28515625" bestFit="1" customWidth="1"/>
    <col min="9676" max="9676" width="9" bestFit="1" customWidth="1"/>
    <col min="9677" max="9677" width="11" customWidth="1"/>
    <col min="9678" max="9678" width="11.140625" customWidth="1"/>
    <col min="9679" max="9679" width="12.5703125" customWidth="1"/>
    <col min="9680" max="9680" width="11.85546875" customWidth="1"/>
    <col min="9681" max="9682" width="9" customWidth="1"/>
    <col min="9683" max="9683" width="8.5703125" customWidth="1"/>
    <col min="9928" max="9928" width="39.42578125" customWidth="1"/>
    <col min="9929" max="9929" width="10.28515625" bestFit="1" customWidth="1"/>
    <col min="9930" max="9930" width="9" bestFit="1" customWidth="1"/>
    <col min="9931" max="9931" width="10.28515625" bestFit="1" customWidth="1"/>
    <col min="9932" max="9932" width="9" bestFit="1" customWidth="1"/>
    <col min="9933" max="9933" width="11" customWidth="1"/>
    <col min="9934" max="9934" width="11.140625" customWidth="1"/>
    <col min="9935" max="9935" width="12.5703125" customWidth="1"/>
    <col min="9936" max="9936" width="11.85546875" customWidth="1"/>
    <col min="9937" max="9938" width="9" customWidth="1"/>
    <col min="9939" max="9939" width="8.5703125" customWidth="1"/>
    <col min="10184" max="10184" width="39.42578125" customWidth="1"/>
    <col min="10185" max="10185" width="10.28515625" bestFit="1" customWidth="1"/>
    <col min="10186" max="10186" width="9" bestFit="1" customWidth="1"/>
    <col min="10187" max="10187" width="10.28515625" bestFit="1" customWidth="1"/>
    <col min="10188" max="10188" width="9" bestFit="1" customWidth="1"/>
    <col min="10189" max="10189" width="11" customWidth="1"/>
    <col min="10190" max="10190" width="11.140625" customWidth="1"/>
    <col min="10191" max="10191" width="12.5703125" customWidth="1"/>
    <col min="10192" max="10192" width="11.85546875" customWidth="1"/>
    <col min="10193" max="10194" width="9" customWidth="1"/>
    <col min="10195" max="10195" width="8.5703125" customWidth="1"/>
    <col min="10440" max="10440" width="39.42578125" customWidth="1"/>
    <col min="10441" max="10441" width="10.28515625" bestFit="1" customWidth="1"/>
    <col min="10442" max="10442" width="9" bestFit="1" customWidth="1"/>
    <col min="10443" max="10443" width="10.28515625" bestFit="1" customWidth="1"/>
    <col min="10444" max="10444" width="9" bestFit="1" customWidth="1"/>
    <col min="10445" max="10445" width="11" customWidth="1"/>
    <col min="10446" max="10446" width="11.140625" customWidth="1"/>
    <col min="10447" max="10447" width="12.5703125" customWidth="1"/>
    <col min="10448" max="10448" width="11.85546875" customWidth="1"/>
    <col min="10449" max="10450" width="9" customWidth="1"/>
    <col min="10451" max="10451" width="8.5703125" customWidth="1"/>
    <col min="10696" max="10696" width="39.42578125" customWidth="1"/>
    <col min="10697" max="10697" width="10.28515625" bestFit="1" customWidth="1"/>
    <col min="10698" max="10698" width="9" bestFit="1" customWidth="1"/>
    <col min="10699" max="10699" width="10.28515625" bestFit="1" customWidth="1"/>
    <col min="10700" max="10700" width="9" bestFit="1" customWidth="1"/>
    <col min="10701" max="10701" width="11" customWidth="1"/>
    <col min="10702" max="10702" width="11.140625" customWidth="1"/>
    <col min="10703" max="10703" width="12.5703125" customWidth="1"/>
    <col min="10704" max="10704" width="11.85546875" customWidth="1"/>
    <col min="10705" max="10706" width="9" customWidth="1"/>
    <col min="10707" max="10707" width="8.5703125" customWidth="1"/>
    <col min="10952" max="10952" width="39.42578125" customWidth="1"/>
    <col min="10953" max="10953" width="10.28515625" bestFit="1" customWidth="1"/>
    <col min="10954" max="10954" width="9" bestFit="1" customWidth="1"/>
    <col min="10955" max="10955" width="10.28515625" bestFit="1" customWidth="1"/>
    <col min="10956" max="10956" width="9" bestFit="1" customWidth="1"/>
    <col min="10957" max="10957" width="11" customWidth="1"/>
    <col min="10958" max="10958" width="11.140625" customWidth="1"/>
    <col min="10959" max="10959" width="12.5703125" customWidth="1"/>
    <col min="10960" max="10960" width="11.85546875" customWidth="1"/>
    <col min="10961" max="10962" width="9" customWidth="1"/>
    <col min="10963" max="10963" width="8.5703125" customWidth="1"/>
    <col min="11208" max="11208" width="39.42578125" customWidth="1"/>
    <col min="11209" max="11209" width="10.28515625" bestFit="1" customWidth="1"/>
    <col min="11210" max="11210" width="9" bestFit="1" customWidth="1"/>
    <col min="11211" max="11211" width="10.28515625" bestFit="1" customWidth="1"/>
    <col min="11212" max="11212" width="9" bestFit="1" customWidth="1"/>
    <col min="11213" max="11213" width="11" customWidth="1"/>
    <col min="11214" max="11214" width="11.140625" customWidth="1"/>
    <col min="11215" max="11215" width="12.5703125" customWidth="1"/>
    <col min="11216" max="11216" width="11.85546875" customWidth="1"/>
    <col min="11217" max="11218" width="9" customWidth="1"/>
    <col min="11219" max="11219" width="8.5703125" customWidth="1"/>
    <col min="11464" max="11464" width="39.42578125" customWidth="1"/>
    <col min="11465" max="11465" width="10.28515625" bestFit="1" customWidth="1"/>
    <col min="11466" max="11466" width="9" bestFit="1" customWidth="1"/>
    <col min="11467" max="11467" width="10.28515625" bestFit="1" customWidth="1"/>
    <col min="11468" max="11468" width="9" bestFit="1" customWidth="1"/>
    <col min="11469" max="11469" width="11" customWidth="1"/>
    <col min="11470" max="11470" width="11.140625" customWidth="1"/>
    <col min="11471" max="11471" width="12.5703125" customWidth="1"/>
    <col min="11472" max="11472" width="11.85546875" customWidth="1"/>
    <col min="11473" max="11474" width="9" customWidth="1"/>
    <col min="11475" max="11475" width="8.5703125" customWidth="1"/>
    <col min="11720" max="11720" width="39.42578125" customWidth="1"/>
    <col min="11721" max="11721" width="10.28515625" bestFit="1" customWidth="1"/>
    <col min="11722" max="11722" width="9" bestFit="1" customWidth="1"/>
    <col min="11723" max="11723" width="10.28515625" bestFit="1" customWidth="1"/>
    <col min="11724" max="11724" width="9" bestFit="1" customWidth="1"/>
    <col min="11725" max="11725" width="11" customWidth="1"/>
    <col min="11726" max="11726" width="11.140625" customWidth="1"/>
    <col min="11727" max="11727" width="12.5703125" customWidth="1"/>
    <col min="11728" max="11728" width="11.85546875" customWidth="1"/>
    <col min="11729" max="11730" width="9" customWidth="1"/>
    <col min="11731" max="11731" width="8.5703125" customWidth="1"/>
    <col min="11976" max="11976" width="39.42578125" customWidth="1"/>
    <col min="11977" max="11977" width="10.28515625" bestFit="1" customWidth="1"/>
    <col min="11978" max="11978" width="9" bestFit="1" customWidth="1"/>
    <col min="11979" max="11979" width="10.28515625" bestFit="1" customWidth="1"/>
    <col min="11980" max="11980" width="9" bestFit="1" customWidth="1"/>
    <col min="11981" max="11981" width="11" customWidth="1"/>
    <col min="11982" max="11982" width="11.140625" customWidth="1"/>
    <col min="11983" max="11983" width="12.5703125" customWidth="1"/>
    <col min="11984" max="11984" width="11.85546875" customWidth="1"/>
    <col min="11985" max="11986" width="9" customWidth="1"/>
    <col min="11987" max="11987" width="8.5703125" customWidth="1"/>
    <col min="12232" max="12232" width="39.42578125" customWidth="1"/>
    <col min="12233" max="12233" width="10.28515625" bestFit="1" customWidth="1"/>
    <col min="12234" max="12234" width="9" bestFit="1" customWidth="1"/>
    <col min="12235" max="12235" width="10.28515625" bestFit="1" customWidth="1"/>
    <col min="12236" max="12236" width="9" bestFit="1" customWidth="1"/>
    <col min="12237" max="12237" width="11" customWidth="1"/>
    <col min="12238" max="12238" width="11.140625" customWidth="1"/>
    <col min="12239" max="12239" width="12.5703125" customWidth="1"/>
    <col min="12240" max="12240" width="11.85546875" customWidth="1"/>
    <col min="12241" max="12242" width="9" customWidth="1"/>
    <col min="12243" max="12243" width="8.5703125" customWidth="1"/>
    <col min="12488" max="12488" width="39.42578125" customWidth="1"/>
    <col min="12489" max="12489" width="10.28515625" bestFit="1" customWidth="1"/>
    <col min="12490" max="12490" width="9" bestFit="1" customWidth="1"/>
    <col min="12491" max="12491" width="10.28515625" bestFit="1" customWidth="1"/>
    <col min="12492" max="12492" width="9" bestFit="1" customWidth="1"/>
    <col min="12493" max="12493" width="11" customWidth="1"/>
    <col min="12494" max="12494" width="11.140625" customWidth="1"/>
    <col min="12495" max="12495" width="12.5703125" customWidth="1"/>
    <col min="12496" max="12496" width="11.85546875" customWidth="1"/>
    <col min="12497" max="12498" width="9" customWidth="1"/>
    <col min="12499" max="12499" width="8.5703125" customWidth="1"/>
    <col min="12744" max="12744" width="39.42578125" customWidth="1"/>
    <col min="12745" max="12745" width="10.28515625" bestFit="1" customWidth="1"/>
    <col min="12746" max="12746" width="9" bestFit="1" customWidth="1"/>
    <col min="12747" max="12747" width="10.28515625" bestFit="1" customWidth="1"/>
    <col min="12748" max="12748" width="9" bestFit="1" customWidth="1"/>
    <col min="12749" max="12749" width="11" customWidth="1"/>
    <col min="12750" max="12750" width="11.140625" customWidth="1"/>
    <col min="12751" max="12751" width="12.5703125" customWidth="1"/>
    <col min="12752" max="12752" width="11.85546875" customWidth="1"/>
    <col min="12753" max="12754" width="9" customWidth="1"/>
    <col min="12755" max="12755" width="8.5703125" customWidth="1"/>
    <col min="13000" max="13000" width="39.42578125" customWidth="1"/>
    <col min="13001" max="13001" width="10.28515625" bestFit="1" customWidth="1"/>
    <col min="13002" max="13002" width="9" bestFit="1" customWidth="1"/>
    <col min="13003" max="13003" width="10.28515625" bestFit="1" customWidth="1"/>
    <col min="13004" max="13004" width="9" bestFit="1" customWidth="1"/>
    <col min="13005" max="13005" width="11" customWidth="1"/>
    <col min="13006" max="13006" width="11.140625" customWidth="1"/>
    <col min="13007" max="13007" width="12.5703125" customWidth="1"/>
    <col min="13008" max="13008" width="11.85546875" customWidth="1"/>
    <col min="13009" max="13010" width="9" customWidth="1"/>
    <col min="13011" max="13011" width="8.5703125" customWidth="1"/>
    <col min="13256" max="13256" width="39.42578125" customWidth="1"/>
    <col min="13257" max="13257" width="10.28515625" bestFit="1" customWidth="1"/>
    <col min="13258" max="13258" width="9" bestFit="1" customWidth="1"/>
    <col min="13259" max="13259" width="10.28515625" bestFit="1" customWidth="1"/>
    <col min="13260" max="13260" width="9" bestFit="1" customWidth="1"/>
    <col min="13261" max="13261" width="11" customWidth="1"/>
    <col min="13262" max="13262" width="11.140625" customWidth="1"/>
    <col min="13263" max="13263" width="12.5703125" customWidth="1"/>
    <col min="13264" max="13264" width="11.85546875" customWidth="1"/>
    <col min="13265" max="13266" width="9" customWidth="1"/>
    <col min="13267" max="13267" width="8.5703125" customWidth="1"/>
    <col min="13512" max="13512" width="39.42578125" customWidth="1"/>
    <col min="13513" max="13513" width="10.28515625" bestFit="1" customWidth="1"/>
    <col min="13514" max="13514" width="9" bestFit="1" customWidth="1"/>
    <col min="13515" max="13515" width="10.28515625" bestFit="1" customWidth="1"/>
    <col min="13516" max="13516" width="9" bestFit="1" customWidth="1"/>
    <col min="13517" max="13517" width="11" customWidth="1"/>
    <col min="13518" max="13518" width="11.140625" customWidth="1"/>
    <col min="13519" max="13519" width="12.5703125" customWidth="1"/>
    <col min="13520" max="13520" width="11.85546875" customWidth="1"/>
    <col min="13521" max="13522" width="9" customWidth="1"/>
    <col min="13523" max="13523" width="8.5703125" customWidth="1"/>
    <col min="13768" max="13768" width="39.42578125" customWidth="1"/>
    <col min="13769" max="13769" width="10.28515625" bestFit="1" customWidth="1"/>
    <col min="13770" max="13770" width="9" bestFit="1" customWidth="1"/>
    <col min="13771" max="13771" width="10.28515625" bestFit="1" customWidth="1"/>
    <col min="13772" max="13772" width="9" bestFit="1" customWidth="1"/>
    <col min="13773" max="13773" width="11" customWidth="1"/>
    <col min="13774" max="13774" width="11.140625" customWidth="1"/>
    <col min="13775" max="13775" width="12.5703125" customWidth="1"/>
    <col min="13776" max="13776" width="11.85546875" customWidth="1"/>
    <col min="13777" max="13778" width="9" customWidth="1"/>
    <col min="13779" max="13779" width="8.5703125" customWidth="1"/>
    <col min="14024" max="14024" width="39.42578125" customWidth="1"/>
    <col min="14025" max="14025" width="10.28515625" bestFit="1" customWidth="1"/>
    <col min="14026" max="14026" width="9" bestFit="1" customWidth="1"/>
    <col min="14027" max="14027" width="10.28515625" bestFit="1" customWidth="1"/>
    <col min="14028" max="14028" width="9" bestFit="1" customWidth="1"/>
    <col min="14029" max="14029" width="11" customWidth="1"/>
    <col min="14030" max="14030" width="11.140625" customWidth="1"/>
    <col min="14031" max="14031" width="12.5703125" customWidth="1"/>
    <col min="14032" max="14032" width="11.85546875" customWidth="1"/>
    <col min="14033" max="14034" width="9" customWidth="1"/>
    <col min="14035" max="14035" width="8.5703125" customWidth="1"/>
    <col min="14280" max="14280" width="39.42578125" customWidth="1"/>
    <col min="14281" max="14281" width="10.28515625" bestFit="1" customWidth="1"/>
    <col min="14282" max="14282" width="9" bestFit="1" customWidth="1"/>
    <col min="14283" max="14283" width="10.28515625" bestFit="1" customWidth="1"/>
    <col min="14284" max="14284" width="9" bestFit="1" customWidth="1"/>
    <col min="14285" max="14285" width="11" customWidth="1"/>
    <col min="14286" max="14286" width="11.140625" customWidth="1"/>
    <col min="14287" max="14287" width="12.5703125" customWidth="1"/>
    <col min="14288" max="14288" width="11.85546875" customWidth="1"/>
    <col min="14289" max="14290" width="9" customWidth="1"/>
    <col min="14291" max="14291" width="8.5703125" customWidth="1"/>
    <col min="14536" max="14536" width="39.42578125" customWidth="1"/>
    <col min="14537" max="14537" width="10.28515625" bestFit="1" customWidth="1"/>
    <col min="14538" max="14538" width="9" bestFit="1" customWidth="1"/>
    <col min="14539" max="14539" width="10.28515625" bestFit="1" customWidth="1"/>
    <col min="14540" max="14540" width="9" bestFit="1" customWidth="1"/>
    <col min="14541" max="14541" width="11" customWidth="1"/>
    <col min="14542" max="14542" width="11.140625" customWidth="1"/>
    <col min="14543" max="14543" width="12.5703125" customWidth="1"/>
    <col min="14544" max="14544" width="11.85546875" customWidth="1"/>
    <col min="14545" max="14546" width="9" customWidth="1"/>
    <col min="14547" max="14547" width="8.5703125" customWidth="1"/>
    <col min="14792" max="14792" width="39.42578125" customWidth="1"/>
    <col min="14793" max="14793" width="10.28515625" bestFit="1" customWidth="1"/>
    <col min="14794" max="14794" width="9" bestFit="1" customWidth="1"/>
    <col min="14795" max="14795" width="10.28515625" bestFit="1" customWidth="1"/>
    <col min="14796" max="14796" width="9" bestFit="1" customWidth="1"/>
    <col min="14797" max="14797" width="11" customWidth="1"/>
    <col min="14798" max="14798" width="11.140625" customWidth="1"/>
    <col min="14799" max="14799" width="12.5703125" customWidth="1"/>
    <col min="14800" max="14800" width="11.85546875" customWidth="1"/>
    <col min="14801" max="14802" width="9" customWidth="1"/>
    <col min="14803" max="14803" width="8.5703125" customWidth="1"/>
    <col min="15048" max="15048" width="39.42578125" customWidth="1"/>
    <col min="15049" max="15049" width="10.28515625" bestFit="1" customWidth="1"/>
    <col min="15050" max="15050" width="9" bestFit="1" customWidth="1"/>
    <col min="15051" max="15051" width="10.28515625" bestFit="1" customWidth="1"/>
    <col min="15052" max="15052" width="9" bestFit="1" customWidth="1"/>
    <col min="15053" max="15053" width="11" customWidth="1"/>
    <col min="15054" max="15054" width="11.140625" customWidth="1"/>
    <col min="15055" max="15055" width="12.5703125" customWidth="1"/>
    <col min="15056" max="15056" width="11.85546875" customWidth="1"/>
    <col min="15057" max="15058" width="9" customWidth="1"/>
    <col min="15059" max="15059" width="8.5703125" customWidth="1"/>
    <col min="15304" max="15304" width="39.42578125" customWidth="1"/>
    <col min="15305" max="15305" width="10.28515625" bestFit="1" customWidth="1"/>
    <col min="15306" max="15306" width="9" bestFit="1" customWidth="1"/>
    <col min="15307" max="15307" width="10.28515625" bestFit="1" customWidth="1"/>
    <col min="15308" max="15308" width="9" bestFit="1" customWidth="1"/>
    <col min="15309" max="15309" width="11" customWidth="1"/>
    <col min="15310" max="15310" width="11.140625" customWidth="1"/>
    <col min="15311" max="15311" width="12.5703125" customWidth="1"/>
    <col min="15312" max="15312" width="11.85546875" customWidth="1"/>
    <col min="15313" max="15314" width="9" customWidth="1"/>
    <col min="15315" max="15315" width="8.5703125" customWidth="1"/>
    <col min="15560" max="15560" width="39.42578125" customWidth="1"/>
    <col min="15561" max="15561" width="10.28515625" bestFit="1" customWidth="1"/>
    <col min="15562" max="15562" width="9" bestFit="1" customWidth="1"/>
    <col min="15563" max="15563" width="10.28515625" bestFit="1" customWidth="1"/>
    <col min="15564" max="15564" width="9" bestFit="1" customWidth="1"/>
    <col min="15565" max="15565" width="11" customWidth="1"/>
    <col min="15566" max="15566" width="11.140625" customWidth="1"/>
    <col min="15567" max="15567" width="12.5703125" customWidth="1"/>
    <col min="15568" max="15568" width="11.85546875" customWidth="1"/>
    <col min="15569" max="15570" width="9" customWidth="1"/>
    <col min="15571" max="15571" width="8.5703125" customWidth="1"/>
    <col min="15816" max="15816" width="39.42578125" customWidth="1"/>
    <col min="15817" max="15817" width="10.28515625" bestFit="1" customWidth="1"/>
    <col min="15818" max="15818" width="9" bestFit="1" customWidth="1"/>
    <col min="15819" max="15819" width="10.28515625" bestFit="1" customWidth="1"/>
    <col min="15820" max="15820" width="9" bestFit="1" customWidth="1"/>
    <col min="15821" max="15821" width="11" customWidth="1"/>
    <col min="15822" max="15822" width="11.140625" customWidth="1"/>
    <col min="15823" max="15823" width="12.5703125" customWidth="1"/>
    <col min="15824" max="15824" width="11.85546875" customWidth="1"/>
    <col min="15825" max="15826" width="9" customWidth="1"/>
    <col min="15827" max="15827" width="8.5703125" customWidth="1"/>
    <col min="16072" max="16072" width="39.42578125" customWidth="1"/>
    <col min="16073" max="16073" width="10.28515625" bestFit="1" customWidth="1"/>
    <col min="16074" max="16074" width="9" bestFit="1" customWidth="1"/>
    <col min="16075" max="16075" width="10.28515625" bestFit="1" customWidth="1"/>
    <col min="16076" max="16076" width="9" bestFit="1" customWidth="1"/>
    <col min="16077" max="16077" width="11" customWidth="1"/>
    <col min="16078" max="16078" width="11.140625" customWidth="1"/>
    <col min="16079" max="16079" width="12.5703125" customWidth="1"/>
    <col min="16080" max="16080" width="11.85546875" customWidth="1"/>
    <col min="16081" max="16082" width="9" customWidth="1"/>
    <col min="16083" max="16083" width="8.5703125" customWidth="1"/>
  </cols>
  <sheetData>
    <row r="1" spans="1:13">
      <c r="A1" s="1460" t="s">
        <v>419</v>
      </c>
      <c r="B1" s="1460"/>
      <c r="C1" s="1460"/>
      <c r="D1" s="1460"/>
      <c r="E1" s="1460"/>
      <c r="F1" s="1460"/>
      <c r="G1" s="1460"/>
      <c r="H1" s="1460"/>
      <c r="I1" s="1460"/>
      <c r="J1" s="1460"/>
      <c r="K1" s="1460"/>
      <c r="L1" s="1460"/>
    </row>
    <row r="2" spans="1:13">
      <c r="A2" s="1467" t="s">
        <v>480</v>
      </c>
      <c r="B2" s="1467"/>
      <c r="C2" s="1467"/>
      <c r="D2" s="1467"/>
      <c r="E2" s="1467"/>
      <c r="F2" s="1467"/>
      <c r="G2" s="1467"/>
      <c r="H2" s="1467"/>
      <c r="I2" s="1467"/>
      <c r="J2" s="1467"/>
      <c r="K2" s="1467"/>
      <c r="L2" s="1467"/>
    </row>
    <row r="3" spans="1:13" ht="13.5" thickBot="1">
      <c r="A3" s="1477" t="s">
        <v>581</v>
      </c>
      <c r="B3" s="1477"/>
      <c r="C3" s="1477"/>
      <c r="D3" s="1477"/>
      <c r="E3" s="1477"/>
      <c r="F3" s="1477"/>
      <c r="G3" s="1477"/>
      <c r="H3" s="1477"/>
      <c r="I3" s="1477"/>
      <c r="J3" s="1477"/>
      <c r="K3" s="1477"/>
      <c r="L3" s="1477"/>
    </row>
    <row r="4" spans="1:13" ht="19.5" customHeight="1">
      <c r="A4" s="1468" t="s">
        <v>352</v>
      </c>
      <c r="B4" s="1471" t="s">
        <v>353</v>
      </c>
      <c r="C4" s="1472"/>
      <c r="D4" s="1472"/>
      <c r="E4" s="1473"/>
      <c r="F4" s="1474" t="s">
        <v>375</v>
      </c>
      <c r="G4" s="1474" t="s">
        <v>354</v>
      </c>
      <c r="H4" s="1474" t="s">
        <v>355</v>
      </c>
      <c r="I4" s="1474" t="s">
        <v>356</v>
      </c>
      <c r="J4" s="1474" t="s">
        <v>357</v>
      </c>
      <c r="K4" s="1471" t="s">
        <v>372</v>
      </c>
      <c r="L4" s="1472"/>
    </row>
    <row r="5" spans="1:13" ht="19.5" customHeight="1">
      <c r="A5" s="1469"/>
      <c r="B5" s="1461" t="s">
        <v>358</v>
      </c>
      <c r="C5" s="1462"/>
      <c r="D5" s="1461" t="s">
        <v>359</v>
      </c>
      <c r="E5" s="1462"/>
      <c r="F5" s="1475"/>
      <c r="G5" s="1475"/>
      <c r="H5" s="1475"/>
      <c r="I5" s="1475"/>
      <c r="J5" s="1475"/>
      <c r="K5" s="1463" t="s">
        <v>360</v>
      </c>
      <c r="L5" s="1465" t="s">
        <v>361</v>
      </c>
    </row>
    <row r="6" spans="1:13" ht="15" customHeight="1" thickBot="1">
      <c r="A6" s="1470"/>
      <c r="B6" s="1272" t="s">
        <v>362</v>
      </c>
      <c r="C6" s="1272" t="s">
        <v>363</v>
      </c>
      <c r="D6" s="1272" t="s">
        <v>362</v>
      </c>
      <c r="E6" s="1272" t="s">
        <v>363</v>
      </c>
      <c r="F6" s="1476"/>
      <c r="G6" s="1476"/>
      <c r="H6" s="1476"/>
      <c r="I6" s="1476"/>
      <c r="J6" s="1476"/>
      <c r="K6" s="1464"/>
      <c r="L6" s="1466"/>
    </row>
    <row r="7" spans="1:13" ht="15" customHeight="1" thickBot="1">
      <c r="A7" s="562" t="s">
        <v>374</v>
      </c>
      <c r="B7" s="563">
        <f>(B14+B25+B27+B29+B31)/5</f>
        <v>11026.155349403372</v>
      </c>
      <c r="C7" s="563">
        <f>(C14+C25+C27+C29+C31)/5</f>
        <v>462.39687018521255</v>
      </c>
      <c r="D7" s="563">
        <f>(D14+D25+D27+D29+D31)/5</f>
        <v>13350.209476268623</v>
      </c>
      <c r="E7" s="563">
        <f>(E14+E25+E27+E29+E31)/5</f>
        <v>549.35211568280556</v>
      </c>
      <c r="F7" s="559">
        <f>F12+F14+F25+F27+F29+F31</f>
        <v>1387351</v>
      </c>
      <c r="G7" s="538">
        <v>1497293</v>
      </c>
      <c r="H7" s="561">
        <f>(G7/$G$7)*100</f>
        <v>100</v>
      </c>
      <c r="I7" s="539">
        <f>(F7/G7)*100</f>
        <v>92.65728217523224</v>
      </c>
      <c r="J7" s="564">
        <f>'8.Cotações'!F17</f>
        <v>502.95</v>
      </c>
      <c r="K7" s="567">
        <f>(J7/C7-1)*100</f>
        <v>8.7701998931229532</v>
      </c>
      <c r="L7" s="568">
        <f>(J7/E7-1)*100</f>
        <v>-8.4466982756826283</v>
      </c>
    </row>
    <row r="8" spans="1:13" ht="12.75" customHeight="1">
      <c r="A8" s="1256" t="s">
        <v>576</v>
      </c>
      <c r="B8" s="576">
        <v>12035.56</v>
      </c>
      <c r="C8" s="576">
        <f>B8/50</f>
        <v>240.71119999999999</v>
      </c>
      <c r="D8" s="576">
        <v>16227.99</v>
      </c>
      <c r="E8" s="631">
        <f>D8/50</f>
        <v>324.5598</v>
      </c>
      <c r="F8" s="632">
        <v>9129</v>
      </c>
      <c r="G8" s="632">
        <v>9129</v>
      </c>
      <c r="H8" s="633">
        <f>(G8/$G$7)*100</f>
        <v>0.60970030581856727</v>
      </c>
      <c r="I8" s="633">
        <f>(F8/G8)*100</f>
        <v>100</v>
      </c>
      <c r="J8" s="634">
        <f>J7</f>
        <v>502.95</v>
      </c>
      <c r="K8" s="634">
        <f>(J8/C8-1)*100</f>
        <v>108.94333126169454</v>
      </c>
      <c r="L8" s="635">
        <f>(J8/E8-1)*100</f>
        <v>54.963738577605724</v>
      </c>
    </row>
    <row r="9" spans="1:13" ht="12.75" customHeight="1">
      <c r="A9" s="636" t="s">
        <v>371</v>
      </c>
      <c r="B9" s="577"/>
      <c r="C9" s="576"/>
      <c r="D9" s="576"/>
      <c r="E9" s="577"/>
      <c r="F9" s="589"/>
      <c r="G9" s="590"/>
      <c r="H9" s="637"/>
      <c r="I9" s="593"/>
      <c r="J9" s="638"/>
      <c r="K9" s="638"/>
      <c r="L9" s="583"/>
    </row>
    <row r="10" spans="1:13" ht="12.75" customHeight="1">
      <c r="A10" s="636" t="s">
        <v>481</v>
      </c>
      <c r="B10" s="576"/>
      <c r="C10" s="576"/>
      <c r="D10" s="576"/>
      <c r="E10" s="576"/>
      <c r="F10" s="590"/>
      <c r="G10" s="590"/>
      <c r="H10" s="637"/>
      <c r="I10" s="593"/>
      <c r="J10" s="638"/>
      <c r="K10" s="638"/>
      <c r="L10" s="583"/>
    </row>
    <row r="11" spans="1:13" ht="12.75" customHeight="1">
      <c r="A11" s="636" t="s">
        <v>482</v>
      </c>
      <c r="B11" s="577"/>
      <c r="C11" s="576"/>
      <c r="D11" s="576"/>
      <c r="E11" s="576"/>
      <c r="F11" s="590"/>
      <c r="G11" s="590"/>
      <c r="H11" s="637"/>
      <c r="I11" s="593"/>
      <c r="J11" s="638"/>
      <c r="K11" s="638"/>
      <c r="L11" s="583"/>
    </row>
    <row r="12" spans="1:13" ht="15" customHeight="1" thickBot="1">
      <c r="A12" s="639" t="s">
        <v>492</v>
      </c>
      <c r="B12" s="640"/>
      <c r="C12" s="640"/>
      <c r="D12" s="640"/>
      <c r="E12" s="640"/>
      <c r="F12" s="641">
        <v>9129</v>
      </c>
      <c r="G12" s="641">
        <f>143939-35228</f>
        <v>108711</v>
      </c>
      <c r="H12" s="627">
        <f>(G12/$G$7)*100</f>
        <v>7.2605027873635954</v>
      </c>
      <c r="I12" s="627">
        <f>(F12/G12)*100</f>
        <v>8.3974942738085385</v>
      </c>
      <c r="J12" s="629">
        <f>J7</f>
        <v>502.95</v>
      </c>
      <c r="K12" s="629"/>
      <c r="L12" s="630"/>
      <c r="M12" s="4"/>
    </row>
    <row r="13" spans="1:13" ht="12.75" customHeight="1">
      <c r="A13" s="1273" t="s">
        <v>582</v>
      </c>
      <c r="B13" s="654">
        <v>13873.5</v>
      </c>
      <c r="C13" s="654">
        <f>B13/55</f>
        <v>252.24545454545455</v>
      </c>
      <c r="D13" s="654">
        <v>18312.7</v>
      </c>
      <c r="E13" s="654">
        <f>D13/55</f>
        <v>332.95818181818186</v>
      </c>
      <c r="F13" s="642"/>
      <c r="G13" s="642"/>
      <c r="H13" s="643"/>
      <c r="I13" s="643"/>
      <c r="J13" s="644"/>
      <c r="K13" s="644"/>
      <c r="L13" s="645"/>
      <c r="M13" s="4"/>
    </row>
    <row r="14" spans="1:13" ht="15" customHeight="1" thickBot="1">
      <c r="A14" s="646" t="s">
        <v>483</v>
      </c>
      <c r="B14" s="647">
        <f>B13</f>
        <v>13873.5</v>
      </c>
      <c r="C14" s="647">
        <f>B14/36.81</f>
        <v>376.89486552567234</v>
      </c>
      <c r="D14" s="647">
        <f>D13</f>
        <v>18312.7</v>
      </c>
      <c r="E14" s="647">
        <f>D14/36.81</f>
        <v>497.49252920402063</v>
      </c>
      <c r="F14" s="648">
        <v>6175</v>
      </c>
      <c r="G14" s="648">
        <v>6175</v>
      </c>
      <c r="H14" s="649">
        <f>(G14/$G$7)*100</f>
        <v>0.41241093092667902</v>
      </c>
      <c r="I14" s="650">
        <f>(F14/G14)*100</f>
        <v>100</v>
      </c>
      <c r="J14" s="651">
        <f>J7</f>
        <v>502.95</v>
      </c>
      <c r="K14" s="652">
        <f>(J14/C14-1)*100</f>
        <v>33.445702238079789</v>
      </c>
      <c r="L14" s="653">
        <f>(J14/E14-1)*100</f>
        <v>1.0969955276938892</v>
      </c>
      <c r="M14" s="4"/>
    </row>
    <row r="15" spans="1:13" ht="12.75" customHeight="1">
      <c r="A15" s="569" t="s">
        <v>445</v>
      </c>
      <c r="B15" s="570">
        <f>(SUM(B16:B20)/5)</f>
        <v>10626.535120525295</v>
      </c>
      <c r="C15" s="570">
        <f>B15/21.6</f>
        <v>491.96921854283772</v>
      </c>
      <c r="D15" s="570">
        <f>(SUM(D16:D20)/5)</f>
        <v>12883.096072014678</v>
      </c>
      <c r="E15" s="570">
        <f>D15/21.6</f>
        <v>596.43963296364245</v>
      </c>
      <c r="F15" s="571">
        <v>474611</v>
      </c>
      <c r="G15" s="571">
        <v>474611</v>
      </c>
      <c r="H15" s="572">
        <f>(G15/$G$7)*100</f>
        <v>31.697937544622196</v>
      </c>
      <c r="I15" s="572">
        <f>(G15/F25)*100</f>
        <v>49.05763156153872</v>
      </c>
      <c r="J15" s="573">
        <f>J7</f>
        <v>502.95</v>
      </c>
      <c r="K15" s="574">
        <f>(J15/C15-1)*100</f>
        <v>2.2320057929002601</v>
      </c>
      <c r="L15" s="575">
        <f>(J15/E15-1)*100</f>
        <v>-15.674617814899861</v>
      </c>
      <c r="M15" s="4"/>
    </row>
    <row r="16" spans="1:13" ht="24.75">
      <c r="A16" s="1265" t="s">
        <v>579</v>
      </c>
      <c r="B16" s="576">
        <v>9666.76</v>
      </c>
      <c r="C16" s="576">
        <f>B16/30</f>
        <v>322.22533333333337</v>
      </c>
      <c r="D16" s="576">
        <v>12585.39</v>
      </c>
      <c r="E16" s="577">
        <f>D16/30</f>
        <v>419.51299999999998</v>
      </c>
      <c r="F16" s="578"/>
      <c r="G16" s="579"/>
      <c r="H16" s="580"/>
      <c r="I16" s="581"/>
      <c r="J16" s="582"/>
      <c r="K16" s="582"/>
      <c r="L16" s="583"/>
      <c r="M16" s="4"/>
    </row>
    <row r="17" spans="1:13" ht="25.5" customHeight="1">
      <c r="A17" s="1256" t="s">
        <v>578</v>
      </c>
      <c r="B17" s="576">
        <v>10962.34</v>
      </c>
      <c r="C17" s="576">
        <f>B17/30</f>
        <v>365.41133333333335</v>
      </c>
      <c r="D17" s="576">
        <v>13872.11</v>
      </c>
      <c r="E17" s="576">
        <f>D17/30</f>
        <v>462.40366666666671</v>
      </c>
      <c r="F17" s="584"/>
      <c r="G17" s="585"/>
      <c r="H17" s="586"/>
      <c r="I17" s="581"/>
      <c r="J17" s="587"/>
      <c r="K17" s="588"/>
      <c r="L17" s="583"/>
      <c r="M17" s="4"/>
    </row>
    <row r="18" spans="1:13" ht="12.75" customHeight="1">
      <c r="A18" s="1126" t="s">
        <v>478</v>
      </c>
      <c r="B18" s="576">
        <v>13161.29</v>
      </c>
      <c r="C18" s="576">
        <f>B18/30</f>
        <v>438.70966666666669</v>
      </c>
      <c r="D18" s="576">
        <v>14918.87</v>
      </c>
      <c r="E18" s="577">
        <f>D18/30</f>
        <v>497.2956666666667</v>
      </c>
      <c r="F18" s="589"/>
      <c r="G18" s="590"/>
      <c r="H18" s="591"/>
      <c r="I18" s="592"/>
      <c r="J18" s="591"/>
      <c r="K18" s="591"/>
      <c r="L18" s="583"/>
      <c r="M18" s="4"/>
    </row>
    <row r="19" spans="1:13" ht="12.75" customHeight="1">
      <c r="A19" s="1265" t="s">
        <v>575</v>
      </c>
      <c r="B19" s="576">
        <v>9343.44</v>
      </c>
      <c r="C19" s="576">
        <f>B19/30</f>
        <v>311.44800000000004</v>
      </c>
      <c r="D19" s="576">
        <v>11765.6</v>
      </c>
      <c r="E19" s="577">
        <f>D19/30</f>
        <v>392.18666666666667</v>
      </c>
      <c r="F19" s="589"/>
      <c r="G19" s="590"/>
      <c r="H19" s="591"/>
      <c r="I19" s="593"/>
      <c r="J19" s="594"/>
      <c r="K19" s="594"/>
      <c r="L19" s="583"/>
      <c r="M19" s="4"/>
    </row>
    <row r="20" spans="1:13" ht="12.75" customHeight="1">
      <c r="A20" s="595" t="s">
        <v>378</v>
      </c>
      <c r="B20" s="596">
        <v>9998.8456026264757</v>
      </c>
      <c r="C20" s="596">
        <f>B20/30</f>
        <v>333.29485342088253</v>
      </c>
      <c r="D20" s="596">
        <v>11273.510360073386</v>
      </c>
      <c r="E20" s="596">
        <f>D20/30</f>
        <v>375.78367866911287</v>
      </c>
      <c r="F20" s="597"/>
      <c r="G20" s="597"/>
      <c r="H20" s="598"/>
      <c r="I20" s="599"/>
      <c r="J20" s="598"/>
      <c r="K20" s="598"/>
      <c r="L20" s="600"/>
      <c r="M20" s="4"/>
    </row>
    <row r="21" spans="1:13" ht="12.75" customHeight="1">
      <c r="A21" s="569" t="s">
        <v>484</v>
      </c>
      <c r="B21" s="570">
        <f>(SUM(B16:B20))/5</f>
        <v>10626.535120525295</v>
      </c>
      <c r="C21" s="570">
        <f>B21/24.8</f>
        <v>428.48931937601998</v>
      </c>
      <c r="D21" s="570">
        <f>(SUM(D16:D20))/5</f>
        <v>12883.096072014678</v>
      </c>
      <c r="E21" s="570">
        <f>D21/24.8</f>
        <v>519.47968032317249</v>
      </c>
      <c r="F21" s="571">
        <v>170634</v>
      </c>
      <c r="G21" s="571">
        <v>170634</v>
      </c>
      <c r="H21" s="572">
        <f>(G21/$G$7)*100</f>
        <v>11.396166281415862</v>
      </c>
      <c r="I21" s="572">
        <f>(G21/F25)*100</f>
        <v>17.637391261204645</v>
      </c>
      <c r="J21" s="601">
        <f>J7</f>
        <v>502.95</v>
      </c>
      <c r="K21" s="574">
        <f>(J21/C21-1)*100</f>
        <v>17.377488132589171</v>
      </c>
      <c r="L21" s="575">
        <f>(J21/E21-1)*100</f>
        <v>-3.1819686022924398</v>
      </c>
      <c r="M21" s="4"/>
    </row>
    <row r="22" spans="1:13" ht="12.75" customHeight="1">
      <c r="A22" s="1266" t="s">
        <v>577</v>
      </c>
      <c r="B22" s="602">
        <v>9384.1299999999992</v>
      </c>
      <c r="C22" s="602">
        <f>B22/30</f>
        <v>312.80433333333332</v>
      </c>
      <c r="D22" s="602">
        <v>12683.69</v>
      </c>
      <c r="E22" s="603">
        <f>D22/30</f>
        <v>422.78966666666668</v>
      </c>
      <c r="F22" s="604"/>
      <c r="G22" s="605"/>
      <c r="H22" s="606"/>
      <c r="I22" s="607"/>
      <c r="J22" s="608"/>
      <c r="K22" s="608"/>
      <c r="L22" s="609"/>
      <c r="M22" s="4"/>
    </row>
    <row r="23" spans="1:13" ht="12.75" customHeight="1">
      <c r="A23" s="569" t="s">
        <v>485</v>
      </c>
      <c r="B23" s="570">
        <f>B24</f>
        <v>12680.73</v>
      </c>
      <c r="C23" s="570">
        <f>B23/23.25</f>
        <v>545.40774193548384</v>
      </c>
      <c r="D23" s="570">
        <f>D24</f>
        <v>14429.06</v>
      </c>
      <c r="E23" s="570">
        <f>D23/23.25</f>
        <v>620.60473118279572</v>
      </c>
      <c r="F23" s="571">
        <v>288336</v>
      </c>
      <c r="G23" s="571">
        <v>288336</v>
      </c>
      <c r="H23" s="572">
        <f>(G23/$G$7)*100</f>
        <v>19.257152741647758</v>
      </c>
      <c r="I23" s="572">
        <f>(G23/F25)*100</f>
        <v>29.803525948466909</v>
      </c>
      <c r="J23" s="573">
        <f>J7</f>
        <v>502.95</v>
      </c>
      <c r="K23" s="574">
        <f>(J23/C23-1)*100</f>
        <v>-7.7845873226541347</v>
      </c>
      <c r="L23" s="575">
        <f>(J23/E23-1)*100</f>
        <v>-18.958078350218244</v>
      </c>
      <c r="M23" s="4"/>
    </row>
    <row r="24" spans="1:13" s="486" customFormat="1" ht="12.75" customHeight="1">
      <c r="A24" s="1128" t="s">
        <v>580</v>
      </c>
      <c r="B24" s="596">
        <v>12680.73</v>
      </c>
      <c r="C24" s="596">
        <f>B24/35</f>
        <v>362.30657142857143</v>
      </c>
      <c r="D24" s="596">
        <v>14429.06</v>
      </c>
      <c r="E24" s="610">
        <f>D24/35</f>
        <v>412.25885714285715</v>
      </c>
      <c r="F24" s="611"/>
      <c r="G24" s="597"/>
      <c r="H24" s="599"/>
      <c r="I24" s="599"/>
      <c r="J24" s="598"/>
      <c r="K24" s="598"/>
      <c r="L24" s="600"/>
      <c r="M24" s="550"/>
    </row>
    <row r="25" spans="1:13" ht="15" customHeight="1" thickBot="1">
      <c r="A25" s="612" t="s">
        <v>486</v>
      </c>
      <c r="B25" s="613">
        <f>(B15+B21+B23)/3</f>
        <v>11311.266747016862</v>
      </c>
      <c r="C25" s="613">
        <f>B25/22.59</f>
        <v>500.72008618932546</v>
      </c>
      <c r="D25" s="613">
        <f>(D15+D21+D23)/3</f>
        <v>13398.417381343119</v>
      </c>
      <c r="E25" s="613">
        <f>D25/22.59</f>
        <v>593.1127658850429</v>
      </c>
      <c r="F25" s="614">
        <v>967456</v>
      </c>
      <c r="G25" s="614">
        <v>967456</v>
      </c>
      <c r="H25" s="615">
        <f>H15+H23+H21</f>
        <v>62.351256567685809</v>
      </c>
      <c r="I25" s="616">
        <f>I15+I21+I23</f>
        <v>96.498548771210281</v>
      </c>
      <c r="J25" s="617">
        <f>J7</f>
        <v>502.95</v>
      </c>
      <c r="K25" s="618">
        <f>(J25/C25-1)*100</f>
        <v>0.44534139376053439</v>
      </c>
      <c r="L25" s="619">
        <f>(J25/E25-1)*100</f>
        <v>-15.201622873603471</v>
      </c>
      <c r="M25" s="4"/>
    </row>
    <row r="26" spans="1:13" ht="12.75" customHeight="1">
      <c r="A26" s="1127" t="s">
        <v>364</v>
      </c>
      <c r="B26" s="654">
        <v>10527.9</v>
      </c>
      <c r="C26" s="654">
        <f>B26/30</f>
        <v>350.93</v>
      </c>
      <c r="D26" s="654">
        <v>12638.7</v>
      </c>
      <c r="E26" s="655">
        <f>D26/30</f>
        <v>421.29</v>
      </c>
      <c r="F26" s="656"/>
      <c r="G26" s="642"/>
      <c r="H26" s="643"/>
      <c r="I26" s="547"/>
      <c r="J26" s="657"/>
      <c r="K26" s="657"/>
      <c r="L26" s="645"/>
      <c r="M26" s="4"/>
    </row>
    <row r="27" spans="1:13" ht="15" customHeight="1" thickBot="1">
      <c r="A27" s="646" t="s">
        <v>487</v>
      </c>
      <c r="B27" s="658">
        <f>B26</f>
        <v>10527.9</v>
      </c>
      <c r="C27" s="658">
        <f>B27/27.19</f>
        <v>387.19749908054428</v>
      </c>
      <c r="D27" s="658">
        <f>D26</f>
        <v>12638.7</v>
      </c>
      <c r="E27" s="658">
        <f>D27/27.19</f>
        <v>464.82898124310407</v>
      </c>
      <c r="F27" s="648">
        <v>44500</v>
      </c>
      <c r="G27" s="648">
        <v>44500</v>
      </c>
      <c r="H27" s="649">
        <f>(G27/$G$7)*100</f>
        <v>2.9720301904837596</v>
      </c>
      <c r="I27" s="650">
        <f>(G27/F27)*100</f>
        <v>100</v>
      </c>
      <c r="J27" s="651">
        <f>J7</f>
        <v>502.95</v>
      </c>
      <c r="K27" s="652">
        <f>(J27/C27-1)*100</f>
        <v>29.894950559940735</v>
      </c>
      <c r="L27" s="653">
        <f>(J27/E27-1)*100</f>
        <v>8.2010847634645945</v>
      </c>
      <c r="M27" s="4"/>
    </row>
    <row r="28" spans="1:13" ht="12.75" customHeight="1">
      <c r="A28" s="1125" t="s">
        <v>365</v>
      </c>
      <c r="B28" s="620">
        <v>9304.08</v>
      </c>
      <c r="C28" s="620">
        <f>B28/30</f>
        <v>310.13600000000002</v>
      </c>
      <c r="D28" s="620">
        <v>10880.34</v>
      </c>
      <c r="E28" s="620">
        <f>D28/30</f>
        <v>362.678</v>
      </c>
      <c r="F28" s="621"/>
      <c r="G28" s="621"/>
      <c r="H28" s="622"/>
      <c r="I28" s="599"/>
      <c r="J28" s="623"/>
      <c r="K28" s="623"/>
      <c r="L28" s="624"/>
      <c r="M28" s="4"/>
    </row>
    <row r="29" spans="1:13" ht="15" customHeight="1" thickBot="1">
      <c r="A29" s="612" t="s">
        <v>488</v>
      </c>
      <c r="B29" s="625">
        <f>B28</f>
        <v>9304.08</v>
      </c>
      <c r="C29" s="625">
        <f>B29/18.85</f>
        <v>493.58514588859413</v>
      </c>
      <c r="D29" s="625">
        <f>D28</f>
        <v>10880.34</v>
      </c>
      <c r="E29" s="625">
        <f>D29/18.85</f>
        <v>577.20636604774529</v>
      </c>
      <c r="F29" s="614">
        <v>203490</v>
      </c>
      <c r="G29" s="614">
        <v>203490</v>
      </c>
      <c r="H29" s="626">
        <f>(G29/$G$7)*100</f>
        <v>13.590526369922253</v>
      </c>
      <c r="I29" s="627">
        <f>(G29/F29)*100</f>
        <v>100</v>
      </c>
      <c r="J29" s="628">
        <f>J7</f>
        <v>502.95</v>
      </c>
      <c r="K29" s="629">
        <f>(J29/C29-1)*100</f>
        <v>1.8973127918074706</v>
      </c>
      <c r="L29" s="630">
        <f>(J29/E29-1)*100</f>
        <v>-12.864786394542804</v>
      </c>
      <c r="M29" s="4"/>
    </row>
    <row r="30" spans="1:13" ht="15" customHeight="1">
      <c r="A30" s="1267" t="s">
        <v>479</v>
      </c>
      <c r="B30" s="654">
        <v>10114.030000000001</v>
      </c>
      <c r="C30" s="654">
        <f>B30/30</f>
        <v>337.13433333333336</v>
      </c>
      <c r="D30" s="654">
        <v>11520.89</v>
      </c>
      <c r="E30" s="655">
        <f>D30/30</f>
        <v>384.02966666666663</v>
      </c>
      <c r="F30" s="656"/>
      <c r="G30" s="656"/>
      <c r="H30" s="643"/>
      <c r="I30" s="547"/>
      <c r="J30" s="657"/>
      <c r="K30" s="657"/>
      <c r="L30" s="645"/>
      <c r="M30" s="4"/>
    </row>
    <row r="31" spans="1:13" ht="15" customHeight="1" thickBot="1">
      <c r="A31" s="646" t="s">
        <v>489</v>
      </c>
      <c r="B31" s="658">
        <f>B30</f>
        <v>10114.030000000001</v>
      </c>
      <c r="C31" s="658">
        <f>B31/18.27</f>
        <v>553.58675424192666</v>
      </c>
      <c r="D31" s="658">
        <f>D30</f>
        <v>11520.89</v>
      </c>
      <c r="E31" s="658">
        <f>D31/18.76</f>
        <v>614.11993603411509</v>
      </c>
      <c r="F31" s="648">
        <v>156601</v>
      </c>
      <c r="G31" s="648">
        <v>156601</v>
      </c>
      <c r="H31" s="649">
        <f>(G31/$G$7)*100</f>
        <v>10.458941569886456</v>
      </c>
      <c r="I31" s="650">
        <f>(G31/F31)*100</f>
        <v>100</v>
      </c>
      <c r="J31" s="651">
        <f>J7</f>
        <v>502.95</v>
      </c>
      <c r="K31" s="652">
        <f>(J31/C31-1)*100</f>
        <v>-9.1470314009351341</v>
      </c>
      <c r="L31" s="653">
        <f>(J31/E31-1)*100</f>
        <v>-18.102316748098445</v>
      </c>
      <c r="M31" s="4"/>
    </row>
    <row r="32" spans="1:13" ht="15" customHeight="1" thickBot="1">
      <c r="A32" s="557" t="s">
        <v>373</v>
      </c>
      <c r="B32" s="558">
        <f>(B38+B41)/2</f>
        <v>10750.099267841993</v>
      </c>
      <c r="C32" s="558">
        <f>(C38+C41)/2</f>
        <v>439.22965350676822</v>
      </c>
      <c r="D32" s="558">
        <f>(D38+D41)/2</f>
        <v>12186.599192872069</v>
      </c>
      <c r="E32" s="558">
        <f>(E38+E41)/2</f>
        <v>502.25723584566322</v>
      </c>
      <c r="F32" s="559">
        <f>F38+F41</f>
        <v>361358</v>
      </c>
      <c r="G32" s="538">
        <v>432852</v>
      </c>
      <c r="H32" s="560">
        <f>(G32/$G$32)*100</f>
        <v>100</v>
      </c>
      <c r="I32" s="561">
        <f>(F32/G32)*100</f>
        <v>83.483038082300638</v>
      </c>
      <c r="J32" s="558">
        <f>'8.Cotações'!I17</f>
        <v>436.88</v>
      </c>
      <c r="K32" s="551">
        <f>(J32/C32-1)*100</f>
        <v>-0.53494874219188748</v>
      </c>
      <c r="L32" s="552">
        <f>(J32/E32-1)*100</f>
        <v>-13.016683718968414</v>
      </c>
      <c r="M32" s="4"/>
    </row>
    <row r="33" spans="1:13" ht="12.75" customHeight="1">
      <c r="A33" s="565" t="s">
        <v>366</v>
      </c>
      <c r="B33" s="659">
        <v>3960.7204006180432</v>
      </c>
      <c r="C33" s="659">
        <f>B33/25</f>
        <v>158.42881602472173</v>
      </c>
      <c r="D33" s="659">
        <v>4744.4537254336228</v>
      </c>
      <c r="E33" s="660">
        <f>D33/25</f>
        <v>189.7781490173449</v>
      </c>
      <c r="F33" s="540"/>
      <c r="G33" s="540"/>
      <c r="H33" s="661"/>
      <c r="I33" s="544"/>
      <c r="J33" s="541"/>
      <c r="K33" s="541"/>
      <c r="L33" s="662"/>
      <c r="M33" s="4"/>
    </row>
    <row r="34" spans="1:13" ht="12.75" customHeight="1">
      <c r="A34" s="565" t="s">
        <v>367</v>
      </c>
      <c r="B34" s="659">
        <v>3449.8483415950432</v>
      </c>
      <c r="C34" s="659">
        <f>B34/20</f>
        <v>172.49241707975216</v>
      </c>
      <c r="D34" s="659">
        <v>4081.8132032870703</v>
      </c>
      <c r="E34" s="660">
        <f>D34/20</f>
        <v>204.09066016435352</v>
      </c>
      <c r="F34" s="540"/>
      <c r="G34" s="540"/>
      <c r="H34" s="661"/>
      <c r="I34" s="544"/>
      <c r="J34" s="542"/>
      <c r="K34" s="542"/>
      <c r="L34" s="543"/>
      <c r="M34" s="4"/>
    </row>
    <row r="35" spans="1:13" ht="12.75" customHeight="1">
      <c r="A35" s="565" t="s">
        <v>368</v>
      </c>
      <c r="B35" s="659">
        <v>3937.1889362068441</v>
      </c>
      <c r="C35" s="659">
        <f>B35/60</f>
        <v>65.619815603447407</v>
      </c>
      <c r="D35" s="1254">
        <v>6462.79</v>
      </c>
      <c r="E35" s="1254">
        <f>D35/60</f>
        <v>107.71316666666667</v>
      </c>
      <c r="F35" s="734"/>
      <c r="G35" s="734"/>
      <c r="H35" s="661"/>
      <c r="I35" s="544"/>
      <c r="J35" s="542"/>
      <c r="K35" s="542"/>
      <c r="L35" s="543"/>
      <c r="M35" s="4"/>
    </row>
    <row r="36" spans="1:13" ht="12.75" customHeight="1">
      <c r="A36" s="1255" t="s">
        <v>571</v>
      </c>
      <c r="B36" s="659">
        <v>9472.02</v>
      </c>
      <c r="C36" s="659">
        <f>B36/70</f>
        <v>135.31457142857144</v>
      </c>
      <c r="D36" s="1254">
        <v>10844.47</v>
      </c>
      <c r="E36" s="660">
        <f>D36/70</f>
        <v>154.92099999999999</v>
      </c>
      <c r="F36" s="540"/>
      <c r="G36" s="734"/>
      <c r="H36" s="661"/>
      <c r="I36" s="544"/>
      <c r="J36" s="542"/>
      <c r="K36" s="542"/>
      <c r="L36" s="543"/>
      <c r="M36" s="4"/>
    </row>
    <row r="37" spans="1:13" ht="12.75" customHeight="1">
      <c r="A37" s="1270" t="s">
        <v>572</v>
      </c>
      <c r="B37" s="663">
        <v>9403.24</v>
      </c>
      <c r="C37" s="663">
        <f>B37/65</f>
        <v>144.66523076923076</v>
      </c>
      <c r="D37" s="664">
        <v>11125.04</v>
      </c>
      <c r="E37" s="1271">
        <f>D37/65</f>
        <v>171.15446153846156</v>
      </c>
      <c r="F37" s="549"/>
      <c r="G37" s="545"/>
      <c r="H37" s="665"/>
      <c r="I37" s="547"/>
      <c r="J37" s="546"/>
      <c r="K37" s="546"/>
      <c r="L37" s="548"/>
      <c r="M37" s="4"/>
    </row>
    <row r="38" spans="1:13" ht="15" customHeight="1" thickBot="1">
      <c r="A38" s="646" t="s">
        <v>376</v>
      </c>
      <c r="B38" s="658">
        <f>(SUM(B33:B37))/5</f>
        <v>6044.6035356839857</v>
      </c>
      <c r="C38" s="658">
        <f>B38/19.51</f>
        <v>309.82078604223398</v>
      </c>
      <c r="D38" s="658">
        <f>(SUM(D33:D37))/5</f>
        <v>7451.7133857441386</v>
      </c>
      <c r="E38" s="658">
        <f>D38/19.51</f>
        <v>381.94327963834638</v>
      </c>
      <c r="F38" s="666">
        <v>87657</v>
      </c>
      <c r="G38" s="666">
        <v>87657</v>
      </c>
      <c r="H38" s="649">
        <f>(G38/$G$32)*100</f>
        <v>20.251032685536856</v>
      </c>
      <c r="I38" s="649">
        <f>(F38/G38)*100</f>
        <v>100</v>
      </c>
      <c r="J38" s="651">
        <f>J32</f>
        <v>436.88</v>
      </c>
      <c r="K38" s="1268">
        <f>(J38/C38-1)*100</f>
        <v>41.010551803469262</v>
      </c>
      <c r="L38" s="1269">
        <f>(J38/E38-1)*100</f>
        <v>14.383476105057259</v>
      </c>
      <c r="M38" s="4"/>
    </row>
    <row r="39" spans="1:13" ht="12.75" customHeight="1">
      <c r="A39" s="1259" t="s">
        <v>573</v>
      </c>
      <c r="B39" s="1260">
        <v>15540.4</v>
      </c>
      <c r="C39" s="1260">
        <f>B39/60</f>
        <v>259.00666666666666</v>
      </c>
      <c r="D39" s="1260">
        <v>16985.96</v>
      </c>
      <c r="E39" s="1260">
        <f>D39/60</f>
        <v>283.09933333333333</v>
      </c>
      <c r="F39" s="1261"/>
      <c r="G39" s="1262"/>
      <c r="H39" s="633"/>
      <c r="I39" s="593"/>
      <c r="J39" s="1263"/>
      <c r="K39" s="1263"/>
      <c r="L39" s="1264"/>
      <c r="M39" s="4"/>
    </row>
    <row r="40" spans="1:13" ht="12.75" customHeight="1">
      <c r="A40" s="1257" t="s">
        <v>574</v>
      </c>
      <c r="B40" s="1258">
        <v>15370.79</v>
      </c>
      <c r="C40" s="1258">
        <f>B40/60</f>
        <v>256.17983333333336</v>
      </c>
      <c r="D40" s="1258">
        <v>16857.009999999998</v>
      </c>
      <c r="E40" s="1258">
        <f>D40/60</f>
        <v>280.95016666666663</v>
      </c>
      <c r="F40" s="597"/>
      <c r="G40" s="597"/>
      <c r="H40" s="599"/>
      <c r="I40" s="599"/>
      <c r="J40" s="598"/>
      <c r="K40" s="598"/>
      <c r="L40" s="600"/>
      <c r="M40" s="4"/>
    </row>
    <row r="41" spans="1:13" ht="15" customHeight="1" thickBot="1">
      <c r="A41" s="612" t="s">
        <v>377</v>
      </c>
      <c r="B41" s="625">
        <f>SUM(B39:B40)/2</f>
        <v>15455.595000000001</v>
      </c>
      <c r="C41" s="625">
        <f>B41/27.18</f>
        <v>568.63852097130246</v>
      </c>
      <c r="D41" s="625">
        <f>SUM(D39:D40)/2</f>
        <v>16921.485000000001</v>
      </c>
      <c r="E41" s="625">
        <f>D41/27.18</f>
        <v>622.57119205298011</v>
      </c>
      <c r="F41" s="667">
        <v>273701</v>
      </c>
      <c r="G41" s="668">
        <v>273701</v>
      </c>
      <c r="H41" s="626">
        <f>(G41/$G$32)*100</f>
        <v>63.232005396763789</v>
      </c>
      <c r="I41" s="626">
        <f>(F41/G41)*100</f>
        <v>100</v>
      </c>
      <c r="J41" s="628">
        <f>J32</f>
        <v>436.88</v>
      </c>
      <c r="K41" s="618">
        <f>(J41/C41-1)*100</f>
        <v>-23.17087501322337</v>
      </c>
      <c r="L41" s="619">
        <f>(J41/E41-1)*100</f>
        <v>-29.826499270010874</v>
      </c>
      <c r="M41" s="4"/>
    </row>
    <row r="42" spans="1:13" ht="12.75" customHeight="1">
      <c r="A42" t="s">
        <v>369</v>
      </c>
      <c r="B42" s="553"/>
      <c r="C42" s="553"/>
      <c r="D42" s="566"/>
      <c r="E42" s="566"/>
      <c r="G42" s="554"/>
      <c r="H42" s="555"/>
    </row>
    <row r="43" spans="1:13" ht="12.75" customHeight="1">
      <c r="A43" s="537" t="s">
        <v>490</v>
      </c>
      <c r="B43" s="553"/>
      <c r="C43" s="553"/>
      <c r="D43" s="566"/>
      <c r="E43" s="566"/>
      <c r="G43" s="554"/>
      <c r="H43" s="555"/>
    </row>
    <row r="44" spans="1:13" ht="12.75" customHeight="1">
      <c r="A44" s="537" t="s">
        <v>491</v>
      </c>
      <c r="B44" s="553"/>
      <c r="C44" s="553"/>
      <c r="D44" s="566"/>
      <c r="E44" s="566"/>
      <c r="G44" s="554"/>
      <c r="H44" s="555"/>
    </row>
    <row r="45" spans="1:13" ht="12.75" customHeight="1">
      <c r="A45" s="537" t="s">
        <v>370</v>
      </c>
      <c r="B45" s="556"/>
      <c r="C45" s="556"/>
      <c r="D45" s="556"/>
      <c r="E45" s="556"/>
    </row>
    <row r="46" spans="1:13" ht="12.75" customHeight="1"/>
    <row r="47" spans="1:13" ht="12.75" customHeight="1"/>
    <row r="48" spans="1:13" ht="12.75" customHeight="1"/>
    <row r="49" ht="12.75" customHeight="1"/>
  </sheetData>
  <mergeCells count="15">
    <mergeCell ref="A1:L1"/>
    <mergeCell ref="D5:E5"/>
    <mergeCell ref="K5:K6"/>
    <mergeCell ref="L5:L6"/>
    <mergeCell ref="A2:L2"/>
    <mergeCell ref="A4:A6"/>
    <mergeCell ref="B4:E4"/>
    <mergeCell ref="F4:F6"/>
    <mergeCell ref="G4:G6"/>
    <mergeCell ref="H4:H6"/>
    <mergeCell ref="I4:I6"/>
    <mergeCell ref="J4:J6"/>
    <mergeCell ref="K4:L4"/>
    <mergeCell ref="B5:C5"/>
    <mergeCell ref="A3:L3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9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N21" sqref="N21"/>
    </sheetView>
  </sheetViews>
  <sheetFormatPr defaultRowHeight="12.75"/>
  <cols>
    <col min="1" max="1" width="2.7109375" customWidth="1"/>
    <col min="2" max="2" width="9.5703125" customWidth="1"/>
    <col min="3" max="3" width="36.42578125" customWidth="1"/>
    <col min="4" max="4" width="15.85546875" customWidth="1"/>
    <col min="5" max="5" width="7.7109375" customWidth="1"/>
    <col min="6" max="6" width="10.7109375" customWidth="1"/>
    <col min="7" max="7" width="12.7109375" customWidth="1"/>
    <col min="8" max="8" width="7.7109375" customWidth="1"/>
    <col min="9" max="9" width="10.7109375" customWidth="1"/>
    <col min="10" max="10" width="12.7109375" customWidth="1"/>
    <col min="11" max="11" width="8.85546875" customWidth="1"/>
    <col min="12" max="12" width="2.7109375" customWidth="1"/>
  </cols>
  <sheetData>
    <row r="1" spans="1:12" ht="13.5" customHeight="1">
      <c r="A1" s="1478" t="s">
        <v>420</v>
      </c>
      <c r="B1" s="1478"/>
      <c r="C1" s="1478"/>
      <c r="D1" s="1478"/>
      <c r="E1" s="1478"/>
      <c r="F1" s="1478"/>
      <c r="G1" s="1478"/>
      <c r="H1" s="1478"/>
      <c r="I1" s="1478"/>
      <c r="J1" s="1478"/>
      <c r="K1" s="1478"/>
      <c r="L1" s="1478"/>
    </row>
    <row r="2" spans="1:12" ht="27" customHeight="1">
      <c r="A2" s="278"/>
      <c r="B2" s="279"/>
      <c r="C2" s="1326"/>
      <c r="D2" s="1326"/>
      <c r="E2" s="1326"/>
      <c r="F2" s="1326"/>
      <c r="G2" s="1326"/>
      <c r="H2" s="1326"/>
      <c r="I2" s="1326"/>
      <c r="J2" s="1326"/>
      <c r="K2" s="280"/>
      <c r="L2" s="278"/>
    </row>
    <row r="3" spans="1:12" ht="14.25" customHeight="1">
      <c r="A3" s="278"/>
      <c r="B3" s="171"/>
      <c r="C3" s="1363" t="s">
        <v>255</v>
      </c>
      <c r="D3" s="1363"/>
      <c r="E3" s="1363"/>
      <c r="F3" s="1363"/>
      <c r="G3" s="1363"/>
      <c r="H3" s="1363"/>
      <c r="I3" s="1363"/>
      <c r="J3" s="1363"/>
      <c r="K3" s="129"/>
      <c r="L3" s="278"/>
    </row>
    <row r="4" spans="1:12" ht="16.5" thickBot="1">
      <c r="A4" s="278"/>
      <c r="B4" s="171"/>
      <c r="C4" s="1363"/>
      <c r="D4" s="1363"/>
      <c r="E4" s="1363"/>
      <c r="F4" s="1363"/>
      <c r="G4" s="1363"/>
      <c r="H4" s="1363"/>
      <c r="I4" s="1363"/>
      <c r="J4" s="1363"/>
      <c r="K4" s="129"/>
      <c r="L4" s="278"/>
    </row>
    <row r="5" spans="1:12" ht="13.5" thickBot="1">
      <c r="A5" s="278"/>
      <c r="B5" s="171"/>
      <c r="C5" s="1481" t="s">
        <v>223</v>
      </c>
      <c r="D5" s="1483" t="s">
        <v>224</v>
      </c>
      <c r="E5" s="1485" t="s">
        <v>225</v>
      </c>
      <c r="F5" s="1479"/>
      <c r="G5" s="1486"/>
      <c r="H5" s="1479" t="s">
        <v>47</v>
      </c>
      <c r="I5" s="1479"/>
      <c r="J5" s="1479"/>
      <c r="K5" s="129"/>
      <c r="L5" s="278"/>
    </row>
    <row r="6" spans="1:12" ht="24.95" customHeight="1" thickBot="1">
      <c r="A6" s="278"/>
      <c r="B6" s="171"/>
      <c r="C6" s="1482"/>
      <c r="D6" s="1484"/>
      <c r="E6" s="181" t="s">
        <v>226</v>
      </c>
      <c r="F6" s="181" t="s">
        <v>227</v>
      </c>
      <c r="G6" s="181" t="s">
        <v>251</v>
      </c>
      <c r="H6" s="181" t="s">
        <v>226</v>
      </c>
      <c r="I6" s="181" t="s">
        <v>227</v>
      </c>
      <c r="J6" s="182" t="s">
        <v>251</v>
      </c>
      <c r="K6" s="129"/>
      <c r="L6" s="278"/>
    </row>
    <row r="7" spans="1:12" ht="26.25" customHeight="1">
      <c r="A7" s="278"/>
      <c r="B7" s="171"/>
      <c r="C7" s="183" t="s">
        <v>252</v>
      </c>
      <c r="D7" s="184" t="s">
        <v>228</v>
      </c>
      <c r="E7" s="185" t="s">
        <v>253</v>
      </c>
      <c r="F7" s="184" t="s">
        <v>229</v>
      </c>
      <c r="G7" s="309">
        <v>64</v>
      </c>
      <c r="H7" s="185" t="s">
        <v>259</v>
      </c>
      <c r="I7" s="185" t="s">
        <v>230</v>
      </c>
      <c r="J7" s="310">
        <v>113</v>
      </c>
      <c r="K7" s="129"/>
      <c r="L7" s="278"/>
    </row>
    <row r="8" spans="1:12" ht="20.100000000000001" customHeight="1">
      <c r="A8" s="278"/>
      <c r="B8" s="171"/>
      <c r="C8" s="186" t="s">
        <v>231</v>
      </c>
      <c r="D8" s="187" t="s">
        <v>232</v>
      </c>
      <c r="E8" s="188" t="s">
        <v>253</v>
      </c>
      <c r="F8" s="187" t="s">
        <v>229</v>
      </c>
      <c r="G8" s="311">
        <v>89</v>
      </c>
      <c r="H8" s="188" t="s">
        <v>259</v>
      </c>
      <c r="I8" s="187" t="s">
        <v>233</v>
      </c>
      <c r="J8" s="312">
        <v>157</v>
      </c>
      <c r="K8" s="129"/>
      <c r="L8" s="278"/>
    </row>
    <row r="9" spans="1:12" ht="20.100000000000001" customHeight="1">
      <c r="A9" s="278"/>
      <c r="B9" s="171"/>
      <c r="C9" s="186" t="s">
        <v>234</v>
      </c>
      <c r="D9" s="187" t="s">
        <v>235</v>
      </c>
      <c r="E9" s="188" t="s">
        <v>253</v>
      </c>
      <c r="F9" s="187" t="s">
        <v>229</v>
      </c>
      <c r="G9" s="311">
        <v>89</v>
      </c>
      <c r="H9" s="188" t="s">
        <v>259</v>
      </c>
      <c r="I9" s="187" t="s">
        <v>233</v>
      </c>
      <c r="J9" s="312">
        <v>157</v>
      </c>
      <c r="K9" s="129"/>
      <c r="L9" s="278"/>
    </row>
    <row r="10" spans="1:12" ht="20.100000000000001" customHeight="1">
      <c r="A10" s="278"/>
      <c r="B10" s="171"/>
      <c r="C10" s="186" t="s">
        <v>236</v>
      </c>
      <c r="D10" s="187" t="s">
        <v>237</v>
      </c>
      <c r="E10" s="188" t="s">
        <v>253</v>
      </c>
      <c r="F10" s="187" t="s">
        <v>229</v>
      </c>
      <c r="G10" s="311">
        <v>89</v>
      </c>
      <c r="H10" s="188" t="s">
        <v>259</v>
      </c>
      <c r="I10" s="187" t="s">
        <v>233</v>
      </c>
      <c r="J10" s="312">
        <v>157</v>
      </c>
      <c r="K10" s="129"/>
      <c r="L10" s="278"/>
    </row>
    <row r="11" spans="1:12" ht="20.100000000000001" customHeight="1">
      <c r="A11" s="278"/>
      <c r="B11" s="171"/>
      <c r="C11" s="186" t="s">
        <v>238</v>
      </c>
      <c r="D11" s="187" t="s">
        <v>239</v>
      </c>
      <c r="E11" s="188" t="s">
        <v>253</v>
      </c>
      <c r="F11" s="187" t="s">
        <v>229</v>
      </c>
      <c r="G11" s="311">
        <v>89</v>
      </c>
      <c r="H11" s="188" t="s">
        <v>259</v>
      </c>
      <c r="I11" s="187" t="s">
        <v>233</v>
      </c>
      <c r="J11" s="312">
        <v>157</v>
      </c>
      <c r="K11" s="129"/>
      <c r="L11" s="278"/>
    </row>
    <row r="12" spans="1:12" ht="20.100000000000001" customHeight="1">
      <c r="A12" s="278"/>
      <c r="B12" s="171"/>
      <c r="C12" s="186" t="s">
        <v>260</v>
      </c>
      <c r="D12" s="187" t="s">
        <v>240</v>
      </c>
      <c r="E12" s="188" t="s">
        <v>253</v>
      </c>
      <c r="F12" s="187" t="s">
        <v>229</v>
      </c>
      <c r="G12" s="311">
        <v>89</v>
      </c>
      <c r="H12" s="188" t="s">
        <v>259</v>
      </c>
      <c r="I12" s="187" t="s">
        <v>233</v>
      </c>
      <c r="J12" s="312">
        <v>157</v>
      </c>
      <c r="K12" s="129"/>
      <c r="L12" s="278"/>
    </row>
    <row r="13" spans="1:12" ht="20.100000000000001" customHeight="1">
      <c r="A13" s="278"/>
      <c r="B13" s="171"/>
      <c r="C13" s="186" t="s">
        <v>241</v>
      </c>
      <c r="D13" s="187" t="s">
        <v>242</v>
      </c>
      <c r="E13" s="188" t="s">
        <v>253</v>
      </c>
      <c r="F13" s="187" t="s">
        <v>229</v>
      </c>
      <c r="G13" s="311">
        <v>124.4</v>
      </c>
      <c r="H13" s="188" t="s">
        <v>259</v>
      </c>
      <c r="I13" s="187" t="s">
        <v>233</v>
      </c>
      <c r="J13" s="312">
        <v>211.75</v>
      </c>
      <c r="K13" s="129"/>
      <c r="L13" s="278"/>
    </row>
    <row r="14" spans="1:12" ht="32.25" customHeight="1">
      <c r="A14" s="278"/>
      <c r="B14" s="171"/>
      <c r="C14" s="189" t="s">
        <v>254</v>
      </c>
      <c r="D14" s="188" t="s">
        <v>243</v>
      </c>
      <c r="E14" s="188" t="s">
        <v>253</v>
      </c>
      <c r="F14" s="187" t="s">
        <v>229</v>
      </c>
      <c r="G14" s="311">
        <v>156.57</v>
      </c>
      <c r="H14" s="188" t="s">
        <v>259</v>
      </c>
      <c r="I14" s="187" t="s">
        <v>233</v>
      </c>
      <c r="J14" s="312">
        <v>261.69</v>
      </c>
      <c r="K14" s="129"/>
      <c r="L14" s="278"/>
    </row>
    <row r="15" spans="1:12" ht="23.1" customHeight="1">
      <c r="A15" s="278"/>
      <c r="B15" s="171"/>
      <c r="C15" s="186" t="s">
        <v>244</v>
      </c>
      <c r="D15" s="187" t="s">
        <v>243</v>
      </c>
      <c r="E15" s="188" t="s">
        <v>253</v>
      </c>
      <c r="F15" s="187" t="s">
        <v>229</v>
      </c>
      <c r="G15" s="311">
        <v>156.57</v>
      </c>
      <c r="H15" s="188" t="s">
        <v>259</v>
      </c>
      <c r="I15" s="188" t="s">
        <v>229</v>
      </c>
      <c r="J15" s="312">
        <v>261.69</v>
      </c>
      <c r="K15" s="129"/>
      <c r="L15" s="278"/>
    </row>
    <row r="16" spans="1:12" ht="25.5" customHeight="1">
      <c r="A16" s="278"/>
      <c r="B16" s="171"/>
      <c r="C16" s="186" t="s">
        <v>245</v>
      </c>
      <c r="D16" s="187" t="s">
        <v>246</v>
      </c>
      <c r="E16" s="188" t="s">
        <v>253</v>
      </c>
      <c r="F16" s="187" t="s">
        <v>229</v>
      </c>
      <c r="G16" s="311">
        <v>156.57</v>
      </c>
      <c r="H16" s="188" t="s">
        <v>259</v>
      </c>
      <c r="I16" s="188" t="s">
        <v>229</v>
      </c>
      <c r="J16" s="312">
        <v>261.69</v>
      </c>
      <c r="K16" s="129"/>
      <c r="L16" s="278"/>
    </row>
    <row r="17" spans="1:12" ht="23.1" customHeight="1">
      <c r="A17" s="278"/>
      <c r="B17" s="171"/>
      <c r="C17" s="186" t="s">
        <v>247</v>
      </c>
      <c r="D17" s="187" t="s">
        <v>248</v>
      </c>
      <c r="E17" s="188" t="s">
        <v>253</v>
      </c>
      <c r="F17" s="187" t="s">
        <v>229</v>
      </c>
      <c r="G17" s="311">
        <v>156.57</v>
      </c>
      <c r="H17" s="188" t="s">
        <v>259</v>
      </c>
      <c r="I17" s="188" t="s">
        <v>229</v>
      </c>
      <c r="J17" s="312">
        <v>307</v>
      </c>
      <c r="K17" s="129"/>
      <c r="L17" s="278"/>
    </row>
    <row r="18" spans="1:12" ht="23.1" customHeight="1">
      <c r="A18" s="278"/>
      <c r="B18" s="171"/>
      <c r="C18" s="186" t="s">
        <v>249</v>
      </c>
      <c r="D18" s="187" t="s">
        <v>250</v>
      </c>
      <c r="E18" s="188" t="s">
        <v>253</v>
      </c>
      <c r="F18" s="187" t="s">
        <v>229</v>
      </c>
      <c r="G18" s="311">
        <v>180.8</v>
      </c>
      <c r="H18" s="188" t="s">
        <v>259</v>
      </c>
      <c r="I18" s="188" t="s">
        <v>229</v>
      </c>
      <c r="J18" s="312">
        <v>307</v>
      </c>
      <c r="K18" s="129"/>
      <c r="L18" s="278"/>
    </row>
    <row r="19" spans="1:12" ht="23.1" customHeight="1">
      <c r="A19" s="278"/>
      <c r="B19" s="171"/>
      <c r="C19" s="189" t="s">
        <v>304</v>
      </c>
      <c r="D19" s="187" t="s">
        <v>305</v>
      </c>
      <c r="E19" s="188" t="s">
        <v>253</v>
      </c>
      <c r="F19" s="187" t="s">
        <v>229</v>
      </c>
      <c r="G19" s="311">
        <v>193.54</v>
      </c>
      <c r="H19" s="188" t="s">
        <v>259</v>
      </c>
      <c r="I19" s="188" t="s">
        <v>229</v>
      </c>
      <c r="J19" s="312">
        <v>307</v>
      </c>
      <c r="K19" s="129"/>
      <c r="L19" s="278"/>
    </row>
    <row r="20" spans="1:12" ht="23.1" customHeight="1" thickBot="1">
      <c r="A20" s="278"/>
      <c r="B20" s="171"/>
      <c r="C20" s="1130" t="s">
        <v>498</v>
      </c>
      <c r="D20" s="1131" t="s">
        <v>497</v>
      </c>
      <c r="E20" s="1132" t="s">
        <v>253</v>
      </c>
      <c r="F20" s="1132" t="s">
        <v>229</v>
      </c>
      <c r="G20" s="1133">
        <v>307</v>
      </c>
      <c r="H20" s="1134" t="s">
        <v>259</v>
      </c>
      <c r="I20" s="1134" t="s">
        <v>229</v>
      </c>
      <c r="J20" s="1135">
        <v>330.24</v>
      </c>
      <c r="K20" s="129"/>
      <c r="L20" s="278"/>
    </row>
    <row r="21" spans="1:12" ht="12" customHeight="1">
      <c r="A21" s="278"/>
      <c r="B21" s="171"/>
      <c r="C21" s="1480" t="s">
        <v>256</v>
      </c>
      <c r="D21" s="1480"/>
      <c r="E21" s="1480"/>
      <c r="F21" s="1480"/>
      <c r="G21" s="178"/>
      <c r="H21" s="178"/>
      <c r="I21" s="178"/>
      <c r="J21" s="178"/>
      <c r="K21" s="129"/>
      <c r="L21" s="278"/>
    </row>
    <row r="22" spans="1:12" ht="12" customHeight="1">
      <c r="A22" s="278"/>
      <c r="B22" s="171"/>
      <c r="C22" s="180" t="s">
        <v>257</v>
      </c>
      <c r="D22" s="178"/>
      <c r="E22" s="178"/>
      <c r="F22" s="178"/>
      <c r="G22" s="178"/>
      <c r="H22" s="178"/>
      <c r="I22" s="178"/>
      <c r="J22" s="178"/>
      <c r="K22" s="129"/>
      <c r="L22" s="278"/>
    </row>
    <row r="23" spans="1:12" ht="12" customHeight="1">
      <c r="A23" s="278"/>
      <c r="B23" s="171"/>
      <c r="C23" s="132" t="s">
        <v>258</v>
      </c>
      <c r="D23" s="178"/>
      <c r="E23" s="178"/>
      <c r="F23" s="178"/>
      <c r="G23" s="178"/>
      <c r="H23" s="178"/>
      <c r="I23" s="178"/>
      <c r="J23" s="178"/>
      <c r="K23" s="129"/>
      <c r="L23" s="278"/>
    </row>
    <row r="24" spans="1:12" ht="6" customHeight="1">
      <c r="A24" s="278"/>
      <c r="B24" s="111"/>
      <c r="C24" s="112"/>
      <c r="D24" s="113"/>
      <c r="E24" s="113"/>
      <c r="F24" s="113"/>
      <c r="G24" s="113"/>
      <c r="H24" s="113"/>
      <c r="I24" s="113"/>
      <c r="J24" s="113"/>
      <c r="K24" s="130"/>
      <c r="L24" s="278"/>
    </row>
    <row r="25" spans="1:12">
      <c r="A25" s="278"/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</row>
  </sheetData>
  <mergeCells count="9">
    <mergeCell ref="A1:L1"/>
    <mergeCell ref="H5:J5"/>
    <mergeCell ref="C21:F21"/>
    <mergeCell ref="C2:J2"/>
    <mergeCell ref="C4:J4"/>
    <mergeCell ref="C5:C6"/>
    <mergeCell ref="D5:D6"/>
    <mergeCell ref="E5:G5"/>
    <mergeCell ref="C3:J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R58"/>
  <sheetViews>
    <sheetView workbookViewId="0">
      <selection activeCell="T32" sqref="T32"/>
    </sheetView>
  </sheetViews>
  <sheetFormatPr defaultRowHeight="15"/>
  <cols>
    <col min="1" max="2" width="2.7109375" style="1" customWidth="1"/>
    <col min="3" max="3" width="8.7109375" style="1" customWidth="1"/>
    <col min="4" max="4" width="19.7109375" style="27" customWidth="1"/>
    <col min="5" max="6" width="10.7109375" style="27" customWidth="1"/>
    <col min="7" max="13" width="6.7109375" style="27" customWidth="1"/>
    <col min="14" max="15" width="7.7109375" style="27" bestFit="1" customWidth="1"/>
    <col min="16" max="16" width="6.28515625" style="27" bestFit="1" customWidth="1"/>
    <col min="17" max="18" width="2.7109375" style="1" customWidth="1"/>
    <col min="19" max="16384" width="9.140625" style="1"/>
  </cols>
  <sheetData>
    <row r="1" spans="1:18" ht="14.25" customHeight="1">
      <c r="A1" s="1513" t="s">
        <v>421</v>
      </c>
      <c r="B1" s="1513"/>
      <c r="C1" s="1513"/>
      <c r="D1" s="1513"/>
      <c r="E1" s="1513"/>
      <c r="F1" s="1513"/>
      <c r="G1" s="1513"/>
      <c r="H1" s="1513"/>
      <c r="I1" s="1513"/>
      <c r="J1" s="1513"/>
      <c r="K1" s="1513"/>
      <c r="L1" s="1513"/>
      <c r="M1" s="1513"/>
      <c r="N1" s="1513"/>
      <c r="O1" s="1513"/>
      <c r="P1" s="1513"/>
      <c r="Q1" s="1513"/>
      <c r="R1" s="1513"/>
    </row>
    <row r="2" spans="1:18" ht="15.75">
      <c r="A2" s="429"/>
      <c r="B2" s="195"/>
      <c r="C2" s="1518" t="s">
        <v>382</v>
      </c>
      <c r="D2" s="1518"/>
      <c r="E2" s="1518"/>
      <c r="F2" s="1518"/>
      <c r="G2" s="1518"/>
      <c r="H2" s="1518"/>
      <c r="I2" s="1518"/>
      <c r="J2" s="1518"/>
      <c r="K2" s="1518"/>
      <c r="L2" s="1518"/>
      <c r="M2" s="1518"/>
      <c r="N2" s="1518"/>
      <c r="O2" s="1518"/>
      <c r="P2" s="1518"/>
      <c r="Q2" s="178"/>
      <c r="R2" s="57"/>
    </row>
    <row r="3" spans="1:18" ht="12.75" customHeight="1" thickBot="1">
      <c r="A3" s="429"/>
      <c r="B3" s="195"/>
      <c r="C3" s="1519" t="s">
        <v>423</v>
      </c>
      <c r="D3" s="1519"/>
      <c r="E3" s="1519"/>
      <c r="F3" s="1519"/>
      <c r="G3" s="1519"/>
      <c r="H3" s="1519"/>
      <c r="I3" s="1519"/>
      <c r="J3" s="1519"/>
      <c r="K3" s="1519"/>
      <c r="L3" s="1519"/>
      <c r="M3" s="1519"/>
      <c r="N3" s="1519"/>
      <c r="O3" s="1519"/>
      <c r="P3" s="1519"/>
      <c r="Q3" s="178"/>
      <c r="R3" s="57"/>
    </row>
    <row r="4" spans="1:18" ht="11.1" customHeight="1" thickBot="1">
      <c r="A4" s="429"/>
      <c r="B4" s="195"/>
      <c r="C4" s="1517" t="s">
        <v>392</v>
      </c>
      <c r="D4" s="1517"/>
      <c r="E4" s="1521" t="s">
        <v>391</v>
      </c>
      <c r="F4" s="1522"/>
      <c r="G4" s="1523"/>
      <c r="H4" s="1514" t="s">
        <v>435</v>
      </c>
      <c r="I4" s="1515"/>
      <c r="J4" s="1515"/>
      <c r="K4" s="1515"/>
      <c r="L4" s="1515"/>
      <c r="M4" s="1516"/>
      <c r="N4" s="1517" t="s">
        <v>332</v>
      </c>
      <c r="O4" s="1517"/>
      <c r="P4" s="1517"/>
      <c r="Q4" s="124"/>
      <c r="R4" s="57"/>
    </row>
    <row r="5" spans="1:18" ht="13.5" customHeight="1">
      <c r="A5" s="429"/>
      <c r="B5" s="195"/>
      <c r="C5" s="1517"/>
      <c r="D5" s="1517"/>
      <c r="E5" s="1524" t="s">
        <v>389</v>
      </c>
      <c r="F5" s="1525"/>
      <c r="G5" s="1526"/>
      <c r="H5" s="1525" t="s">
        <v>443</v>
      </c>
      <c r="I5" s="1525"/>
      <c r="J5" s="1526"/>
      <c r="K5" s="1524" t="s">
        <v>442</v>
      </c>
      <c r="L5" s="1525"/>
      <c r="M5" s="1526"/>
      <c r="N5" s="1524" t="s">
        <v>390</v>
      </c>
      <c r="O5" s="1525"/>
      <c r="P5" s="1525"/>
      <c r="Q5" s="124"/>
      <c r="R5" s="57"/>
    </row>
    <row r="6" spans="1:18" ht="11.1" customHeight="1" thickBot="1">
      <c r="A6" s="429"/>
      <c r="B6" s="195"/>
      <c r="C6" s="1520"/>
      <c r="D6" s="1520"/>
      <c r="E6" s="862">
        <v>2015</v>
      </c>
      <c r="F6" s="863">
        <v>2016</v>
      </c>
      <c r="G6" s="864" t="s">
        <v>12</v>
      </c>
      <c r="H6" s="862">
        <v>2015</v>
      </c>
      <c r="I6" s="863">
        <v>2016</v>
      </c>
      <c r="J6" s="864" t="s">
        <v>12</v>
      </c>
      <c r="K6" s="862">
        <v>2015</v>
      </c>
      <c r="L6" s="863">
        <v>2016</v>
      </c>
      <c r="M6" s="864" t="s">
        <v>12</v>
      </c>
      <c r="N6" s="865">
        <v>2015</v>
      </c>
      <c r="O6" s="863">
        <v>2016</v>
      </c>
      <c r="P6" s="866" t="s">
        <v>12</v>
      </c>
      <c r="Q6" s="124"/>
      <c r="R6" s="57"/>
    </row>
    <row r="7" spans="1:18" ht="12" customHeight="1">
      <c r="A7" s="429"/>
      <c r="B7" s="195"/>
      <c r="C7" s="855" t="s">
        <v>3</v>
      </c>
      <c r="D7" s="983" t="s">
        <v>48</v>
      </c>
      <c r="E7" s="923">
        <v>87657</v>
      </c>
      <c r="F7" s="872">
        <v>87657</v>
      </c>
      <c r="G7" s="1095">
        <f>(F7/E7-1)*100</f>
        <v>0</v>
      </c>
      <c r="H7" s="920">
        <v>0</v>
      </c>
      <c r="I7" s="873">
        <v>0</v>
      </c>
      <c r="J7" s="878">
        <v>0</v>
      </c>
      <c r="K7" s="875">
        <f>N7*1000/E7</f>
        <v>19.66642709652395</v>
      </c>
      <c r="L7" s="876">
        <f>O7*1000/F7</f>
        <v>18.559841199219687</v>
      </c>
      <c r="M7" s="874">
        <f>(L7/K7-1)*100</f>
        <v>-5.6267764951563271</v>
      </c>
      <c r="N7" s="929">
        <v>1723.9</v>
      </c>
      <c r="O7" s="877">
        <v>1626.9</v>
      </c>
      <c r="P7" s="878">
        <f t="shared" ref="P7:P35" si="0">(O7/N7-1)*100</f>
        <v>-5.6267764951563271</v>
      </c>
      <c r="Q7" s="124"/>
      <c r="R7" s="57"/>
    </row>
    <row r="8" spans="1:18" ht="12" customHeight="1">
      <c r="A8" s="429"/>
      <c r="B8" s="195"/>
      <c r="C8" s="858" t="s">
        <v>4</v>
      </c>
      <c r="D8" s="984" t="s">
        <v>48</v>
      </c>
      <c r="E8" s="924">
        <v>1243</v>
      </c>
      <c r="F8" s="880">
        <v>663</v>
      </c>
      <c r="G8" s="1096">
        <f>(F8/E8-1)*100</f>
        <v>-46.661303298471438</v>
      </c>
      <c r="H8" s="921">
        <v>0</v>
      </c>
      <c r="I8" s="881">
        <v>0</v>
      </c>
      <c r="J8" s="897">
        <v>0</v>
      </c>
      <c r="K8" s="883">
        <f>N8*1000/E8</f>
        <v>13.354786806114239</v>
      </c>
      <c r="L8" s="898">
        <f>O8*1000/F8</f>
        <v>17.043740573152338</v>
      </c>
      <c r="M8" s="882">
        <f>(L8/K8-1)*100</f>
        <v>27.622708026676857</v>
      </c>
      <c r="N8" s="927">
        <v>16.600000000000001</v>
      </c>
      <c r="O8" s="895">
        <v>11.3</v>
      </c>
      <c r="P8" s="897">
        <f t="shared" si="0"/>
        <v>-31.92771084337349</v>
      </c>
      <c r="Q8" s="124"/>
      <c r="R8" s="57"/>
    </row>
    <row r="9" spans="1:18" ht="12" customHeight="1">
      <c r="A9" s="429"/>
      <c r="B9" s="195"/>
      <c r="C9" s="1502" t="s">
        <v>5</v>
      </c>
      <c r="D9" s="960" t="s">
        <v>379</v>
      </c>
      <c r="E9" s="969">
        <v>9129</v>
      </c>
      <c r="F9" s="970">
        <v>11328</v>
      </c>
      <c r="G9" s="1097">
        <f t="shared" ref="G9:G35" si="1">(F9/E9-1)*100</f>
        <v>24.088070982582988</v>
      </c>
      <c r="H9" s="937">
        <f t="shared" ref="H9:I30" si="2">N9*1000/E9</f>
        <v>37.002957607624055</v>
      </c>
      <c r="I9" s="939">
        <f t="shared" si="2"/>
        <v>30.499646892655367</v>
      </c>
      <c r="J9" s="918">
        <f>(I9/H9-1)*100</f>
        <v>-17.575110573401165</v>
      </c>
      <c r="K9" s="976">
        <v>0</v>
      </c>
      <c r="L9" s="934">
        <v>0</v>
      </c>
      <c r="M9" s="928">
        <v>0</v>
      </c>
      <c r="N9" s="979">
        <v>337.8</v>
      </c>
      <c r="O9" s="981">
        <v>345.5</v>
      </c>
      <c r="P9" s="952">
        <f t="shared" si="0"/>
        <v>2.2794552989934935</v>
      </c>
      <c r="Q9" s="124"/>
      <c r="R9" s="57"/>
    </row>
    <row r="10" spans="1:18" ht="12" customHeight="1">
      <c r="A10" s="429"/>
      <c r="B10" s="195"/>
      <c r="C10" s="1503"/>
      <c r="D10" s="960" t="s">
        <v>380</v>
      </c>
      <c r="E10" s="964">
        <v>94321</v>
      </c>
      <c r="F10" s="954">
        <v>92533</v>
      </c>
      <c r="G10" s="1097">
        <f t="shared" si="1"/>
        <v>-1.8956542021395073</v>
      </c>
      <c r="H10" s="914">
        <f t="shared" si="2"/>
        <v>8.7393051388344052</v>
      </c>
      <c r="I10" s="956">
        <f t="shared" si="2"/>
        <v>9.9791425761620172</v>
      </c>
      <c r="J10" s="918">
        <f>(I10/H10-1)*100</f>
        <v>14.186910945793718</v>
      </c>
      <c r="K10" s="967">
        <v>0</v>
      </c>
      <c r="L10" s="935">
        <v>0</v>
      </c>
      <c r="M10" s="928">
        <v>0</v>
      </c>
      <c r="N10" s="892">
        <v>824.3</v>
      </c>
      <c r="O10" s="957">
        <v>923.4</v>
      </c>
      <c r="P10" s="952">
        <f t="shared" si="0"/>
        <v>12.02232197015649</v>
      </c>
      <c r="Q10" s="124"/>
      <c r="R10" s="57"/>
    </row>
    <row r="11" spans="1:18" ht="12" customHeight="1">
      <c r="A11" s="429"/>
      <c r="B11" s="195"/>
      <c r="C11" s="1503"/>
      <c r="D11" s="988" t="s">
        <v>381</v>
      </c>
      <c r="E11" s="948">
        <v>35228</v>
      </c>
      <c r="F11" s="972">
        <v>45892</v>
      </c>
      <c r="G11" s="1098">
        <f t="shared" si="1"/>
        <v>30.271375042579773</v>
      </c>
      <c r="H11" s="887">
        <v>0</v>
      </c>
      <c r="I11" s="888">
        <v>0</v>
      </c>
      <c r="J11" s="947">
        <v>0</v>
      </c>
      <c r="K11" s="890">
        <f>N11*1000/E11</f>
        <v>33.598274100147613</v>
      </c>
      <c r="L11" s="905">
        <f>O11*1000/F11</f>
        <v>18.000958772770854</v>
      </c>
      <c r="M11" s="946">
        <f>(L11/K11-1)*100</f>
        <v>-46.422965896656677</v>
      </c>
      <c r="N11" s="980">
        <v>1183.5999999999999</v>
      </c>
      <c r="O11" s="982">
        <v>826.1</v>
      </c>
      <c r="P11" s="962">
        <f t="shared" si="0"/>
        <v>-30.204460966542747</v>
      </c>
      <c r="Q11" s="124"/>
      <c r="R11" s="57"/>
    </row>
    <row r="12" spans="1:18" ht="12" customHeight="1">
      <c r="A12" s="429"/>
      <c r="B12" s="195"/>
      <c r="C12" s="1504"/>
      <c r="D12" s="919" t="s">
        <v>127</v>
      </c>
      <c r="E12" s="885">
        <f>E9+E10+E11</f>
        <v>138678</v>
      </c>
      <c r="F12" s="971">
        <f>F9+F10+F11</f>
        <v>149753</v>
      </c>
      <c r="G12" s="1099">
        <f>(F12/E12-1)*100</f>
        <v>7.986126133921756</v>
      </c>
      <c r="H12" s="915">
        <f>SUM(N9+N10)*1000/SUM(E9+E10)</f>
        <v>11.233446109231513</v>
      </c>
      <c r="I12" s="975">
        <f>SUM(O9+O10)*1000/SUM(F9+F10)</f>
        <v>12.217290416999644</v>
      </c>
      <c r="J12" s="973">
        <f>(I12/H12-1)*100</f>
        <v>8.7581700059042422</v>
      </c>
      <c r="K12" s="915">
        <f>N11*1000/E11</f>
        <v>33.598274100147613</v>
      </c>
      <c r="L12" s="975">
        <f>O11*1000/F11</f>
        <v>18.000958772770854</v>
      </c>
      <c r="M12" s="977">
        <f>(L12/K12-1)*100</f>
        <v>-46.422965896656677</v>
      </c>
      <c r="N12" s="885">
        <f>N9+N10+N11</f>
        <v>2345.6999999999998</v>
      </c>
      <c r="O12" s="971">
        <f>O9+O10+O11</f>
        <v>2095</v>
      </c>
      <c r="P12" s="973">
        <f>(O12/N12-1)*100</f>
        <v>-10.687641215841747</v>
      </c>
      <c r="Q12" s="124"/>
      <c r="R12" s="57"/>
    </row>
    <row r="13" spans="1:18" ht="12" customHeight="1">
      <c r="A13" s="429"/>
      <c r="B13" s="195"/>
      <c r="C13" s="1502" t="s">
        <v>9</v>
      </c>
      <c r="D13" s="985" t="s">
        <v>47</v>
      </c>
      <c r="E13" s="964">
        <v>111</v>
      </c>
      <c r="F13" s="954">
        <v>70</v>
      </c>
      <c r="G13" s="1097">
        <f t="shared" si="1"/>
        <v>-36.936936936936938</v>
      </c>
      <c r="H13" s="914">
        <f t="shared" si="2"/>
        <v>15.315315315315315</v>
      </c>
      <c r="I13" s="956">
        <f t="shared" si="2"/>
        <v>18.285714285714285</v>
      </c>
      <c r="J13" s="918">
        <f t="shared" ref="J13:J30" si="3">(I13/H13-1)*100</f>
        <v>19.394957983193262</v>
      </c>
      <c r="K13" s="967">
        <v>0</v>
      </c>
      <c r="L13" s="935">
        <v>0</v>
      </c>
      <c r="M13" s="928">
        <v>0</v>
      </c>
      <c r="N13" s="892">
        <v>1.7</v>
      </c>
      <c r="O13" s="957">
        <v>1.28</v>
      </c>
      <c r="P13" s="952">
        <f t="shared" si="0"/>
        <v>-24.705882352941178</v>
      </c>
      <c r="Q13" s="124"/>
      <c r="R13" s="57"/>
    </row>
    <row r="14" spans="1:18" ht="12" customHeight="1">
      <c r="A14" s="429"/>
      <c r="B14" s="195"/>
      <c r="C14" s="1503"/>
      <c r="D14" s="987" t="s">
        <v>48</v>
      </c>
      <c r="E14" s="948">
        <v>20078</v>
      </c>
      <c r="F14" s="972">
        <v>13986</v>
      </c>
      <c r="G14" s="1098">
        <f t="shared" si="1"/>
        <v>-30.341667496762625</v>
      </c>
      <c r="H14" s="887">
        <v>0</v>
      </c>
      <c r="I14" s="888">
        <v>0</v>
      </c>
      <c r="J14" s="947">
        <v>0</v>
      </c>
      <c r="K14" s="890">
        <f>N14*1000/E14</f>
        <v>6.2854866022512201</v>
      </c>
      <c r="L14" s="905">
        <f>O14*1000/F14</f>
        <v>8.7444587444587452</v>
      </c>
      <c r="M14" s="946">
        <f>(L14/K14-1)*100</f>
        <v>39.121428424122584</v>
      </c>
      <c r="N14" s="980">
        <v>126.2</v>
      </c>
      <c r="O14" s="982">
        <v>122.3</v>
      </c>
      <c r="P14" s="962">
        <f t="shared" si="0"/>
        <v>-3.0903328050713164</v>
      </c>
      <c r="Q14" s="124"/>
      <c r="R14" s="57"/>
    </row>
    <row r="15" spans="1:18" ht="12" customHeight="1">
      <c r="A15" s="429"/>
      <c r="B15" s="195"/>
      <c r="C15" s="1504"/>
      <c r="D15" s="919" t="s">
        <v>127</v>
      </c>
      <c r="E15" s="916">
        <f>E13+E14</f>
        <v>20189</v>
      </c>
      <c r="F15" s="884">
        <f>F13+F14</f>
        <v>14056</v>
      </c>
      <c r="G15" s="1099">
        <f>(F15/E15-1)*100</f>
        <v>-30.37792857496656</v>
      </c>
      <c r="H15" s="915">
        <f>N13*1000/E13</f>
        <v>15.315315315315315</v>
      </c>
      <c r="I15" s="975">
        <f>O13*1000/F13</f>
        <v>18.285714285714285</v>
      </c>
      <c r="J15" s="973">
        <f>(I15/H15-1)*100</f>
        <v>19.394957983193262</v>
      </c>
      <c r="K15" s="915">
        <f>N14*1000/E14</f>
        <v>6.2854866022512201</v>
      </c>
      <c r="L15" s="975">
        <f>O14*1000/F14</f>
        <v>8.7444587444587452</v>
      </c>
      <c r="M15" s="977">
        <f>(L15/K15-1)*100</f>
        <v>39.121428424122584</v>
      </c>
      <c r="N15" s="916">
        <f>N13+N14</f>
        <v>127.9</v>
      </c>
      <c r="O15" s="884">
        <f>O13+O14</f>
        <v>123.58</v>
      </c>
      <c r="P15" s="973">
        <f>(O15/N15-1)*100</f>
        <v>-3.3776387802971097</v>
      </c>
      <c r="Q15" s="124"/>
      <c r="R15" s="57"/>
    </row>
    <row r="16" spans="1:18" ht="12" customHeight="1">
      <c r="A16" s="429"/>
      <c r="B16" s="195"/>
      <c r="C16" s="861" t="s">
        <v>10</v>
      </c>
      <c r="D16" s="986" t="s">
        <v>47</v>
      </c>
      <c r="E16" s="924">
        <v>6175</v>
      </c>
      <c r="F16" s="879">
        <v>5626.6</v>
      </c>
      <c r="G16" s="1100">
        <f t="shared" si="1"/>
        <v>-8.8809716599190232</v>
      </c>
      <c r="H16" s="883">
        <f t="shared" si="2"/>
        <v>36.631578947368418</v>
      </c>
      <c r="I16" s="900">
        <f t="shared" si="2"/>
        <v>40.308534461308781</v>
      </c>
      <c r="J16" s="974">
        <f t="shared" si="3"/>
        <v>10.037665914492377</v>
      </c>
      <c r="K16" s="894">
        <v>0</v>
      </c>
      <c r="L16" s="879">
        <v>0</v>
      </c>
      <c r="M16" s="978">
        <v>0</v>
      </c>
      <c r="N16" s="894">
        <v>226.2</v>
      </c>
      <c r="O16" s="900">
        <v>226.8</v>
      </c>
      <c r="P16" s="974">
        <f t="shared" si="0"/>
        <v>0.26525198938993633</v>
      </c>
      <c r="Q16" s="124"/>
      <c r="R16" s="57"/>
    </row>
    <row r="17" spans="1:18" ht="12" customHeight="1">
      <c r="A17" s="429"/>
      <c r="B17" s="195"/>
      <c r="C17" s="1505" t="s">
        <v>7</v>
      </c>
      <c r="D17" s="958" t="s">
        <v>388</v>
      </c>
      <c r="E17" s="964">
        <v>478056</v>
      </c>
      <c r="F17" s="954">
        <v>523506</v>
      </c>
      <c r="G17" s="1097">
        <f t="shared" si="1"/>
        <v>9.5072543802399814</v>
      </c>
      <c r="H17" s="914">
        <f t="shared" si="2"/>
        <v>22.608857539702463</v>
      </c>
      <c r="I17" s="956">
        <f t="shared" si="2"/>
        <v>29.315423318930442</v>
      </c>
      <c r="J17" s="918">
        <f t="shared" si="3"/>
        <v>29.66344392878262</v>
      </c>
      <c r="K17" s="967">
        <v>0</v>
      </c>
      <c r="L17" s="935">
        <v>0</v>
      </c>
      <c r="M17" s="928">
        <v>0</v>
      </c>
      <c r="N17" s="892">
        <v>10808.3</v>
      </c>
      <c r="O17" s="957">
        <v>15346.8</v>
      </c>
      <c r="P17" s="952">
        <f t="shared" si="0"/>
        <v>41.990877381271808</v>
      </c>
      <c r="Q17" s="124"/>
      <c r="R17" s="57"/>
    </row>
    <row r="18" spans="1:18" ht="12" customHeight="1">
      <c r="A18" s="429"/>
      <c r="B18" s="195"/>
      <c r="C18" s="1506"/>
      <c r="D18" s="959" t="s">
        <v>387</v>
      </c>
      <c r="E18" s="964">
        <v>170634</v>
      </c>
      <c r="F18" s="954">
        <v>183076</v>
      </c>
      <c r="G18" s="1097">
        <f t="shared" si="1"/>
        <v>7.291630038562058</v>
      </c>
      <c r="H18" s="914">
        <f t="shared" si="2"/>
        <v>24.806896632558576</v>
      </c>
      <c r="I18" s="956">
        <f t="shared" si="2"/>
        <v>37.730778474513315</v>
      </c>
      <c r="J18" s="918">
        <f t="shared" si="3"/>
        <v>52.097938865083158</v>
      </c>
      <c r="K18" s="967">
        <v>0</v>
      </c>
      <c r="L18" s="935">
        <v>0</v>
      </c>
      <c r="M18" s="928">
        <v>0</v>
      </c>
      <c r="N18" s="892">
        <v>4232.8999999999996</v>
      </c>
      <c r="O18" s="957">
        <v>6907.6</v>
      </c>
      <c r="P18" s="952">
        <f t="shared" si="0"/>
        <v>63.188357863403354</v>
      </c>
      <c r="Q18" s="124"/>
      <c r="R18" s="57"/>
    </row>
    <row r="19" spans="1:18" ht="12" customHeight="1">
      <c r="A19" s="429"/>
      <c r="B19" s="195"/>
      <c r="C19" s="1506"/>
      <c r="D19" s="958" t="s">
        <v>383</v>
      </c>
      <c r="E19" s="964">
        <v>278646</v>
      </c>
      <c r="F19" s="954">
        <v>261109</v>
      </c>
      <c r="G19" s="1097">
        <f t="shared" si="1"/>
        <v>-6.2936485720232804</v>
      </c>
      <c r="H19" s="914">
        <f t="shared" si="2"/>
        <v>22.933399366938698</v>
      </c>
      <c r="I19" s="956">
        <f t="shared" si="2"/>
        <v>22.489458425408547</v>
      </c>
      <c r="J19" s="918">
        <f t="shared" si="3"/>
        <v>-1.935783415389114</v>
      </c>
      <c r="K19" s="967">
        <v>0</v>
      </c>
      <c r="L19" s="935">
        <v>0</v>
      </c>
      <c r="M19" s="928">
        <v>0</v>
      </c>
      <c r="N19" s="892">
        <v>6390.3</v>
      </c>
      <c r="O19" s="957">
        <v>5872.2</v>
      </c>
      <c r="P19" s="952">
        <f t="shared" si="0"/>
        <v>-8.1076005821323012</v>
      </c>
      <c r="Q19" s="124"/>
      <c r="R19" s="57"/>
    </row>
    <row r="20" spans="1:18" ht="12" customHeight="1">
      <c r="A20" s="429"/>
      <c r="B20" s="195"/>
      <c r="C20" s="1506"/>
      <c r="D20" s="958" t="s">
        <v>384</v>
      </c>
      <c r="E20" s="964">
        <v>8694</v>
      </c>
      <c r="F20" s="954">
        <v>8289</v>
      </c>
      <c r="G20" s="1097">
        <f t="shared" si="1"/>
        <v>-4.6583850931677055</v>
      </c>
      <c r="H20" s="938">
        <v>0</v>
      </c>
      <c r="I20" s="940">
        <v>0</v>
      </c>
      <c r="J20" s="918">
        <v>0</v>
      </c>
      <c r="K20" s="914">
        <f>N20*1000/E20</f>
        <v>25.212790430181734</v>
      </c>
      <c r="L20" s="942">
        <f>O20*1000/F20</f>
        <v>24.9728555917481</v>
      </c>
      <c r="M20" s="928">
        <f>(L20/K20-1)*100</f>
        <v>-0.95163936375091129</v>
      </c>
      <c r="N20" s="892">
        <v>219.2</v>
      </c>
      <c r="O20" s="957">
        <v>207</v>
      </c>
      <c r="P20" s="952">
        <f t="shared" si="0"/>
        <v>-5.5656934306569266</v>
      </c>
      <c r="Q20" s="124"/>
      <c r="R20" s="57"/>
    </row>
    <row r="21" spans="1:18" ht="12" customHeight="1">
      <c r="A21" s="429"/>
      <c r="B21" s="195"/>
      <c r="C21" s="1506"/>
      <c r="D21" s="958" t="s">
        <v>385</v>
      </c>
      <c r="E21" s="964">
        <v>28161</v>
      </c>
      <c r="F21" s="954">
        <v>28024</v>
      </c>
      <c r="G21" s="1097"/>
      <c r="H21" s="938">
        <v>0</v>
      </c>
      <c r="I21" s="956">
        <f t="shared" si="2"/>
        <v>17.538538395660861</v>
      </c>
      <c r="J21" s="918">
        <v>0</v>
      </c>
      <c r="K21" s="967">
        <v>0</v>
      </c>
      <c r="L21" s="935">
        <v>0</v>
      </c>
      <c r="M21" s="928">
        <v>0</v>
      </c>
      <c r="N21" s="892">
        <v>534.20000000000005</v>
      </c>
      <c r="O21" s="957">
        <v>491.5</v>
      </c>
      <c r="P21" s="952">
        <v>0</v>
      </c>
      <c r="Q21" s="124"/>
      <c r="R21" s="57"/>
    </row>
    <row r="22" spans="1:18" ht="12" customHeight="1">
      <c r="A22" s="429"/>
      <c r="B22" s="195"/>
      <c r="C22" s="1506"/>
      <c r="D22" s="961" t="s">
        <v>386</v>
      </c>
      <c r="E22" s="948">
        <v>4681</v>
      </c>
      <c r="F22" s="972">
        <v>4463</v>
      </c>
      <c r="G22" s="1098"/>
      <c r="H22" s="887">
        <v>0</v>
      </c>
      <c r="I22" s="888">
        <v>0</v>
      </c>
      <c r="J22" s="947">
        <v>0</v>
      </c>
      <c r="K22" s="914">
        <f>N22*1000/E22</f>
        <v>25.208288827173682</v>
      </c>
      <c r="L22" s="905">
        <f>O22*1000/F22</f>
        <v>24.98319516020614</v>
      </c>
      <c r="M22" s="946">
        <v>0</v>
      </c>
      <c r="N22" s="980">
        <v>118</v>
      </c>
      <c r="O22" s="982">
        <v>111.5</v>
      </c>
      <c r="P22" s="962">
        <v>0</v>
      </c>
      <c r="Q22" s="124"/>
      <c r="R22" s="57"/>
    </row>
    <row r="23" spans="1:18" ht="12" customHeight="1">
      <c r="A23" s="429"/>
      <c r="B23" s="195"/>
      <c r="C23" s="1507"/>
      <c r="D23" s="968" t="s">
        <v>127</v>
      </c>
      <c r="E23" s="894">
        <f>E17+E18+E19+E20+E21+E22</f>
        <v>968872</v>
      </c>
      <c r="F23" s="900">
        <f>F17+F18+F19+F20+F21+F22</f>
        <v>1008467</v>
      </c>
      <c r="G23" s="1100">
        <f>(F23/E23-1)*100</f>
        <v>4.0867111445061832</v>
      </c>
      <c r="H23" s="896">
        <f>SUM(N17+N18+N19+N21)*1000/SUM(E17+E18+E19+E21)</f>
        <v>22.988769195507679</v>
      </c>
      <c r="I23" s="896">
        <f>SUM(O17+O18+O19+O21)*1000/SUM(F17+F18+F19+F21)</f>
        <v>28.741256283173403</v>
      </c>
      <c r="J23" s="897">
        <f>(I23/H23-1)*100</f>
        <v>25.023032067283712</v>
      </c>
      <c r="K23" s="883">
        <f>SUM(N20+N22)*1000/SUM(E20+E22)</f>
        <v>25.211214953271028</v>
      </c>
      <c r="L23" s="896">
        <f>SUM(O20+O22)*1000/SUM(F20+F22)</f>
        <v>24.976474278544543</v>
      </c>
      <c r="M23" s="882">
        <f>(L23/K23-1)*100</f>
        <v>-0.93109624094506183</v>
      </c>
      <c r="N23" s="894">
        <f>N17+N18+N19+N20+N21+N22</f>
        <v>22302.9</v>
      </c>
      <c r="O23" s="927">
        <f>O17+O18+O19+O20+O21+O22</f>
        <v>28936.600000000002</v>
      </c>
      <c r="P23" s="897">
        <f>(O23/N23-1)*100</f>
        <v>29.743665621959469</v>
      </c>
      <c r="Q23" s="124"/>
      <c r="R23" s="57"/>
    </row>
    <row r="24" spans="1:18" ht="12" customHeight="1">
      <c r="A24" s="429"/>
      <c r="B24" s="195"/>
      <c r="C24" s="1508" t="s">
        <v>29</v>
      </c>
      <c r="D24" s="985" t="s">
        <v>47</v>
      </c>
      <c r="E24" s="964">
        <v>150118</v>
      </c>
      <c r="F24" s="953">
        <v>150025</v>
      </c>
      <c r="G24" s="1097">
        <f t="shared" si="1"/>
        <v>-6.1951265004867029E-2</v>
      </c>
      <c r="H24" s="955">
        <f t="shared" si="2"/>
        <v>19.577932026805581</v>
      </c>
      <c r="I24" s="956">
        <f t="shared" si="2"/>
        <v>25.115814030994834</v>
      </c>
      <c r="J24" s="918">
        <f t="shared" si="3"/>
        <v>28.286348101561142</v>
      </c>
      <c r="K24" s="967">
        <v>0</v>
      </c>
      <c r="L24" s="935">
        <v>0</v>
      </c>
      <c r="M24" s="928">
        <v>0</v>
      </c>
      <c r="N24" s="930">
        <v>2939</v>
      </c>
      <c r="O24" s="957">
        <v>3768</v>
      </c>
      <c r="P24" s="952">
        <f t="shared" si="0"/>
        <v>28.206873086083696</v>
      </c>
      <c r="Q24" s="124"/>
      <c r="R24" s="57"/>
    </row>
    <row r="25" spans="1:18" ht="12" customHeight="1">
      <c r="A25" s="429"/>
      <c r="B25" s="195"/>
      <c r="C25" s="1509"/>
      <c r="D25" s="961" t="s">
        <v>48</v>
      </c>
      <c r="E25" s="948">
        <v>283124</v>
      </c>
      <c r="F25" s="949">
        <v>260032</v>
      </c>
      <c r="G25" s="1101">
        <f t="shared" si="1"/>
        <v>-8.1561435978581791</v>
      </c>
      <c r="H25" s="899">
        <v>0</v>
      </c>
      <c r="I25" s="901">
        <v>0</v>
      </c>
      <c r="J25" s="965">
        <v>0</v>
      </c>
      <c r="K25" s="890">
        <f>N25*1000/E25</f>
        <v>27.41201734928865</v>
      </c>
      <c r="L25" s="891">
        <f>O25*1000/F25</f>
        <v>20.689761260152597</v>
      </c>
      <c r="M25" s="889">
        <f>(L25/K25-1)*100</f>
        <v>-24.523025808279296</v>
      </c>
      <c r="N25" s="950">
        <v>7761</v>
      </c>
      <c r="O25" s="951">
        <v>5380</v>
      </c>
      <c r="P25" s="893">
        <f t="shared" si="0"/>
        <v>-30.679036206674393</v>
      </c>
      <c r="Q25" s="124"/>
      <c r="R25" s="57"/>
    </row>
    <row r="26" spans="1:18" ht="12" customHeight="1">
      <c r="A26" s="429"/>
      <c r="B26" s="195"/>
      <c r="C26" s="1510"/>
      <c r="D26" s="919" t="s">
        <v>127</v>
      </c>
      <c r="E26" s="925">
        <f>E24+E25</f>
        <v>433242</v>
      </c>
      <c r="F26" s="902">
        <f>F24+F25</f>
        <v>410057</v>
      </c>
      <c r="G26" s="1102">
        <f>(F26/E26-1)*100</f>
        <v>-5.3515125495681382</v>
      </c>
      <c r="H26" s="896">
        <f>N24*1000/E24</f>
        <v>19.577932026805581</v>
      </c>
      <c r="I26" s="896">
        <f>O24*1000/F24</f>
        <v>25.115814030994834</v>
      </c>
      <c r="J26" s="886">
        <f>(I26/H26-1)*100</f>
        <v>28.286348101561142</v>
      </c>
      <c r="K26" s="883">
        <f>N25*1000/E25</f>
        <v>27.41201734928865</v>
      </c>
      <c r="L26" s="896">
        <f>O25*1000/F25</f>
        <v>20.689761260152597</v>
      </c>
      <c r="M26" s="903">
        <f>(L26/K26-1)*100</f>
        <v>-24.523025808279296</v>
      </c>
      <c r="N26" s="931">
        <f>N24+N25</f>
        <v>10700</v>
      </c>
      <c r="O26" s="904">
        <f>O24+O25</f>
        <v>9148</v>
      </c>
      <c r="P26" s="886">
        <f>(O26/N26-1)*100</f>
        <v>-14.504672897196258</v>
      </c>
      <c r="Q26" s="124"/>
      <c r="R26" s="57"/>
    </row>
    <row r="27" spans="1:18" ht="12" customHeight="1">
      <c r="A27" s="429"/>
      <c r="B27" s="195"/>
      <c r="C27" s="856" t="s">
        <v>30</v>
      </c>
      <c r="D27" s="986" t="s">
        <v>47</v>
      </c>
      <c r="E27" s="924">
        <v>12538</v>
      </c>
      <c r="F27" s="880">
        <v>13058</v>
      </c>
      <c r="G27" s="1096">
        <f t="shared" si="1"/>
        <v>4.1473919285372363</v>
      </c>
      <c r="H27" s="896">
        <f t="shared" si="2"/>
        <v>24.69293348221407</v>
      </c>
      <c r="I27" s="895">
        <f t="shared" si="2"/>
        <v>26.864757236942872</v>
      </c>
      <c r="J27" s="897">
        <f t="shared" si="3"/>
        <v>8.7953250118829818</v>
      </c>
      <c r="K27" s="894">
        <v>0</v>
      </c>
      <c r="L27" s="880">
        <v>0</v>
      </c>
      <c r="M27" s="882">
        <v>0</v>
      </c>
      <c r="N27" s="927">
        <v>309.60000000000002</v>
      </c>
      <c r="O27" s="895">
        <v>350.8</v>
      </c>
      <c r="P27" s="897">
        <f t="shared" si="0"/>
        <v>13.307493540051674</v>
      </c>
      <c r="Q27" s="124"/>
      <c r="R27" s="57"/>
    </row>
    <row r="28" spans="1:18" ht="12" customHeight="1">
      <c r="A28" s="429"/>
      <c r="B28" s="195"/>
      <c r="C28" s="857" t="s">
        <v>8</v>
      </c>
      <c r="D28" s="986" t="s">
        <v>47</v>
      </c>
      <c r="E28" s="924">
        <v>198971.3</v>
      </c>
      <c r="F28" s="880">
        <v>201021.3</v>
      </c>
      <c r="G28" s="1096">
        <f t="shared" si="1"/>
        <v>1.0302993446793529</v>
      </c>
      <c r="H28" s="896">
        <f t="shared" si="2"/>
        <v>20.424553691914362</v>
      </c>
      <c r="I28" s="895">
        <f t="shared" si="2"/>
        <v>29.349626134145986</v>
      </c>
      <c r="J28" s="897">
        <f t="shared" si="3"/>
        <v>43.69775994549574</v>
      </c>
      <c r="K28" s="894">
        <v>0</v>
      </c>
      <c r="L28" s="880">
        <v>0</v>
      </c>
      <c r="M28" s="882">
        <v>0</v>
      </c>
      <c r="N28" s="927">
        <v>4063.9</v>
      </c>
      <c r="O28" s="895">
        <v>5899.9</v>
      </c>
      <c r="P28" s="897">
        <f t="shared" si="0"/>
        <v>45.178277024533074</v>
      </c>
      <c r="Q28" s="124"/>
      <c r="R28" s="57"/>
    </row>
    <row r="29" spans="1:18" ht="12" customHeight="1">
      <c r="A29" s="429"/>
      <c r="B29" s="195"/>
      <c r="C29" s="858" t="s">
        <v>6</v>
      </c>
      <c r="D29" s="986" t="s">
        <v>47</v>
      </c>
      <c r="E29" s="924">
        <v>44500</v>
      </c>
      <c r="F29" s="880">
        <v>46660</v>
      </c>
      <c r="G29" s="1096">
        <f t="shared" si="1"/>
        <v>4.8539325842696712</v>
      </c>
      <c r="H29" s="896">
        <f t="shared" si="2"/>
        <v>28.988764044943821</v>
      </c>
      <c r="I29" s="895">
        <f t="shared" si="2"/>
        <v>22.503214744963568</v>
      </c>
      <c r="J29" s="897">
        <f t="shared" si="3"/>
        <v>-22.372631306133428</v>
      </c>
      <c r="K29" s="894">
        <v>0</v>
      </c>
      <c r="L29" s="880">
        <v>0</v>
      </c>
      <c r="M29" s="882">
        <v>0</v>
      </c>
      <c r="N29" s="927">
        <v>1290</v>
      </c>
      <c r="O29" s="895">
        <v>1050</v>
      </c>
      <c r="P29" s="897">
        <f t="shared" si="0"/>
        <v>-18.604651162790699</v>
      </c>
      <c r="Q29" s="124"/>
      <c r="R29" s="57"/>
    </row>
    <row r="30" spans="1:18" ht="12" customHeight="1">
      <c r="A30" s="429"/>
      <c r="B30" s="195"/>
      <c r="C30" s="1511" t="s">
        <v>14</v>
      </c>
      <c r="D30" s="985" t="s">
        <v>47</v>
      </c>
      <c r="E30" s="933">
        <v>8450</v>
      </c>
      <c r="F30" s="934">
        <v>9228</v>
      </c>
      <c r="G30" s="1103">
        <f t="shared" si="1"/>
        <v>9.2071005917159674</v>
      </c>
      <c r="H30" s="963">
        <f t="shared" si="2"/>
        <v>10.662721893491124</v>
      </c>
      <c r="I30" s="939">
        <f t="shared" si="2"/>
        <v>11.053315994798439</v>
      </c>
      <c r="J30" s="918">
        <f t="shared" si="3"/>
        <v>3.6631744240253061</v>
      </c>
      <c r="K30" s="941">
        <v>0</v>
      </c>
      <c r="L30" s="934">
        <v>0</v>
      </c>
      <c r="M30" s="928">
        <v>0</v>
      </c>
      <c r="N30" s="966">
        <v>90.1</v>
      </c>
      <c r="O30" s="943">
        <v>102</v>
      </c>
      <c r="P30" s="918">
        <f t="shared" si="0"/>
        <v>13.207547169811317</v>
      </c>
      <c r="Q30" s="124"/>
      <c r="R30" s="57"/>
    </row>
    <row r="31" spans="1:18" ht="12" customHeight="1">
      <c r="A31" s="429"/>
      <c r="B31" s="195"/>
      <c r="C31" s="1511"/>
      <c r="D31" s="987" t="s">
        <v>48</v>
      </c>
      <c r="E31" s="944">
        <v>1559</v>
      </c>
      <c r="F31" s="945">
        <v>3669</v>
      </c>
      <c r="G31" s="1104">
        <f t="shared" si="1"/>
        <v>135.34316869788324</v>
      </c>
      <c r="H31" s="922">
        <v>0</v>
      </c>
      <c r="I31" s="888">
        <v>0</v>
      </c>
      <c r="J31" s="947">
        <v>0</v>
      </c>
      <c r="K31" s="890">
        <f>N31*1000/E31</f>
        <v>24.50288646568313</v>
      </c>
      <c r="L31" s="905">
        <f>O31*1000/F31</f>
        <v>18.833469610248024</v>
      </c>
      <c r="M31" s="946">
        <f>(L31/K31-1)*100</f>
        <v>-23.137750988542749</v>
      </c>
      <c r="N31" s="891">
        <v>38.200000000000003</v>
      </c>
      <c r="O31" s="905">
        <v>69.099999999999994</v>
      </c>
      <c r="P31" s="947">
        <f t="shared" si="0"/>
        <v>80.890052356020917</v>
      </c>
      <c r="Q31" s="124"/>
      <c r="R31" s="57"/>
    </row>
    <row r="32" spans="1:18" ht="12" customHeight="1" thickBot="1">
      <c r="A32" s="429"/>
      <c r="B32" s="195"/>
      <c r="C32" s="1512"/>
      <c r="D32" s="919" t="s">
        <v>127</v>
      </c>
      <c r="E32" s="926">
        <f>E30+E31</f>
        <v>10009</v>
      </c>
      <c r="F32" s="936">
        <f>F30+F31</f>
        <v>12897</v>
      </c>
      <c r="G32" s="1105">
        <f>(F32/E32-1)*100</f>
        <v>28.854031371765409</v>
      </c>
      <c r="H32" s="1047">
        <f>N30*1000/E30</f>
        <v>10.662721893491124</v>
      </c>
      <c r="I32" s="1048">
        <f>O32*1000/F32</f>
        <v>13.266651159184306</v>
      </c>
      <c r="J32" s="1049">
        <f>(I32/H32-1)*100</f>
        <v>24.420868252061467</v>
      </c>
      <c r="K32" s="1047">
        <f>N31*1000/E31</f>
        <v>24.50288646568313</v>
      </c>
      <c r="L32" s="1050">
        <f>O31*1000/F31</f>
        <v>18.833469610248024</v>
      </c>
      <c r="M32" s="1051">
        <f>(L32/K32-1)*100</f>
        <v>-23.137750988542749</v>
      </c>
      <c r="N32" s="932">
        <f>N30+N31</f>
        <v>128.30000000000001</v>
      </c>
      <c r="O32" s="917">
        <f>O30+O31</f>
        <v>171.1</v>
      </c>
      <c r="P32" s="886">
        <f>(O32/N32-1)*100</f>
        <v>33.359314107560387</v>
      </c>
      <c r="Q32" s="124"/>
      <c r="R32" s="57"/>
    </row>
    <row r="33" spans="1:18" ht="11.1" customHeight="1">
      <c r="A33" s="429"/>
      <c r="B33" s="195"/>
      <c r="C33" s="1487" t="s">
        <v>471</v>
      </c>
      <c r="D33" s="1305" t="s">
        <v>47</v>
      </c>
      <c r="E33" s="1057">
        <f>E9+E10+E13+E16+E17+E18+E19+E21+E24+E27+E28+E29+E30</f>
        <v>1479810.3</v>
      </c>
      <c r="F33" s="1058">
        <f>F9+F10+F13+F16+F17+F18+F19+F21+F24+F27+F28+F29+F30</f>
        <v>1525264.9000000001</v>
      </c>
      <c r="G33" s="1106">
        <f>(F33/E35-1)*100</f>
        <v>-20.644852282765548</v>
      </c>
      <c r="H33" s="1492">
        <f>N33*1000/E35</f>
        <v>16.673809123820028</v>
      </c>
      <c r="I33" s="1494">
        <f>O33*1000/F33</f>
        <v>27.067940788514836</v>
      </c>
      <c r="J33" s="1496">
        <f>(I33/H33-1)*100</f>
        <v>62.33807516631493</v>
      </c>
      <c r="K33" s="1498">
        <f>N34*1000/E34</f>
        <v>25.294168189135902</v>
      </c>
      <c r="L33" s="1500">
        <f>O34*1000/F34</f>
        <v>19.673096260223105</v>
      </c>
      <c r="M33" s="1490">
        <f>(L33/K33-1)*100</f>
        <v>-22.222798104612529</v>
      </c>
      <c r="N33" s="1057">
        <f>N9+N10+N13+N16+N17+N18+N19+N21+N24+N27+N28+N29+N30</f>
        <v>32048.299999999996</v>
      </c>
      <c r="O33" s="1059">
        <f>O9+O10+O13+O16+O17+O18+O19+O21+O24+O27+O28+O29+O30</f>
        <v>41285.780000000006</v>
      </c>
      <c r="P33" s="1060">
        <f t="shared" si="0"/>
        <v>28.823619349544316</v>
      </c>
      <c r="Q33" s="124"/>
      <c r="R33" s="57"/>
    </row>
    <row r="34" spans="1:18" ht="11.1" customHeight="1" thickBot="1">
      <c r="A34" s="429"/>
      <c r="B34" s="195"/>
      <c r="C34" s="1488"/>
      <c r="D34" s="867" t="s">
        <v>48</v>
      </c>
      <c r="E34" s="868">
        <f>E7+E8+E11+E14+E20+E22+E25+E31</f>
        <v>442264</v>
      </c>
      <c r="F34" s="870">
        <f>F7+F8+F11+F14+F20+F22+F25+F31</f>
        <v>424651</v>
      </c>
      <c r="G34" s="1107">
        <f t="shared" si="1"/>
        <v>-3.9824629632979391</v>
      </c>
      <c r="H34" s="1493"/>
      <c r="I34" s="1495"/>
      <c r="J34" s="1497"/>
      <c r="K34" s="1499"/>
      <c r="L34" s="1501"/>
      <c r="M34" s="1491"/>
      <c r="N34" s="870">
        <f>N7+N8+N11+N14+N20+N22+N25+N31</f>
        <v>11186.7</v>
      </c>
      <c r="O34" s="869">
        <f>O7+O8+O11+O14+O20+O22+O25+O31</f>
        <v>8354.2000000000007</v>
      </c>
      <c r="P34" s="871">
        <f t="shared" si="0"/>
        <v>-25.320246363985799</v>
      </c>
      <c r="Q34" s="124"/>
      <c r="R34" s="57"/>
    </row>
    <row r="35" spans="1:18" ht="11.1" customHeight="1">
      <c r="A35" s="429"/>
      <c r="B35" s="195"/>
      <c r="C35" s="1488"/>
      <c r="D35" s="1523" t="s">
        <v>472</v>
      </c>
      <c r="E35" s="1536">
        <f>E33+E34</f>
        <v>1922074.3</v>
      </c>
      <c r="F35" s="1500">
        <f>F33+F34</f>
        <v>1949915.9000000001</v>
      </c>
      <c r="G35" s="1527">
        <f t="shared" si="1"/>
        <v>1.4485184053498967</v>
      </c>
      <c r="H35" s="1529">
        <f>N35*1000/E35</f>
        <v>22.493927524029637</v>
      </c>
      <c r="I35" s="1530"/>
      <c r="J35" s="1531"/>
      <c r="K35" s="1530">
        <f>O35*1000/F35</f>
        <v>25.457497936193047</v>
      </c>
      <c r="L35" s="1530"/>
      <c r="M35" s="1531"/>
      <c r="N35" s="1536">
        <f>N33+N34</f>
        <v>43235</v>
      </c>
      <c r="O35" s="1500">
        <f>O33+O34</f>
        <v>49639.98000000001</v>
      </c>
      <c r="P35" s="1527">
        <f t="shared" si="0"/>
        <v>14.814340233607059</v>
      </c>
      <c r="Q35" s="124"/>
      <c r="R35" s="57"/>
    </row>
    <row r="36" spans="1:18" ht="11.1" customHeight="1" thickBot="1">
      <c r="A36" s="429"/>
      <c r="B36" s="195"/>
      <c r="C36" s="1489"/>
      <c r="D36" s="1535"/>
      <c r="E36" s="1537"/>
      <c r="F36" s="1538"/>
      <c r="G36" s="1528"/>
      <c r="H36" s="1532">
        <f>O35*1000/F35</f>
        <v>25.457497936193047</v>
      </c>
      <c r="I36" s="1533"/>
      <c r="J36" s="1533"/>
      <c r="K36" s="1533"/>
      <c r="L36" s="1533"/>
      <c r="M36" s="1534"/>
      <c r="N36" s="1537"/>
      <c r="O36" s="1538"/>
      <c r="P36" s="1528"/>
      <c r="Q36" s="124"/>
      <c r="R36" s="57"/>
    </row>
    <row r="37" spans="1:18" ht="12.75" customHeight="1">
      <c r="A37" s="429"/>
      <c r="B37" s="195"/>
      <c r="C37" s="787" t="s">
        <v>598</v>
      </c>
      <c r="D37" s="670"/>
      <c r="E37" s="431"/>
      <c r="F37" s="431"/>
      <c r="G37" s="431"/>
      <c r="H37" s="431"/>
      <c r="I37" s="431"/>
      <c r="J37" s="431"/>
      <c r="K37" s="431"/>
      <c r="L37" s="431"/>
      <c r="M37" s="431"/>
      <c r="N37" s="431"/>
      <c r="O37" s="431"/>
      <c r="P37" s="431"/>
      <c r="Q37" s="178"/>
      <c r="R37" s="57"/>
    </row>
    <row r="38" spans="1:18">
      <c r="A38" s="429"/>
      <c r="B38" s="429"/>
      <c r="C38" s="429"/>
      <c r="D38" s="430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</row>
    <row r="39" spans="1:18">
      <c r="D39"/>
      <c r="E39"/>
      <c r="F39" s="4"/>
      <c r="G39" s="4"/>
      <c r="H39"/>
      <c r="I39" s="4"/>
      <c r="J39" s="4"/>
      <c r="K39"/>
      <c r="L39" s="4"/>
      <c r="M39" s="4"/>
      <c r="N39"/>
      <c r="O39" s="4"/>
      <c r="P39" s="4"/>
      <c r="Q39"/>
      <c r="R39"/>
    </row>
    <row r="40" spans="1:18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1:18"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8"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8"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8"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8"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8"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8"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8"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4:16"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4:16"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4:16"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4:16"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4:16"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4:16"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4:16"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4:16"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4:16"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4:16">
      <c r="D5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</sheetData>
  <mergeCells count="33">
    <mergeCell ref="P35:P36"/>
    <mergeCell ref="H35:J35"/>
    <mergeCell ref="K35:M35"/>
    <mergeCell ref="H36:M36"/>
    <mergeCell ref="D35:D36"/>
    <mergeCell ref="E35:E36"/>
    <mergeCell ref="F35:F36"/>
    <mergeCell ref="G35:G36"/>
    <mergeCell ref="N35:N36"/>
    <mergeCell ref="O35:O36"/>
    <mergeCell ref="A1:R1"/>
    <mergeCell ref="H4:M4"/>
    <mergeCell ref="N4:P4"/>
    <mergeCell ref="C2:P2"/>
    <mergeCell ref="C3:P3"/>
    <mergeCell ref="C4:D6"/>
    <mergeCell ref="E4:G4"/>
    <mergeCell ref="E5:G5"/>
    <mergeCell ref="H5:J5"/>
    <mergeCell ref="K5:M5"/>
    <mergeCell ref="N5:P5"/>
    <mergeCell ref="C9:C12"/>
    <mergeCell ref="C13:C15"/>
    <mergeCell ref="C17:C23"/>
    <mergeCell ref="C24:C26"/>
    <mergeCell ref="C30:C32"/>
    <mergeCell ref="C33:C36"/>
    <mergeCell ref="M33:M34"/>
    <mergeCell ref="H33:H34"/>
    <mergeCell ref="I33:I34"/>
    <mergeCell ref="J33:J34"/>
    <mergeCell ref="K33:K34"/>
    <mergeCell ref="L33:L34"/>
  </mergeCells>
  <printOptions horizontalCentered="1"/>
  <pageMargins left="0.64" right="0.51181102362204722" top="0.59055118110236227" bottom="0.59055118110236227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U63"/>
  <sheetViews>
    <sheetView workbookViewId="0">
      <selection activeCell="T36" sqref="S36:T36"/>
    </sheetView>
  </sheetViews>
  <sheetFormatPr defaultRowHeight="15"/>
  <cols>
    <col min="1" max="1" width="3.28515625" style="1" customWidth="1"/>
    <col min="2" max="2" width="2.7109375" style="1" customWidth="1"/>
    <col min="3" max="3" width="8.7109375" style="1" customWidth="1"/>
    <col min="4" max="4" width="20.5703125" style="27" customWidth="1"/>
    <col min="5" max="6" width="10.28515625" style="27" bestFit="1" customWidth="1"/>
    <col min="7" max="13" width="6.7109375" style="27" customWidth="1"/>
    <col min="14" max="15" width="7.7109375" style="27" bestFit="1" customWidth="1"/>
    <col min="16" max="16" width="6.7109375" style="27" bestFit="1" customWidth="1"/>
    <col min="17" max="18" width="2.7109375" style="1" customWidth="1"/>
    <col min="19" max="16384" width="9.140625" style="1"/>
  </cols>
  <sheetData>
    <row r="1" spans="1:18" ht="14.25" customHeight="1">
      <c r="A1" s="1545" t="s">
        <v>422</v>
      </c>
      <c r="B1" s="1545"/>
      <c r="C1" s="1545"/>
      <c r="D1" s="1545"/>
      <c r="E1" s="1545"/>
      <c r="F1" s="1545"/>
      <c r="G1" s="1545"/>
      <c r="H1" s="1545"/>
      <c r="I1" s="1545"/>
      <c r="J1" s="1545"/>
      <c r="K1" s="1545"/>
      <c r="L1" s="1545"/>
      <c r="M1" s="1545"/>
      <c r="N1" s="1545"/>
      <c r="O1" s="1545"/>
      <c r="P1" s="1545"/>
      <c r="Q1" s="1545"/>
      <c r="R1" s="1545"/>
    </row>
    <row r="2" spans="1:18" ht="15.75">
      <c r="A2" s="429"/>
      <c r="B2" s="1518" t="s">
        <v>382</v>
      </c>
      <c r="C2" s="1518"/>
      <c r="D2" s="1518"/>
      <c r="E2" s="1518"/>
      <c r="F2" s="1518"/>
      <c r="G2" s="1518"/>
      <c r="H2" s="1518"/>
      <c r="I2" s="1518"/>
      <c r="J2" s="1518"/>
      <c r="K2" s="1518"/>
      <c r="L2" s="1518"/>
      <c r="M2" s="1518"/>
      <c r="N2" s="1518"/>
      <c r="O2" s="1518"/>
      <c r="P2" s="1518"/>
      <c r="Q2" s="1518"/>
      <c r="R2" s="57"/>
    </row>
    <row r="3" spans="1:18" ht="13.5" customHeight="1" thickBot="1">
      <c r="A3" s="429"/>
      <c r="B3" s="195"/>
      <c r="C3" s="1519" t="s">
        <v>424</v>
      </c>
      <c r="D3" s="1519"/>
      <c r="E3" s="1519"/>
      <c r="F3" s="1519"/>
      <c r="G3" s="1519"/>
      <c r="H3" s="1519"/>
      <c r="I3" s="1519"/>
      <c r="J3" s="1519"/>
      <c r="K3" s="1519"/>
      <c r="L3" s="1519"/>
      <c r="M3" s="1519"/>
      <c r="N3" s="1519"/>
      <c r="O3" s="1519"/>
      <c r="P3" s="1519"/>
      <c r="Q3" s="178"/>
      <c r="R3" s="57"/>
    </row>
    <row r="4" spans="1:18" ht="11.1" customHeight="1" thickBot="1">
      <c r="A4" s="429"/>
      <c r="B4" s="195"/>
      <c r="C4" s="1517" t="s">
        <v>392</v>
      </c>
      <c r="D4" s="1517"/>
      <c r="E4" s="1521" t="s">
        <v>391</v>
      </c>
      <c r="F4" s="1522"/>
      <c r="G4" s="1523"/>
      <c r="H4" s="1514" t="s">
        <v>435</v>
      </c>
      <c r="I4" s="1515"/>
      <c r="J4" s="1515"/>
      <c r="K4" s="1515"/>
      <c r="L4" s="1515"/>
      <c r="M4" s="1516"/>
      <c r="N4" s="1517" t="s">
        <v>332</v>
      </c>
      <c r="O4" s="1517"/>
      <c r="P4" s="1517"/>
      <c r="Q4" s="124"/>
      <c r="R4" s="57"/>
    </row>
    <row r="5" spans="1:18" ht="13.5" customHeight="1">
      <c r="A5" s="429"/>
      <c r="B5" s="195"/>
      <c r="C5" s="1517"/>
      <c r="D5" s="1517"/>
      <c r="E5" s="1524" t="s">
        <v>389</v>
      </c>
      <c r="F5" s="1525"/>
      <c r="G5" s="1526"/>
      <c r="H5" s="1525" t="s">
        <v>443</v>
      </c>
      <c r="I5" s="1525"/>
      <c r="J5" s="1526"/>
      <c r="K5" s="1524" t="s">
        <v>442</v>
      </c>
      <c r="L5" s="1525"/>
      <c r="M5" s="1526"/>
      <c r="N5" s="1524" t="s">
        <v>390</v>
      </c>
      <c r="O5" s="1525"/>
      <c r="P5" s="1525"/>
      <c r="Q5" s="124"/>
      <c r="R5" s="57"/>
    </row>
    <row r="6" spans="1:18" ht="11.1" customHeight="1" thickBot="1">
      <c r="A6" s="429"/>
      <c r="B6" s="195"/>
      <c r="C6" s="1520"/>
      <c r="D6" s="1520"/>
      <c r="E6" s="862">
        <v>2014</v>
      </c>
      <c r="F6" s="863">
        <v>2015</v>
      </c>
      <c r="G6" s="864" t="s">
        <v>12</v>
      </c>
      <c r="H6" s="862">
        <v>2014</v>
      </c>
      <c r="I6" s="863">
        <v>2015</v>
      </c>
      <c r="J6" s="864" t="s">
        <v>12</v>
      </c>
      <c r="K6" s="862">
        <v>2014</v>
      </c>
      <c r="L6" s="863">
        <v>2015</v>
      </c>
      <c r="M6" s="864" t="s">
        <v>12</v>
      </c>
      <c r="N6" s="862">
        <v>2014</v>
      </c>
      <c r="O6" s="863">
        <v>2015</v>
      </c>
      <c r="P6" s="866" t="s">
        <v>12</v>
      </c>
      <c r="Q6" s="124"/>
      <c r="R6" s="57"/>
    </row>
    <row r="7" spans="1:18" ht="12" customHeight="1">
      <c r="A7" s="429"/>
      <c r="B7" s="195"/>
      <c r="C7" s="908" t="s">
        <v>3</v>
      </c>
      <c r="D7" s="1008" t="s">
        <v>48</v>
      </c>
      <c r="E7" s="695">
        <v>86004</v>
      </c>
      <c r="F7" s="696">
        <v>87657</v>
      </c>
      <c r="G7" s="697">
        <f t="shared" ref="G7:G31" si="0">(F7/E7-1)*100</f>
        <v>1.9220036277382446</v>
      </c>
      <c r="H7" s="1010">
        <v>0</v>
      </c>
      <c r="I7" s="698">
        <v>0</v>
      </c>
      <c r="J7" s="691">
        <v>0</v>
      </c>
      <c r="K7" s="686">
        <f>N7*1000/E7</f>
        <v>17.177108041486441</v>
      </c>
      <c r="L7" s="689">
        <f>O7*1000/F7</f>
        <v>19.66642709652395</v>
      </c>
      <c r="M7" s="697">
        <f>(L7/K7-1)*100</f>
        <v>14.492073106982062</v>
      </c>
      <c r="N7" s="690">
        <v>1477.3</v>
      </c>
      <c r="O7" s="698">
        <v>1723.9</v>
      </c>
      <c r="P7" s="691">
        <f t="shared" ref="P7:P31" si="1">(O7/N7-1)*100</f>
        <v>16.692614905570991</v>
      </c>
      <c r="Q7" s="124"/>
      <c r="R7" s="57"/>
    </row>
    <row r="8" spans="1:18" ht="12" customHeight="1">
      <c r="A8" s="429"/>
      <c r="B8" s="195"/>
      <c r="C8" s="861" t="s">
        <v>4</v>
      </c>
      <c r="D8" s="1009" t="s">
        <v>48</v>
      </c>
      <c r="E8" s="675">
        <v>4377</v>
      </c>
      <c r="F8" s="669">
        <v>1243</v>
      </c>
      <c r="G8" s="676">
        <f t="shared" si="0"/>
        <v>-71.601553575508333</v>
      </c>
      <c r="H8" s="1011">
        <v>0</v>
      </c>
      <c r="I8" s="699">
        <v>0</v>
      </c>
      <c r="J8" s="1025">
        <v>0</v>
      </c>
      <c r="K8" s="687">
        <f>N8*1000/E8</f>
        <v>15.695681973954764</v>
      </c>
      <c r="L8" s="693">
        <f>O8*1000/F8</f>
        <v>13.354786806114239</v>
      </c>
      <c r="M8" s="676">
        <f>(L8/K8-1)*100</f>
        <v>-14.914262226547271</v>
      </c>
      <c r="N8" s="682">
        <v>68.7</v>
      </c>
      <c r="O8" s="699">
        <v>16.600000000000001</v>
      </c>
      <c r="P8" s="427">
        <f t="shared" si="1"/>
        <v>-75.836972343522561</v>
      </c>
      <c r="Q8" s="124"/>
      <c r="R8" s="57"/>
    </row>
    <row r="9" spans="1:18" ht="12" customHeight="1">
      <c r="A9" s="429"/>
      <c r="B9" s="195"/>
      <c r="C9" s="1539" t="s">
        <v>5</v>
      </c>
      <c r="D9" s="997" t="s">
        <v>379</v>
      </c>
      <c r="E9" s="673">
        <v>11973</v>
      </c>
      <c r="F9" s="1020">
        <v>9129</v>
      </c>
      <c r="G9" s="1012">
        <f t="shared" si="0"/>
        <v>-23.753445251816586</v>
      </c>
      <c r="H9" s="993">
        <f t="shared" ref="H9:I30" si="2">N9*1000/E9</f>
        <v>36.340098555082271</v>
      </c>
      <c r="I9" s="1029">
        <f t="shared" si="2"/>
        <v>37.002957607624055</v>
      </c>
      <c r="J9" s="1026">
        <f>(I9/H9-1)*100</f>
        <v>1.8240430788514672</v>
      </c>
      <c r="K9" s="1001">
        <v>0</v>
      </c>
      <c r="L9" s="1035">
        <v>0</v>
      </c>
      <c r="M9" s="1013">
        <v>0</v>
      </c>
      <c r="N9" s="1037">
        <v>435.1</v>
      </c>
      <c r="O9" s="1041">
        <v>337.8</v>
      </c>
      <c r="P9" s="998">
        <f t="shared" si="1"/>
        <v>-22.362675247069642</v>
      </c>
      <c r="Q9" s="124"/>
      <c r="R9" s="57"/>
    </row>
    <row r="10" spans="1:18" ht="12" customHeight="1">
      <c r="A10" s="429"/>
      <c r="B10" s="195"/>
      <c r="C10" s="1540"/>
      <c r="D10" s="997" t="s">
        <v>380</v>
      </c>
      <c r="E10" s="673">
        <v>99366</v>
      </c>
      <c r="F10" s="907">
        <v>94321</v>
      </c>
      <c r="G10" s="1012">
        <f t="shared" si="0"/>
        <v>-5.0771893806734747</v>
      </c>
      <c r="H10" s="909">
        <f t="shared" si="2"/>
        <v>9.0191816114163803</v>
      </c>
      <c r="I10" s="1030">
        <f t="shared" si="2"/>
        <v>8.7393051388344052</v>
      </c>
      <c r="J10" s="999">
        <f>(I10/H10-1)*100</f>
        <v>-3.1031249246351811</v>
      </c>
      <c r="K10" s="712">
        <v>0</v>
      </c>
      <c r="L10" s="1021">
        <v>0</v>
      </c>
      <c r="M10" s="1013">
        <v>0</v>
      </c>
      <c r="N10" s="679">
        <v>896.2</v>
      </c>
      <c r="O10" s="996">
        <v>824.3</v>
      </c>
      <c r="P10" s="998">
        <f t="shared" si="1"/>
        <v>-8.0227627761660472</v>
      </c>
      <c r="Q10" s="124"/>
      <c r="R10" s="57"/>
    </row>
    <row r="11" spans="1:18" ht="12" customHeight="1">
      <c r="A11" s="429"/>
      <c r="B11" s="195"/>
      <c r="C11" s="1540"/>
      <c r="D11" s="906" t="s">
        <v>381</v>
      </c>
      <c r="E11" s="673">
        <v>32600</v>
      </c>
      <c r="F11" s="907">
        <v>35228</v>
      </c>
      <c r="G11" s="1016">
        <f t="shared" si="0"/>
        <v>8.0613496932515396</v>
      </c>
      <c r="H11" s="709">
        <v>0</v>
      </c>
      <c r="I11" s="710">
        <v>0</v>
      </c>
      <c r="J11" s="1027">
        <v>0</v>
      </c>
      <c r="K11" s="708">
        <f>N11*1000/E11</f>
        <v>31.901840490797547</v>
      </c>
      <c r="L11" s="714">
        <f>O11*1000/F11</f>
        <v>33.598274100147613</v>
      </c>
      <c r="M11" s="1019">
        <f>(L11/K11-1)*100</f>
        <v>5.3176668908473168</v>
      </c>
      <c r="N11" s="679">
        <v>1040</v>
      </c>
      <c r="O11" s="469">
        <v>1183.5999999999999</v>
      </c>
      <c r="P11" s="1040">
        <f t="shared" si="1"/>
        <v>13.807692307692299</v>
      </c>
      <c r="Q11" s="124"/>
      <c r="R11" s="57"/>
    </row>
    <row r="12" spans="1:18" ht="12" customHeight="1">
      <c r="A12" s="429"/>
      <c r="B12" s="195"/>
      <c r="C12" s="1541"/>
      <c r="D12" s="911" t="s">
        <v>127</v>
      </c>
      <c r="E12" s="681">
        <f>E9+E10+E11</f>
        <v>143939</v>
      </c>
      <c r="F12" s="688">
        <f>F9+F10+F11</f>
        <v>138678</v>
      </c>
      <c r="G12" s="1017">
        <f>(F12/E12-1)*100</f>
        <v>-3.6550205295298732</v>
      </c>
      <c r="H12" s="687">
        <f>SUM(N9+N10)*1000/SUM(E9+E10)</f>
        <v>11.957175832367815</v>
      </c>
      <c r="I12" s="1031">
        <f>SUM(O9+O10)*1000/SUM(F9+F10)</f>
        <v>11.233446109231513</v>
      </c>
      <c r="J12" s="1025">
        <f>(I12/H12-1)*100</f>
        <v>-6.0526811120162787</v>
      </c>
      <c r="K12" s="687">
        <f>N11*1000/E11</f>
        <v>31.901840490797547</v>
      </c>
      <c r="L12" s="1031">
        <f>O11*1000/F11</f>
        <v>33.598274100147613</v>
      </c>
      <c r="M12" s="1017">
        <f>(L12/K12-1)*100</f>
        <v>5.3176668908473168</v>
      </c>
      <c r="N12" s="681">
        <f>N9+N10+N11</f>
        <v>2371.3000000000002</v>
      </c>
      <c r="O12" s="688">
        <f>O9+O10+O11</f>
        <v>2345.6999999999998</v>
      </c>
      <c r="P12" s="1025">
        <f>(O12/N12-1)*100</f>
        <v>-1.0795766035508136</v>
      </c>
      <c r="Q12" s="124"/>
      <c r="R12" s="57"/>
    </row>
    <row r="13" spans="1:18" ht="12" customHeight="1">
      <c r="A13" s="429"/>
      <c r="B13" s="195"/>
      <c r="C13" s="1539" t="s">
        <v>9</v>
      </c>
      <c r="D13" s="1000" t="s">
        <v>47</v>
      </c>
      <c r="E13" s="673">
        <v>135</v>
      </c>
      <c r="F13" s="907">
        <v>111</v>
      </c>
      <c r="G13" s="1012">
        <f t="shared" si="0"/>
        <v>-17.777777777777782</v>
      </c>
      <c r="H13" s="993">
        <f t="shared" si="2"/>
        <v>14.814814814814815</v>
      </c>
      <c r="I13" s="1029">
        <f t="shared" si="2"/>
        <v>15.315315315315315</v>
      </c>
      <c r="J13" s="1026">
        <f t="shared" ref="J13:J30" si="3">(I13/H13-1)*100</f>
        <v>3.3783783783783772</v>
      </c>
      <c r="K13" s="1001">
        <v>0</v>
      </c>
      <c r="L13" s="1035">
        <v>0</v>
      </c>
      <c r="M13" s="1013">
        <v>0</v>
      </c>
      <c r="N13" s="679">
        <v>2</v>
      </c>
      <c r="O13" s="996">
        <v>1.7</v>
      </c>
      <c r="P13" s="998">
        <f>(O13/N13-1)*100</f>
        <v>-15.000000000000002</v>
      </c>
      <c r="Q13" s="124"/>
      <c r="R13" s="57"/>
    </row>
    <row r="14" spans="1:18" ht="12" customHeight="1">
      <c r="A14" s="429"/>
      <c r="B14" s="195"/>
      <c r="C14" s="1540"/>
      <c r="D14" s="1046" t="s">
        <v>48</v>
      </c>
      <c r="E14" s="913">
        <v>19980</v>
      </c>
      <c r="F14" s="910">
        <v>20078</v>
      </c>
      <c r="G14" s="1016">
        <f t="shared" si="0"/>
        <v>0.49049049049048055</v>
      </c>
      <c r="H14" s="709">
        <v>0</v>
      </c>
      <c r="I14" s="710">
        <v>0</v>
      </c>
      <c r="J14" s="1027">
        <v>0</v>
      </c>
      <c r="K14" s="708">
        <f>N14*1000/E14</f>
        <v>8.1981981981981988</v>
      </c>
      <c r="L14" s="714">
        <f>O14*1000/F14</f>
        <v>6.2854866022512201</v>
      </c>
      <c r="M14" s="1019">
        <f>(L14/K14-1)*100</f>
        <v>-23.330877708803797</v>
      </c>
      <c r="N14" s="1038">
        <v>163.80000000000001</v>
      </c>
      <c r="O14" s="910">
        <v>126.2</v>
      </c>
      <c r="P14" s="1040">
        <f>(O14/N14-1)*100</f>
        <v>-22.954822954822962</v>
      </c>
      <c r="Q14" s="124"/>
      <c r="R14" s="57"/>
    </row>
    <row r="15" spans="1:18" ht="12" customHeight="1">
      <c r="A15" s="429"/>
      <c r="B15" s="195"/>
      <c r="C15" s="1541"/>
      <c r="D15" s="911" t="s">
        <v>127</v>
      </c>
      <c r="E15" s="991">
        <f>E13+E14</f>
        <v>20115</v>
      </c>
      <c r="F15" s="693">
        <f>F13+F14</f>
        <v>20189</v>
      </c>
      <c r="G15" s="1018">
        <f>(F15/E15-1)*100</f>
        <v>0.36788466318666835</v>
      </c>
      <c r="H15" s="1002">
        <f>N13*1000/E13</f>
        <v>14.814814814814815</v>
      </c>
      <c r="I15" s="1033">
        <f>O13*1000/F13</f>
        <v>15.315315315315315</v>
      </c>
      <c r="J15" s="1028">
        <f>(I15/H15-1)*100</f>
        <v>3.3783783783783772</v>
      </c>
      <c r="K15" s="1002">
        <f>N14*1000/E14</f>
        <v>8.1981981981981988</v>
      </c>
      <c r="L15" s="1033">
        <f>O14*1000/F14</f>
        <v>6.2854866022512201</v>
      </c>
      <c r="M15" s="1018">
        <f>(L15/K15-1)*100</f>
        <v>-23.330877708803797</v>
      </c>
      <c r="N15" s="991">
        <f>N13+N14</f>
        <v>165.8</v>
      </c>
      <c r="O15" s="693">
        <f>O13+O14</f>
        <v>127.9</v>
      </c>
      <c r="P15" s="1028">
        <f>(O15/N15-1)*100</f>
        <v>-22.858866103739452</v>
      </c>
      <c r="Q15" s="124"/>
      <c r="R15" s="57"/>
    </row>
    <row r="16" spans="1:18" ht="12" customHeight="1">
      <c r="A16" s="429"/>
      <c r="B16" s="195"/>
      <c r="C16" s="861" t="s">
        <v>10</v>
      </c>
      <c r="D16" s="989" t="s">
        <v>47</v>
      </c>
      <c r="E16" s="675">
        <v>6136.8</v>
      </c>
      <c r="F16" s="669">
        <v>6175</v>
      </c>
      <c r="G16" s="1017">
        <f t="shared" si="0"/>
        <v>0.62247425368269216</v>
      </c>
      <c r="H16" s="687">
        <f t="shared" si="2"/>
        <v>38.55429539825316</v>
      </c>
      <c r="I16" s="688">
        <f t="shared" si="2"/>
        <v>36.631578947368418</v>
      </c>
      <c r="J16" s="1025">
        <f t="shared" si="3"/>
        <v>-4.9870356364283497</v>
      </c>
      <c r="K16" s="681">
        <v>0</v>
      </c>
      <c r="L16" s="669">
        <v>0</v>
      </c>
      <c r="M16" s="1017">
        <v>0</v>
      </c>
      <c r="N16" s="681">
        <v>236.6</v>
      </c>
      <c r="O16" s="699">
        <v>226.2</v>
      </c>
      <c r="P16" s="1025">
        <f t="shared" si="1"/>
        <v>-4.3956043956044022</v>
      </c>
      <c r="Q16" s="124"/>
      <c r="R16" s="57"/>
    </row>
    <row r="17" spans="1:21" ht="12" customHeight="1">
      <c r="A17" s="429"/>
      <c r="B17" s="195"/>
      <c r="C17" s="1539" t="s">
        <v>7</v>
      </c>
      <c r="D17" s="1004" t="s">
        <v>388</v>
      </c>
      <c r="E17" s="673">
        <v>501214</v>
      </c>
      <c r="F17" s="907">
        <v>478056</v>
      </c>
      <c r="G17" s="1012">
        <f t="shared" si="0"/>
        <v>-4.6203817132003504</v>
      </c>
      <c r="H17" s="909">
        <f t="shared" si="2"/>
        <v>21.555064303870203</v>
      </c>
      <c r="I17" s="1030">
        <f t="shared" si="2"/>
        <v>22.608857539702463</v>
      </c>
      <c r="J17" s="999">
        <f t="shared" si="3"/>
        <v>4.8888429232987862</v>
      </c>
      <c r="K17" s="712">
        <v>0</v>
      </c>
      <c r="L17" s="1021">
        <v>0</v>
      </c>
      <c r="M17" s="1013">
        <v>0</v>
      </c>
      <c r="N17" s="679">
        <v>10803.7</v>
      </c>
      <c r="O17" s="996">
        <v>10808.3</v>
      </c>
      <c r="P17" s="998">
        <f t="shared" si="1"/>
        <v>4.2578005683213682E-2</v>
      </c>
      <c r="Q17" s="124"/>
      <c r="R17" s="57"/>
    </row>
    <row r="18" spans="1:21" ht="12" customHeight="1">
      <c r="A18" s="429"/>
      <c r="B18" s="195"/>
      <c r="C18" s="1540"/>
      <c r="D18" s="1006" t="s">
        <v>387</v>
      </c>
      <c r="E18" s="673">
        <v>174369</v>
      </c>
      <c r="F18" s="907">
        <v>170634</v>
      </c>
      <c r="G18" s="1012">
        <f t="shared" si="0"/>
        <v>-2.1420091874128966</v>
      </c>
      <c r="H18" s="909">
        <f t="shared" si="2"/>
        <v>33.064937001416538</v>
      </c>
      <c r="I18" s="1030">
        <f t="shared" si="2"/>
        <v>24.806896632558576</v>
      </c>
      <c r="J18" s="999">
        <f t="shared" si="3"/>
        <v>-24.975218820178547</v>
      </c>
      <c r="K18" s="712">
        <v>0</v>
      </c>
      <c r="L18" s="1021">
        <v>0</v>
      </c>
      <c r="M18" s="1013">
        <v>0</v>
      </c>
      <c r="N18" s="679">
        <v>5765.5</v>
      </c>
      <c r="O18" s="996">
        <v>4232.8999999999996</v>
      </c>
      <c r="P18" s="998">
        <f t="shared" si="1"/>
        <v>-26.582256525886748</v>
      </c>
      <c r="Q18" s="124"/>
      <c r="R18" s="57"/>
    </row>
    <row r="19" spans="1:21" ht="12" customHeight="1">
      <c r="A19" s="429"/>
      <c r="B19" s="195"/>
      <c r="C19" s="1540"/>
      <c r="D19" s="1004" t="s">
        <v>383</v>
      </c>
      <c r="E19" s="673">
        <v>284582</v>
      </c>
      <c r="F19" s="907">
        <v>278646</v>
      </c>
      <c r="G19" s="1012">
        <f t="shared" si="0"/>
        <v>-2.0858662880997358</v>
      </c>
      <c r="H19" s="909">
        <f t="shared" si="2"/>
        <v>18.640672987047669</v>
      </c>
      <c r="I19" s="1030">
        <f t="shared" si="2"/>
        <v>22.933399366938698</v>
      </c>
      <c r="J19" s="999">
        <f t="shared" si="3"/>
        <v>23.02881651791111</v>
      </c>
      <c r="K19" s="712">
        <v>0</v>
      </c>
      <c r="L19" s="1021">
        <v>0</v>
      </c>
      <c r="M19" s="1013">
        <v>0</v>
      </c>
      <c r="N19" s="679">
        <v>5304.8</v>
      </c>
      <c r="O19" s="996">
        <v>6390.3</v>
      </c>
      <c r="P19" s="998">
        <f t="shared" si="1"/>
        <v>20.462599909515909</v>
      </c>
      <c r="Q19" s="124"/>
      <c r="R19" s="57"/>
      <c r="U19" s="471"/>
    </row>
    <row r="20" spans="1:21" ht="12" customHeight="1">
      <c r="A20" s="429"/>
      <c r="B20" s="195"/>
      <c r="C20" s="1540"/>
      <c r="D20" s="1004" t="s">
        <v>384</v>
      </c>
      <c r="E20" s="673">
        <v>8755</v>
      </c>
      <c r="F20" s="907">
        <v>8694</v>
      </c>
      <c r="G20" s="1012">
        <f t="shared" si="0"/>
        <v>-0.69674471730439835</v>
      </c>
      <c r="H20" s="1024">
        <v>0</v>
      </c>
      <c r="I20" s="1032">
        <v>0</v>
      </c>
      <c r="J20" s="999">
        <v>0</v>
      </c>
      <c r="K20" s="909">
        <f>N20*1000/E20</f>
        <v>22.07881210736722</v>
      </c>
      <c r="L20" s="1036">
        <f>O20*1000/F20</f>
        <v>25.212790430181734</v>
      </c>
      <c r="M20" s="1013">
        <f>(L20/K20-1)*100</f>
        <v>14.19450606116972</v>
      </c>
      <c r="N20" s="679">
        <v>193.3</v>
      </c>
      <c r="O20" s="996">
        <v>219.2</v>
      </c>
      <c r="P20" s="998">
        <f t="shared" si="1"/>
        <v>13.398861872736667</v>
      </c>
      <c r="Q20" s="124"/>
      <c r="R20" s="57"/>
    </row>
    <row r="21" spans="1:21" ht="12" customHeight="1">
      <c r="A21" s="429"/>
      <c r="B21" s="195"/>
      <c r="C21" s="1540"/>
      <c r="D21" s="1004" t="s">
        <v>385</v>
      </c>
      <c r="E21" s="673">
        <v>34914</v>
      </c>
      <c r="F21" s="907">
        <v>28161</v>
      </c>
      <c r="G21" s="1012">
        <f t="shared" si="0"/>
        <v>-19.341811307784841</v>
      </c>
      <c r="H21" s="909">
        <f t="shared" si="2"/>
        <v>22.054190296156271</v>
      </c>
      <c r="I21" s="1030">
        <f t="shared" si="2"/>
        <v>18.969496821845816</v>
      </c>
      <c r="J21" s="999">
        <f t="shared" si="3"/>
        <v>-13.986881553516262</v>
      </c>
      <c r="K21" s="712">
        <v>0</v>
      </c>
      <c r="L21" s="1021">
        <v>0</v>
      </c>
      <c r="M21" s="1013">
        <v>0</v>
      </c>
      <c r="N21" s="679">
        <v>770</v>
      </c>
      <c r="O21" s="996">
        <v>534.20000000000005</v>
      </c>
      <c r="P21" s="998">
        <f t="shared" si="1"/>
        <v>-30.623376623376618</v>
      </c>
      <c r="Q21" s="124"/>
      <c r="R21" s="57"/>
    </row>
    <row r="22" spans="1:21" ht="12" customHeight="1">
      <c r="A22" s="429"/>
      <c r="B22" s="195"/>
      <c r="C22" s="1540"/>
      <c r="D22" s="912" t="s">
        <v>386</v>
      </c>
      <c r="E22" s="913">
        <v>4714</v>
      </c>
      <c r="F22" s="910">
        <v>4681</v>
      </c>
      <c r="G22" s="1016">
        <f t="shared" si="0"/>
        <v>-0.70004242681375173</v>
      </c>
      <c r="H22" s="709">
        <v>0</v>
      </c>
      <c r="I22" s="710">
        <v>0</v>
      </c>
      <c r="J22" s="1027">
        <v>0</v>
      </c>
      <c r="K22" s="708">
        <f>N22*1000/E22</f>
        <v>22.083156554942725</v>
      </c>
      <c r="L22" s="714">
        <f>O22*1000/F22</f>
        <v>25.208288827173682</v>
      </c>
      <c r="M22" s="1019">
        <f>(L22/K22-1)*100</f>
        <v>14.151655649660633</v>
      </c>
      <c r="N22" s="1038">
        <v>104.1</v>
      </c>
      <c r="O22" s="469">
        <v>118</v>
      </c>
      <c r="P22" s="1040">
        <f t="shared" si="1"/>
        <v>13.352545629202694</v>
      </c>
      <c r="Q22" s="124"/>
      <c r="R22" s="57"/>
    </row>
    <row r="23" spans="1:21" ht="12" customHeight="1">
      <c r="A23" s="429"/>
      <c r="B23" s="195"/>
      <c r="C23" s="1541"/>
      <c r="D23" s="1044" t="s">
        <v>127</v>
      </c>
      <c r="E23" s="681">
        <f>E17+E18+E19+E20+E21+E22</f>
        <v>1008548</v>
      </c>
      <c r="F23" s="688">
        <f>F17+F18+F19+F20+F21+F22</f>
        <v>968872</v>
      </c>
      <c r="G23" s="1017">
        <f>(F23/E23-1)*100</f>
        <v>-3.9339724038915391</v>
      </c>
      <c r="H23" s="687">
        <f>SUM(N17+N18+N19+N21)*1000/SUM(E17+E18+E19+E21)</f>
        <v>22.755982188348863</v>
      </c>
      <c r="I23" s="1031">
        <f>SUM(O17+O18+O19+O21)*1000/SUM(F17+F18+F19+F21)</f>
        <v>22.988769195507679</v>
      </c>
      <c r="J23" s="1025">
        <f>(I23/H23-1)*100</f>
        <v>1.0229705983774373</v>
      </c>
      <c r="K23" s="687">
        <f>SUM(N20+N22)*1000/SUM(E20+E22)</f>
        <v>22.080332615635903</v>
      </c>
      <c r="L23" s="1031">
        <f>SUM(O20+O22)*1000/SUM(F20+F22)</f>
        <v>25.211214953271028</v>
      </c>
      <c r="M23" s="1017">
        <f>(L23/K23-1)*100</f>
        <v>14.179507130332048</v>
      </c>
      <c r="N23" s="681">
        <f>N17+N18+N19+N20+N21+N22</f>
        <v>22941.399999999998</v>
      </c>
      <c r="O23" s="688">
        <f>O17+O18+O19+O20+O21+O22</f>
        <v>22302.9</v>
      </c>
      <c r="P23" s="1025">
        <f>(O23/N23-1)*100</f>
        <v>-2.7831780100603942</v>
      </c>
      <c r="Q23" s="124"/>
      <c r="R23" s="57"/>
    </row>
    <row r="24" spans="1:21" ht="12" customHeight="1">
      <c r="A24" s="429"/>
      <c r="B24" s="195"/>
      <c r="C24" s="1505" t="s">
        <v>29</v>
      </c>
      <c r="D24" s="1000" t="s">
        <v>47</v>
      </c>
      <c r="E24" s="673">
        <v>150118</v>
      </c>
      <c r="F24" s="907">
        <v>150118</v>
      </c>
      <c r="G24" s="1012">
        <f t="shared" si="0"/>
        <v>0</v>
      </c>
      <c r="H24" s="909">
        <f t="shared" si="2"/>
        <v>19.029696638644268</v>
      </c>
      <c r="I24" s="1030">
        <f t="shared" si="2"/>
        <v>19.577932026805581</v>
      </c>
      <c r="J24" s="999">
        <f t="shared" si="3"/>
        <v>2.8809465467147355</v>
      </c>
      <c r="K24" s="712">
        <v>0</v>
      </c>
      <c r="L24" s="1021">
        <v>0</v>
      </c>
      <c r="M24" s="1013">
        <v>0</v>
      </c>
      <c r="N24" s="679">
        <v>2856.7</v>
      </c>
      <c r="O24" s="996">
        <v>2939</v>
      </c>
      <c r="P24" s="998">
        <f t="shared" si="1"/>
        <v>2.8809465467147577</v>
      </c>
      <c r="Q24" s="124"/>
      <c r="R24" s="57"/>
    </row>
    <row r="25" spans="1:21" ht="12" customHeight="1">
      <c r="A25" s="429"/>
      <c r="B25" s="195"/>
      <c r="C25" s="1506"/>
      <c r="D25" s="912" t="s">
        <v>48</v>
      </c>
      <c r="E25" s="913">
        <v>283124</v>
      </c>
      <c r="F25" s="910">
        <v>283124</v>
      </c>
      <c r="G25" s="1016">
        <f t="shared" si="0"/>
        <v>0</v>
      </c>
      <c r="H25" s="709">
        <v>0</v>
      </c>
      <c r="I25" s="710">
        <v>0</v>
      </c>
      <c r="J25" s="1027">
        <v>0</v>
      </c>
      <c r="K25" s="708">
        <f>N25*1000/E25</f>
        <v>35.140079964962347</v>
      </c>
      <c r="L25" s="714">
        <f>O25*1000/F25</f>
        <v>27.41201734928865</v>
      </c>
      <c r="M25" s="1019">
        <f>(L25/K25-1)*100</f>
        <v>-21.992160016082018</v>
      </c>
      <c r="N25" s="1038">
        <v>9949</v>
      </c>
      <c r="O25" s="469">
        <v>7761</v>
      </c>
      <c r="P25" s="1040">
        <f t="shared" si="1"/>
        <v>-21.992160016082018</v>
      </c>
      <c r="Q25" s="124"/>
      <c r="R25" s="57"/>
    </row>
    <row r="26" spans="1:21" ht="12" customHeight="1">
      <c r="A26" s="429"/>
      <c r="B26" s="195"/>
      <c r="C26" s="1507"/>
      <c r="D26" s="911" t="s">
        <v>127</v>
      </c>
      <c r="E26" s="674">
        <f>E24+E25</f>
        <v>433242</v>
      </c>
      <c r="F26" s="672">
        <f>F24+F25</f>
        <v>433242</v>
      </c>
      <c r="G26" s="1018">
        <f>(F26/E26-1)*100</f>
        <v>0</v>
      </c>
      <c r="H26" s="687">
        <f>N24*1000/E24</f>
        <v>19.029696638644268</v>
      </c>
      <c r="I26" s="1031">
        <f>O24*1000/F24</f>
        <v>19.577932026805581</v>
      </c>
      <c r="J26" s="1028">
        <f>(I26/H26-1)*100</f>
        <v>2.8809465467147355</v>
      </c>
      <c r="K26" s="687">
        <f>N25*1000/E25</f>
        <v>35.140079964962347</v>
      </c>
      <c r="L26" s="1031">
        <f>O25*1000/F25</f>
        <v>27.41201734928865</v>
      </c>
      <c r="M26" s="1018">
        <f>(L26/K26-1)*100</f>
        <v>-21.992160016082018</v>
      </c>
      <c r="N26" s="680">
        <f>N24+N25</f>
        <v>12805.7</v>
      </c>
      <c r="O26" s="749">
        <f>O24+O25</f>
        <v>10700</v>
      </c>
      <c r="P26" s="1028">
        <f>(O26/N26-1)*100</f>
        <v>-16.443458772265483</v>
      </c>
      <c r="Q26" s="124"/>
      <c r="R26" s="57"/>
    </row>
    <row r="27" spans="1:21" ht="12" customHeight="1">
      <c r="A27" s="429"/>
      <c r="B27" s="195"/>
      <c r="C27" s="1042" t="s">
        <v>30</v>
      </c>
      <c r="D27" s="989" t="s">
        <v>47</v>
      </c>
      <c r="E27" s="675">
        <v>12783</v>
      </c>
      <c r="F27" s="669">
        <v>12538</v>
      </c>
      <c r="G27" s="1017">
        <f t="shared" si="0"/>
        <v>-1.9166079949933468</v>
      </c>
      <c r="H27" s="687">
        <f t="shared" si="2"/>
        <v>22.866306813736994</v>
      </c>
      <c r="I27" s="688">
        <f t="shared" si="2"/>
        <v>24.69293348221407</v>
      </c>
      <c r="J27" s="1025">
        <f t="shared" si="3"/>
        <v>7.9882889849957062</v>
      </c>
      <c r="K27" s="681">
        <v>0</v>
      </c>
      <c r="L27" s="669">
        <v>0</v>
      </c>
      <c r="M27" s="1017">
        <v>0</v>
      </c>
      <c r="N27" s="681">
        <v>292.3</v>
      </c>
      <c r="O27" s="699">
        <v>309.60000000000002</v>
      </c>
      <c r="P27" s="1025">
        <f t="shared" si="1"/>
        <v>5.9185768046527532</v>
      </c>
      <c r="Q27" s="124"/>
      <c r="R27" s="57"/>
    </row>
    <row r="28" spans="1:21" ht="12" customHeight="1">
      <c r="A28" s="429"/>
      <c r="B28" s="195"/>
      <c r="C28" s="1043" t="s">
        <v>8</v>
      </c>
      <c r="D28" s="989" t="s">
        <v>47</v>
      </c>
      <c r="E28" s="675">
        <v>199686</v>
      </c>
      <c r="F28" s="669">
        <v>198971.3</v>
      </c>
      <c r="G28" s="1017">
        <f t="shared" si="0"/>
        <v>-0.35791192171710229</v>
      </c>
      <c r="H28" s="687">
        <f t="shared" si="2"/>
        <v>22.980078723596044</v>
      </c>
      <c r="I28" s="688">
        <f t="shared" si="2"/>
        <v>20.424553691914362</v>
      </c>
      <c r="J28" s="1025">
        <f t="shared" si="3"/>
        <v>-11.120610431406652</v>
      </c>
      <c r="K28" s="681">
        <v>0</v>
      </c>
      <c r="L28" s="669">
        <v>0</v>
      </c>
      <c r="M28" s="1017">
        <v>0</v>
      </c>
      <c r="N28" s="681">
        <v>4588.8</v>
      </c>
      <c r="O28" s="699">
        <v>4063.9</v>
      </c>
      <c r="P28" s="1025">
        <f t="shared" si="1"/>
        <v>-11.438720362622036</v>
      </c>
      <c r="Q28" s="124"/>
      <c r="R28" s="57"/>
    </row>
    <row r="29" spans="1:21" ht="12" customHeight="1">
      <c r="A29" s="429"/>
      <c r="B29" s="195"/>
      <c r="C29" s="861" t="s">
        <v>6</v>
      </c>
      <c r="D29" s="1045" t="s">
        <v>47</v>
      </c>
      <c r="E29" s="675">
        <v>33251</v>
      </c>
      <c r="F29" s="669">
        <v>44500</v>
      </c>
      <c r="G29" s="1017">
        <f t="shared" si="0"/>
        <v>33.830561486872583</v>
      </c>
      <c r="H29" s="687">
        <f t="shared" si="2"/>
        <v>16.799494752037532</v>
      </c>
      <c r="I29" s="688">
        <f t="shared" si="2"/>
        <v>28.988764044943821</v>
      </c>
      <c r="J29" s="1025">
        <f t="shared" si="3"/>
        <v>72.557356473044578</v>
      </c>
      <c r="K29" s="681">
        <v>0</v>
      </c>
      <c r="L29" s="669">
        <v>0</v>
      </c>
      <c r="M29" s="1017">
        <v>0</v>
      </c>
      <c r="N29" s="681">
        <v>558.6</v>
      </c>
      <c r="O29" s="699">
        <v>1290</v>
      </c>
      <c r="P29" s="1025">
        <f t="shared" si="1"/>
        <v>130.93447905477981</v>
      </c>
      <c r="Q29" s="124"/>
      <c r="R29" s="57"/>
    </row>
    <row r="30" spans="1:21" ht="12" customHeight="1">
      <c r="A30" s="429"/>
      <c r="B30" s="195"/>
      <c r="C30" s="1542" t="s">
        <v>14</v>
      </c>
      <c r="D30" s="1000" t="s">
        <v>47</v>
      </c>
      <c r="E30" s="1015">
        <v>10862</v>
      </c>
      <c r="F30" s="1021">
        <v>8450</v>
      </c>
      <c r="G30" s="1013">
        <f t="shared" si="0"/>
        <v>-22.205855275271592</v>
      </c>
      <c r="H30" s="909">
        <f t="shared" si="2"/>
        <v>8.5343399005707976</v>
      </c>
      <c r="I30" s="1030">
        <f t="shared" si="2"/>
        <v>10.662721893491124</v>
      </c>
      <c r="J30" s="999">
        <f t="shared" si="3"/>
        <v>24.939034743366317</v>
      </c>
      <c r="K30" s="1034">
        <v>0</v>
      </c>
      <c r="L30" s="1021">
        <v>0</v>
      </c>
      <c r="M30" s="1013">
        <v>0</v>
      </c>
      <c r="N30" s="1024">
        <v>92.7</v>
      </c>
      <c r="O30" s="1032">
        <v>90.1</v>
      </c>
      <c r="P30" s="999">
        <f t="shared" si="1"/>
        <v>-2.8047464940668898</v>
      </c>
      <c r="Q30" s="124"/>
      <c r="R30" s="57"/>
    </row>
    <row r="31" spans="1:21" ht="12" customHeight="1">
      <c r="A31" s="429"/>
      <c r="B31" s="195"/>
      <c r="C31" s="1543"/>
      <c r="D31" s="912" t="s">
        <v>48</v>
      </c>
      <c r="E31" s="992">
        <v>1725</v>
      </c>
      <c r="F31" s="1022">
        <v>1559</v>
      </c>
      <c r="G31" s="1019">
        <f t="shared" si="0"/>
        <v>-9.6231884057971016</v>
      </c>
      <c r="H31" s="709">
        <v>0</v>
      </c>
      <c r="I31" s="710">
        <v>0</v>
      </c>
      <c r="J31" s="1027">
        <v>0</v>
      </c>
      <c r="K31" s="708">
        <f>N31*1000/E31</f>
        <v>23.188405797101449</v>
      </c>
      <c r="L31" s="714">
        <f>O31*1000/F31</f>
        <v>24.50288646568313</v>
      </c>
      <c r="M31" s="1019">
        <f>(L31/K31-1)*100</f>
        <v>5.6686978832585</v>
      </c>
      <c r="N31" s="1039">
        <v>40</v>
      </c>
      <c r="O31" s="1022">
        <v>38.200000000000003</v>
      </c>
      <c r="P31" s="1040">
        <f t="shared" si="1"/>
        <v>-4.4999999999999929</v>
      </c>
      <c r="Q31" s="124"/>
      <c r="R31" s="57"/>
    </row>
    <row r="32" spans="1:21" ht="12" customHeight="1" thickBot="1">
      <c r="A32" s="429"/>
      <c r="B32" s="195"/>
      <c r="C32" s="1544"/>
      <c r="D32" s="911" t="s">
        <v>127</v>
      </c>
      <c r="E32" s="674">
        <f>E30+E31</f>
        <v>12587</v>
      </c>
      <c r="F32" s="1023">
        <f>F30+F31</f>
        <v>10009</v>
      </c>
      <c r="G32" s="1018">
        <f>(F32/E32-1)*100</f>
        <v>-20.481449114165407</v>
      </c>
      <c r="H32" s="1052">
        <f>N30*1000/E30</f>
        <v>8.5343399005707976</v>
      </c>
      <c r="I32" s="1053">
        <f>O32*1000/F32</f>
        <v>12.818463382955342</v>
      </c>
      <c r="J32" s="1054">
        <f>(I32/H32-1)*100</f>
        <v>50.19865077201824</v>
      </c>
      <c r="K32" s="1052">
        <f>N31*1000/E31</f>
        <v>23.188405797101449</v>
      </c>
      <c r="L32" s="1055">
        <f>O31*1000/F31</f>
        <v>24.50288646568313</v>
      </c>
      <c r="M32" s="1056">
        <f>(L32/K32-1)*100</f>
        <v>5.6686978832585</v>
      </c>
      <c r="N32" s="1003">
        <f>N30+N31</f>
        <v>132.69999999999999</v>
      </c>
      <c r="O32" s="1014">
        <f>O30+O31</f>
        <v>128.30000000000001</v>
      </c>
      <c r="P32" s="428">
        <f>(O32/N32-1)*100</f>
        <v>-3.3157498116051065</v>
      </c>
      <c r="Q32" s="124"/>
      <c r="R32" s="57"/>
    </row>
    <row r="33" spans="1:18" ht="11.1" customHeight="1">
      <c r="A33" s="429"/>
      <c r="B33" s="195"/>
      <c r="C33" s="1487" t="s">
        <v>471</v>
      </c>
      <c r="D33" s="1305" t="s">
        <v>47</v>
      </c>
      <c r="E33" s="1057">
        <f>E9+E10+E13+E16+E17+E18+E19+E21+E24+E27+E28+E29+E30</f>
        <v>1519389.8</v>
      </c>
      <c r="F33" s="1058">
        <f>F9+F10+F13+F16+F17+F18+F19+F21+F24+F27+F28+F29+F30</f>
        <v>1479810.3</v>
      </c>
      <c r="G33" s="1106">
        <f>(F33/E35-1)*100</f>
        <v>-24.525228330251391</v>
      </c>
      <c r="H33" s="1492">
        <f>N33*1000/E35</f>
        <v>16.62850961875866</v>
      </c>
      <c r="I33" s="1494">
        <f>O33*1000/F33</f>
        <v>21.657032661551277</v>
      </c>
      <c r="J33" s="1496">
        <f>(I33/H33-1)*100</f>
        <v>30.240371254438394</v>
      </c>
      <c r="K33" s="1498">
        <f>N34*1000/E34</f>
        <v>29.541854473020472</v>
      </c>
      <c r="L33" s="1500">
        <f>O34*1000/F34</f>
        <v>25.294168189135902</v>
      </c>
      <c r="M33" s="1490">
        <f>(L33/K33-1)*100</f>
        <v>-14.37853635005829</v>
      </c>
      <c r="N33" s="1057">
        <f>N9+N10+N13+N16+N17+N18+N19+N21+N24+N27+N28+N29+N30</f>
        <v>32602.999999999996</v>
      </c>
      <c r="O33" s="1059">
        <f>O9+O10+O13+O16+O17+O18+O19+O21+O24+O27+O28+O29+O30</f>
        <v>32048.299999999996</v>
      </c>
      <c r="P33" s="1060">
        <f t="shared" ref="P33:P35" si="4">(O33/N33-1)*100</f>
        <v>-1.7013771738797034</v>
      </c>
      <c r="Q33" s="124"/>
      <c r="R33" s="57"/>
    </row>
    <row r="34" spans="1:18" ht="11.1" customHeight="1" thickBot="1">
      <c r="A34" s="429"/>
      <c r="B34" s="195"/>
      <c r="C34" s="1488"/>
      <c r="D34" s="867" t="s">
        <v>48</v>
      </c>
      <c r="E34" s="1304">
        <f>E7+E8+E11+E14+E20+E22+E25+E31</f>
        <v>441279</v>
      </c>
      <c r="F34" s="870">
        <f>F7+F8+F11+F14+F20+F22+F25+F31</f>
        <v>442264</v>
      </c>
      <c r="G34" s="1107">
        <f t="shared" ref="G34:G35" si="5">(F34/E34-1)*100</f>
        <v>0.22321479154912005</v>
      </c>
      <c r="H34" s="1493"/>
      <c r="I34" s="1495"/>
      <c r="J34" s="1497"/>
      <c r="K34" s="1499"/>
      <c r="L34" s="1501"/>
      <c r="M34" s="1491"/>
      <c r="N34" s="870">
        <f>N7+N8+N11+N14+N20+N22+N25+N31</f>
        <v>13036.2</v>
      </c>
      <c r="O34" s="869">
        <f>O7+O8+O11+O14+O20+O22+O25+O31</f>
        <v>11186.7</v>
      </c>
      <c r="P34" s="871">
        <f t="shared" si="4"/>
        <v>-14.187416578450772</v>
      </c>
      <c r="Q34" s="124"/>
      <c r="R34" s="57"/>
    </row>
    <row r="35" spans="1:18" ht="11.1" customHeight="1">
      <c r="A35" s="429"/>
      <c r="B35" s="195"/>
      <c r="C35" s="1488"/>
      <c r="D35" s="1523" t="s">
        <v>472</v>
      </c>
      <c r="E35" s="1536">
        <f>E33+E34</f>
        <v>1960668.8</v>
      </c>
      <c r="F35" s="1500">
        <f>F33+F34</f>
        <v>1922074.3</v>
      </c>
      <c r="G35" s="1527">
        <f t="shared" si="5"/>
        <v>-1.9684354644700863</v>
      </c>
      <c r="H35" s="1529">
        <f>N35*1000/E35</f>
        <v>23.277363316027675</v>
      </c>
      <c r="I35" s="1530"/>
      <c r="J35" s="1531"/>
      <c r="K35" s="1530">
        <f>O35*1000/F35</f>
        <v>22.493927524029637</v>
      </c>
      <c r="L35" s="1530"/>
      <c r="M35" s="1531"/>
      <c r="N35" s="1536">
        <f>N33+N34</f>
        <v>45639.199999999997</v>
      </c>
      <c r="O35" s="1500">
        <f>O33+O34</f>
        <v>43235</v>
      </c>
      <c r="P35" s="1527">
        <f t="shared" si="4"/>
        <v>-5.2678399270802201</v>
      </c>
      <c r="Q35" s="124"/>
      <c r="R35" s="57"/>
    </row>
    <row r="36" spans="1:18" ht="11.1" customHeight="1" thickBot="1">
      <c r="A36" s="429"/>
      <c r="B36" s="195"/>
      <c r="C36" s="1489"/>
      <c r="D36" s="1535"/>
      <c r="E36" s="1537"/>
      <c r="F36" s="1538"/>
      <c r="G36" s="1528"/>
      <c r="H36" s="1532">
        <f>O35*1000/F35</f>
        <v>22.493927524029637</v>
      </c>
      <c r="I36" s="1533"/>
      <c r="J36" s="1533"/>
      <c r="K36" s="1533"/>
      <c r="L36" s="1533"/>
      <c r="M36" s="1534"/>
      <c r="N36" s="1537"/>
      <c r="O36" s="1538"/>
      <c r="P36" s="1528"/>
      <c r="Q36" s="124"/>
      <c r="R36" s="57"/>
    </row>
    <row r="37" spans="1:18" ht="15" customHeight="1">
      <c r="A37" s="429"/>
      <c r="B37" s="195"/>
      <c r="C37" s="180" t="s">
        <v>328</v>
      </c>
      <c r="D37" s="670"/>
      <c r="E37" s="431"/>
      <c r="F37" s="431"/>
      <c r="G37" s="431"/>
      <c r="H37" s="431"/>
      <c r="I37" s="431"/>
      <c r="J37" s="431"/>
      <c r="K37" s="431"/>
      <c r="L37" s="431"/>
      <c r="M37" s="431"/>
      <c r="N37" s="431"/>
      <c r="O37" s="431"/>
      <c r="P37" s="431"/>
      <c r="Q37" s="178"/>
      <c r="R37" s="57"/>
    </row>
    <row r="38" spans="1:18">
      <c r="A38" s="429"/>
      <c r="B38" s="429"/>
      <c r="C38" s="429"/>
      <c r="D38" s="430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</row>
    <row r="39" spans="1:18">
      <c r="D39"/>
      <c r="E39"/>
      <c r="F39" s="4"/>
      <c r="G39" s="4"/>
      <c r="H39"/>
      <c r="I39" s="4"/>
      <c r="J39" s="4"/>
      <c r="K39"/>
      <c r="L39" s="4"/>
      <c r="M39" s="4"/>
      <c r="N39"/>
      <c r="O39" s="4"/>
      <c r="P39" s="4"/>
      <c r="Q39"/>
      <c r="R39"/>
    </row>
    <row r="40" spans="1:18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1:18"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8"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8"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8"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8"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8"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8"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8"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4:16"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4:16"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4:16"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4:16"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4:16"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4:16"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4:16"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4:16"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4:16"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4:16"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4:16"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4:16"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4:16"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4:16"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4:16">
      <c r="D63"/>
    </row>
  </sheetData>
  <mergeCells count="33">
    <mergeCell ref="K33:K34"/>
    <mergeCell ref="L33:L34"/>
    <mergeCell ref="M33:M34"/>
    <mergeCell ref="A1:R1"/>
    <mergeCell ref="B2:Q2"/>
    <mergeCell ref="H4:M4"/>
    <mergeCell ref="C3:P3"/>
    <mergeCell ref="C4:D6"/>
    <mergeCell ref="E4:G4"/>
    <mergeCell ref="N4:P4"/>
    <mergeCell ref="E5:G5"/>
    <mergeCell ref="H5:J5"/>
    <mergeCell ref="K5:M5"/>
    <mergeCell ref="N5:P5"/>
    <mergeCell ref="C33:C36"/>
    <mergeCell ref="H33:H34"/>
    <mergeCell ref="D35:D36"/>
    <mergeCell ref="E35:E36"/>
    <mergeCell ref="F35:F36"/>
    <mergeCell ref="G35:G36"/>
    <mergeCell ref="H35:J35"/>
    <mergeCell ref="I33:I34"/>
    <mergeCell ref="J33:J34"/>
    <mergeCell ref="C9:C12"/>
    <mergeCell ref="C13:C15"/>
    <mergeCell ref="C17:C23"/>
    <mergeCell ref="C24:C26"/>
    <mergeCell ref="C30:C32"/>
    <mergeCell ref="K35:M35"/>
    <mergeCell ref="N35:N36"/>
    <mergeCell ref="O35:O36"/>
    <mergeCell ref="P35:P36"/>
    <mergeCell ref="H36:M36"/>
  </mergeCells>
  <printOptions horizontalCentered="1"/>
  <pageMargins left="1.2204724409448819" right="0.51181102362204722" top="0.78740157480314965" bottom="0.78740157480314965" header="0.31496062992125984" footer="0.31496062992125984"/>
  <pageSetup paperSize="9" scale="9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W63"/>
  <sheetViews>
    <sheetView workbookViewId="0">
      <selection activeCell="S36" sqref="S36"/>
    </sheetView>
  </sheetViews>
  <sheetFormatPr defaultRowHeight="15"/>
  <cols>
    <col min="1" max="2" width="2.7109375" style="1" customWidth="1"/>
    <col min="3" max="3" width="8.7109375" style="1" customWidth="1"/>
    <col min="4" max="4" width="19.7109375" style="27" customWidth="1"/>
    <col min="5" max="6" width="10.7109375" style="27" customWidth="1"/>
    <col min="7" max="7" width="6.7109375" style="27" bestFit="1" customWidth="1"/>
    <col min="8" max="13" width="6.7109375" style="27" customWidth="1"/>
    <col min="14" max="15" width="7.7109375" style="27" bestFit="1" customWidth="1"/>
    <col min="16" max="16" width="8.28515625" style="27" bestFit="1" customWidth="1"/>
    <col min="17" max="18" width="2.7109375" style="1" customWidth="1"/>
    <col min="19" max="16384" width="9.140625" style="1"/>
  </cols>
  <sheetData>
    <row r="1" spans="1:18" ht="15" customHeight="1">
      <c r="A1" s="1546" t="s">
        <v>511</v>
      </c>
      <c r="B1" s="1546"/>
      <c r="C1" s="1546"/>
      <c r="D1" s="1546"/>
      <c r="E1" s="1546"/>
      <c r="F1" s="1546"/>
      <c r="G1" s="1546"/>
      <c r="H1" s="1546"/>
      <c r="I1" s="1546"/>
      <c r="J1" s="1546"/>
      <c r="K1" s="1546"/>
      <c r="L1" s="1546"/>
      <c r="M1" s="1546"/>
      <c r="N1" s="1546"/>
      <c r="O1" s="1546"/>
      <c r="P1" s="1546"/>
      <c r="Q1" s="1546"/>
      <c r="R1" s="1546"/>
    </row>
    <row r="2" spans="1:18" ht="15.75">
      <c r="A2" s="429"/>
      <c r="B2" s="195"/>
      <c r="C2" s="1518" t="s">
        <v>382</v>
      </c>
      <c r="D2" s="1518"/>
      <c r="E2" s="1518"/>
      <c r="F2" s="1518"/>
      <c r="G2" s="1518"/>
      <c r="H2" s="1518"/>
      <c r="I2" s="1518"/>
      <c r="J2" s="1518"/>
      <c r="K2" s="1518"/>
      <c r="L2" s="1518"/>
      <c r="M2" s="1518"/>
      <c r="N2" s="1518"/>
      <c r="O2" s="1518"/>
      <c r="P2" s="1518"/>
      <c r="Q2" s="178"/>
      <c r="R2" s="57"/>
    </row>
    <row r="3" spans="1:18" ht="13.5" customHeight="1" thickBot="1">
      <c r="A3" s="429"/>
      <c r="B3" s="195"/>
      <c r="C3" s="1519" t="s">
        <v>425</v>
      </c>
      <c r="D3" s="1519"/>
      <c r="E3" s="1519"/>
      <c r="F3" s="1519"/>
      <c r="G3" s="1519"/>
      <c r="H3" s="1519"/>
      <c r="I3" s="1519"/>
      <c r="J3" s="1519"/>
      <c r="K3" s="1519"/>
      <c r="L3" s="1519"/>
      <c r="M3" s="1519"/>
      <c r="N3" s="1519"/>
      <c r="O3" s="1519"/>
      <c r="P3" s="1519"/>
      <c r="Q3" s="178"/>
      <c r="R3" s="57"/>
    </row>
    <row r="4" spans="1:18" ht="11.1" customHeight="1" thickBot="1">
      <c r="A4" s="429"/>
      <c r="B4" s="195"/>
      <c r="C4" s="1517" t="s">
        <v>392</v>
      </c>
      <c r="D4" s="1517"/>
      <c r="E4" s="1521" t="s">
        <v>391</v>
      </c>
      <c r="F4" s="1522"/>
      <c r="G4" s="1523"/>
      <c r="H4" s="1514" t="s">
        <v>435</v>
      </c>
      <c r="I4" s="1515"/>
      <c r="J4" s="1515"/>
      <c r="K4" s="1515"/>
      <c r="L4" s="1515"/>
      <c r="M4" s="1516"/>
      <c r="N4" s="1517" t="s">
        <v>332</v>
      </c>
      <c r="O4" s="1517"/>
      <c r="P4" s="1517"/>
      <c r="Q4" s="124"/>
      <c r="R4" s="57"/>
    </row>
    <row r="5" spans="1:18" ht="15.75" customHeight="1" thickBot="1">
      <c r="A5" s="429"/>
      <c r="B5" s="195"/>
      <c r="C5" s="1517"/>
      <c r="D5" s="1517"/>
      <c r="E5" s="1547" t="s">
        <v>389</v>
      </c>
      <c r="F5" s="1548"/>
      <c r="G5" s="1549"/>
      <c r="H5" s="1525" t="s">
        <v>443</v>
      </c>
      <c r="I5" s="1525"/>
      <c r="J5" s="1526"/>
      <c r="K5" s="1524" t="s">
        <v>442</v>
      </c>
      <c r="L5" s="1525"/>
      <c r="M5" s="1526"/>
      <c r="N5" s="1524" t="s">
        <v>390</v>
      </c>
      <c r="O5" s="1525"/>
      <c r="P5" s="1525"/>
      <c r="Q5" s="124"/>
      <c r="R5" s="57"/>
    </row>
    <row r="6" spans="1:18" ht="11.1" customHeight="1" thickBot="1">
      <c r="A6" s="429"/>
      <c r="B6" s="195"/>
      <c r="C6" s="1520"/>
      <c r="D6" s="1520"/>
      <c r="E6" s="1092">
        <v>2013</v>
      </c>
      <c r="F6" s="1093">
        <v>2014</v>
      </c>
      <c r="G6" s="1094" t="s">
        <v>12</v>
      </c>
      <c r="H6" s="862">
        <v>2013</v>
      </c>
      <c r="I6" s="863">
        <v>2014</v>
      </c>
      <c r="J6" s="864" t="s">
        <v>12</v>
      </c>
      <c r="K6" s="862">
        <v>2013</v>
      </c>
      <c r="L6" s="863">
        <v>2014</v>
      </c>
      <c r="M6" s="864" t="s">
        <v>12</v>
      </c>
      <c r="N6" s="862">
        <v>2013</v>
      </c>
      <c r="O6" s="863">
        <v>2014</v>
      </c>
      <c r="P6" s="866" t="s">
        <v>12</v>
      </c>
      <c r="Q6" s="124"/>
      <c r="R6" s="57"/>
    </row>
    <row r="7" spans="1:18" ht="12" customHeight="1">
      <c r="A7" s="429"/>
      <c r="B7" s="195"/>
      <c r="C7" s="908" t="s">
        <v>3</v>
      </c>
      <c r="D7" s="1008" t="s">
        <v>48</v>
      </c>
      <c r="E7" s="695">
        <v>102840</v>
      </c>
      <c r="F7" s="696">
        <v>86004</v>
      </c>
      <c r="G7" s="1064">
        <f t="shared" ref="G7:G31" si="0">(F7/E7-1)*100</f>
        <v>-16.371061843640611</v>
      </c>
      <c r="H7" s="700">
        <v>0</v>
      </c>
      <c r="I7" s="701">
        <v>0</v>
      </c>
      <c r="J7" s="702">
        <v>0</v>
      </c>
      <c r="K7" s="703">
        <f>N7*1000/E7</f>
        <v>13.195254764683003</v>
      </c>
      <c r="L7" s="704">
        <f>O7*1000/F7</f>
        <v>17.177108041486441</v>
      </c>
      <c r="M7" s="702">
        <f>(L7/K7-1)*100</f>
        <v>30.176403167757226</v>
      </c>
      <c r="N7" s="1068">
        <v>1357</v>
      </c>
      <c r="O7" s="690">
        <v>1477.3</v>
      </c>
      <c r="P7" s="691">
        <f t="shared" ref="P7:P31" si="1">(O7/N7-1)*100</f>
        <v>8.8651436993367749</v>
      </c>
      <c r="Q7" s="124"/>
      <c r="R7" s="57"/>
    </row>
    <row r="8" spans="1:18" ht="12" customHeight="1">
      <c r="A8" s="429"/>
      <c r="B8" s="195"/>
      <c r="C8" s="861" t="s">
        <v>4</v>
      </c>
      <c r="D8" s="1009" t="s">
        <v>48</v>
      </c>
      <c r="E8" s="675">
        <v>6383</v>
      </c>
      <c r="F8" s="669">
        <v>4377</v>
      </c>
      <c r="G8" s="1017">
        <f t="shared" si="0"/>
        <v>-31.427228575904742</v>
      </c>
      <c r="H8" s="705">
        <v>0</v>
      </c>
      <c r="I8" s="706">
        <v>0</v>
      </c>
      <c r="J8" s="707">
        <v>0</v>
      </c>
      <c r="K8" s="685">
        <f>N8*1000/E8</f>
        <v>19.066269779100736</v>
      </c>
      <c r="L8" s="714">
        <f>O8*1000/F8</f>
        <v>15.695681973954764</v>
      </c>
      <c r="M8" s="707">
        <f>(L8/K8-1)*100</f>
        <v>-17.678276056077845</v>
      </c>
      <c r="N8" s="683">
        <v>121.7</v>
      </c>
      <c r="O8" s="682">
        <v>68.7</v>
      </c>
      <c r="P8" s="427">
        <f t="shared" si="1"/>
        <v>-43.549712407559568</v>
      </c>
      <c r="Q8" s="124"/>
      <c r="R8" s="57"/>
    </row>
    <row r="9" spans="1:18" ht="12" customHeight="1">
      <c r="A9" s="429"/>
      <c r="B9" s="195"/>
      <c r="C9" s="1502" t="s">
        <v>5</v>
      </c>
      <c r="D9" s="997" t="s">
        <v>379</v>
      </c>
      <c r="E9" s="673">
        <v>11858.2</v>
      </c>
      <c r="F9" s="907">
        <v>11973</v>
      </c>
      <c r="G9" s="1012">
        <f t="shared" si="0"/>
        <v>0.96810645797844597</v>
      </c>
      <c r="H9" s="993">
        <f t="shared" ref="H9:I30" si="2">N9*1000/E9</f>
        <v>33.647602502909379</v>
      </c>
      <c r="I9" s="1029">
        <f t="shared" si="2"/>
        <v>36.340098555082271</v>
      </c>
      <c r="J9" s="1013">
        <f>(I9/H9-1)*100</f>
        <v>8.002044282174591</v>
      </c>
      <c r="K9" s="712">
        <v>0</v>
      </c>
      <c r="L9" s="994">
        <v>0</v>
      </c>
      <c r="M9" s="995">
        <v>0</v>
      </c>
      <c r="N9" s="1005">
        <v>399</v>
      </c>
      <c r="O9" s="470">
        <v>435.1</v>
      </c>
      <c r="P9" s="990">
        <f t="shared" si="1"/>
        <v>9.0476190476190599</v>
      </c>
      <c r="Q9" s="124"/>
      <c r="R9" s="57"/>
    </row>
    <row r="10" spans="1:18" ht="12" customHeight="1">
      <c r="A10" s="429"/>
      <c r="B10" s="195"/>
      <c r="C10" s="1503"/>
      <c r="D10" s="997" t="s">
        <v>380</v>
      </c>
      <c r="E10" s="673">
        <v>98473.7</v>
      </c>
      <c r="F10" s="907">
        <v>99366</v>
      </c>
      <c r="G10" s="1012">
        <f t="shared" si="0"/>
        <v>0.90613026625383508</v>
      </c>
      <c r="H10" s="909">
        <f t="shared" si="2"/>
        <v>6.9165675708336343</v>
      </c>
      <c r="I10" s="1030">
        <f t="shared" si="2"/>
        <v>9.0191816114163803</v>
      </c>
      <c r="J10" s="1013">
        <f>(I10/H10-1)*100</f>
        <v>30.399674680389531</v>
      </c>
      <c r="K10" s="712">
        <v>0</v>
      </c>
      <c r="L10" s="1021">
        <v>0</v>
      </c>
      <c r="M10" s="1013">
        <v>0</v>
      </c>
      <c r="N10" s="679">
        <v>681.1</v>
      </c>
      <c r="O10" s="1084">
        <v>896.2</v>
      </c>
      <c r="P10" s="998">
        <f t="shared" si="1"/>
        <v>31.581265599765086</v>
      </c>
      <c r="Q10" s="124"/>
      <c r="R10" s="57"/>
    </row>
    <row r="11" spans="1:18" ht="12" customHeight="1">
      <c r="A11" s="429"/>
      <c r="B11" s="195"/>
      <c r="C11" s="1503"/>
      <c r="D11" s="906" t="s">
        <v>381</v>
      </c>
      <c r="E11" s="673">
        <v>24178.9</v>
      </c>
      <c r="F11" s="910">
        <v>32600</v>
      </c>
      <c r="G11" s="1016">
        <f t="shared" si="0"/>
        <v>34.828300708468937</v>
      </c>
      <c r="H11" s="709">
        <v>0</v>
      </c>
      <c r="I11" s="710">
        <v>0</v>
      </c>
      <c r="J11" s="1019">
        <v>0</v>
      </c>
      <c r="K11" s="708">
        <f>N11*1000/E11</f>
        <v>29.918648077455963</v>
      </c>
      <c r="L11" s="714">
        <f>O11*1000/F11</f>
        <v>31.901840490797547</v>
      </c>
      <c r="M11" s="1019">
        <f>(L11/K11-1)*100</f>
        <v>6.6286164007388404</v>
      </c>
      <c r="N11" s="678">
        <v>723.4</v>
      </c>
      <c r="O11" s="1084">
        <v>1040</v>
      </c>
      <c r="P11" s="1040">
        <f t="shared" si="1"/>
        <v>43.765551562068005</v>
      </c>
      <c r="Q11" s="124"/>
      <c r="R11" s="57"/>
    </row>
    <row r="12" spans="1:18" ht="12" customHeight="1">
      <c r="A12" s="429"/>
      <c r="B12" s="195"/>
      <c r="C12" s="1504"/>
      <c r="D12" s="1071" t="s">
        <v>127</v>
      </c>
      <c r="E12" s="681">
        <f>E9+E10+E11</f>
        <v>134510.79999999999</v>
      </c>
      <c r="F12" s="688">
        <f>F9+F10+F11</f>
        <v>143939</v>
      </c>
      <c r="G12" s="1017">
        <f>(F12/E12-1)*100</f>
        <v>7.0092513017542268</v>
      </c>
      <c r="H12" s="685">
        <f>SUM(N9+N10)*1000/SUM(E9+E10)</f>
        <v>9.7895531573370906</v>
      </c>
      <c r="I12" s="1076">
        <f>SUM(O9+O10)*1000/SUM(F9+F10)</f>
        <v>11.957175832367815</v>
      </c>
      <c r="J12" s="1074">
        <f>(I12/H12-1)*100</f>
        <v>22.142202408964206</v>
      </c>
      <c r="K12" s="685">
        <f>N11*1000/E11</f>
        <v>29.918648077455963</v>
      </c>
      <c r="L12" s="1076">
        <f>O11*1000/F11</f>
        <v>31.901840490797547</v>
      </c>
      <c r="M12" s="1074">
        <f>(L12/K12-1)*100</f>
        <v>6.6286164007388404</v>
      </c>
      <c r="N12" s="681">
        <f>N9+N10+N11</f>
        <v>1803.5</v>
      </c>
      <c r="O12" s="688">
        <f>O9+O10+O11</f>
        <v>2371.3000000000002</v>
      </c>
      <c r="P12" s="1025">
        <f>(O12/N12-1)*100</f>
        <v>31.483227058497377</v>
      </c>
      <c r="Q12" s="124"/>
      <c r="R12" s="57"/>
    </row>
    <row r="13" spans="1:18" ht="12" customHeight="1">
      <c r="A13" s="429"/>
      <c r="B13" s="195"/>
      <c r="C13" s="1502" t="s">
        <v>9</v>
      </c>
      <c r="D13" s="1000" t="s">
        <v>47</v>
      </c>
      <c r="E13" s="1062">
        <v>85</v>
      </c>
      <c r="F13" s="907">
        <v>135</v>
      </c>
      <c r="G13" s="1065">
        <f t="shared" si="0"/>
        <v>58.823529411764696</v>
      </c>
      <c r="H13" s="993">
        <f t="shared" si="2"/>
        <v>18.823529411764707</v>
      </c>
      <c r="I13" s="1029">
        <f t="shared" si="2"/>
        <v>14.814814814814815</v>
      </c>
      <c r="J13" s="1075">
        <f t="shared" ref="J13:J30" si="3">(I13/H13-1)*100</f>
        <v>-21.296296296296301</v>
      </c>
      <c r="K13" s="1001">
        <v>0</v>
      </c>
      <c r="L13" s="1035">
        <v>0</v>
      </c>
      <c r="M13" s="1075">
        <v>0</v>
      </c>
      <c r="N13" s="1037">
        <v>1.6</v>
      </c>
      <c r="O13" s="1085">
        <v>2</v>
      </c>
      <c r="P13" s="1082">
        <f t="shared" si="1"/>
        <v>25</v>
      </c>
      <c r="Q13" s="124"/>
      <c r="R13" s="57"/>
    </row>
    <row r="14" spans="1:18" ht="12" customHeight="1">
      <c r="A14" s="429"/>
      <c r="B14" s="195"/>
      <c r="C14" s="1503"/>
      <c r="D14" s="1046" t="s">
        <v>48</v>
      </c>
      <c r="E14" s="913">
        <v>20805</v>
      </c>
      <c r="F14" s="910">
        <v>19980</v>
      </c>
      <c r="G14" s="1016">
        <f t="shared" si="0"/>
        <v>-3.9653929343907768</v>
      </c>
      <c r="H14" s="709">
        <v>0</v>
      </c>
      <c r="I14" s="710">
        <v>0</v>
      </c>
      <c r="J14" s="1019">
        <v>0</v>
      </c>
      <c r="K14" s="708">
        <f>N14*1000/E14</f>
        <v>8.1663061763999032</v>
      </c>
      <c r="L14" s="714">
        <f>O14*1000/F14</f>
        <v>8.1981981981981988</v>
      </c>
      <c r="M14" s="1019">
        <f>(L14/K14-1)*100</f>
        <v>0.39053179135581928</v>
      </c>
      <c r="N14" s="679">
        <v>169.9</v>
      </c>
      <c r="O14" s="1084">
        <v>163.80000000000001</v>
      </c>
      <c r="P14" s="998">
        <f t="shared" si="1"/>
        <v>-3.5903472630959388</v>
      </c>
      <c r="Q14" s="124"/>
      <c r="R14" s="57"/>
    </row>
    <row r="15" spans="1:18" ht="12" customHeight="1">
      <c r="A15" s="429"/>
      <c r="B15" s="195"/>
      <c r="C15" s="1504"/>
      <c r="D15" s="684" t="s">
        <v>127</v>
      </c>
      <c r="E15" s="991">
        <f>E13+E14</f>
        <v>20890</v>
      </c>
      <c r="F15" s="671">
        <f>F13+F14</f>
        <v>20115</v>
      </c>
      <c r="G15" s="1018">
        <f>(F15/E15-1)*100</f>
        <v>-3.7099090473910912</v>
      </c>
      <c r="H15" s="708">
        <f>N13*1000/E13</f>
        <v>18.823529411764707</v>
      </c>
      <c r="I15" s="1077">
        <f>O13*1000/F13</f>
        <v>14.814814814814815</v>
      </c>
      <c r="J15" s="1019">
        <f>(I15/H15-1)*100</f>
        <v>-21.296296296296301</v>
      </c>
      <c r="K15" s="708">
        <f>N14*1000/E14</f>
        <v>8.1663061763999032</v>
      </c>
      <c r="L15" s="1077">
        <f>O14*1000/F14</f>
        <v>8.1981981981981988</v>
      </c>
      <c r="M15" s="1019">
        <f>(L15/K15-1)*100</f>
        <v>0.39053179135581928</v>
      </c>
      <c r="N15" s="677">
        <f>N13+N14</f>
        <v>171.5</v>
      </c>
      <c r="O15" s="671">
        <f>O13+O14</f>
        <v>165.8</v>
      </c>
      <c r="P15" s="1025">
        <f>(O15/N15-1)*100</f>
        <v>-3.3236151603498465</v>
      </c>
      <c r="Q15" s="124"/>
      <c r="R15" s="57"/>
    </row>
    <row r="16" spans="1:18" ht="12" customHeight="1">
      <c r="A16" s="429"/>
      <c r="B16" s="195"/>
      <c r="C16" s="859" t="s">
        <v>10</v>
      </c>
      <c r="D16" s="1070" t="s">
        <v>47</v>
      </c>
      <c r="E16" s="674">
        <v>6382.6</v>
      </c>
      <c r="F16" s="1090">
        <v>6136.8</v>
      </c>
      <c r="G16" s="1018">
        <f t="shared" si="0"/>
        <v>-3.8510951649797898</v>
      </c>
      <c r="H16" s="708">
        <f t="shared" si="2"/>
        <v>41.61313571271895</v>
      </c>
      <c r="I16" s="1078">
        <f t="shared" si="2"/>
        <v>38.55429539825316</v>
      </c>
      <c r="J16" s="1019">
        <f t="shared" si="3"/>
        <v>-7.3506604635200867</v>
      </c>
      <c r="K16" s="1063">
        <v>0</v>
      </c>
      <c r="L16" s="1022">
        <v>0</v>
      </c>
      <c r="M16" s="1019">
        <v>0</v>
      </c>
      <c r="N16" s="692">
        <v>265.60000000000002</v>
      </c>
      <c r="O16" s="1086">
        <v>236.6</v>
      </c>
      <c r="P16" s="1028">
        <f t="shared" si="1"/>
        <v>-10.918674698795193</v>
      </c>
      <c r="Q16" s="124"/>
      <c r="R16" s="57"/>
    </row>
    <row r="17" spans="1:23" ht="12" customHeight="1">
      <c r="A17" s="429"/>
      <c r="B17" s="195"/>
      <c r="C17" s="1506" t="s">
        <v>7</v>
      </c>
      <c r="D17" s="1004" t="s">
        <v>388</v>
      </c>
      <c r="E17" s="673">
        <v>521187</v>
      </c>
      <c r="F17" s="907">
        <v>501214</v>
      </c>
      <c r="G17" s="1012">
        <f t="shared" si="0"/>
        <v>-3.832213773559201</v>
      </c>
      <c r="H17" s="909">
        <f t="shared" si="2"/>
        <v>25.624200143134807</v>
      </c>
      <c r="I17" s="1030">
        <f t="shared" si="2"/>
        <v>21.555064303870203</v>
      </c>
      <c r="J17" s="1013">
        <f t="shared" si="3"/>
        <v>-15.880050173409222</v>
      </c>
      <c r="K17" s="712">
        <v>0</v>
      </c>
      <c r="L17" s="1021">
        <v>0</v>
      </c>
      <c r="M17" s="1013">
        <v>0</v>
      </c>
      <c r="N17" s="679">
        <v>13355</v>
      </c>
      <c r="O17" s="1084">
        <v>10803.7</v>
      </c>
      <c r="P17" s="998">
        <f t="shared" si="1"/>
        <v>-19.103706476974914</v>
      </c>
      <c r="Q17" s="124"/>
      <c r="R17" s="57"/>
    </row>
    <row r="18" spans="1:23" ht="12" customHeight="1">
      <c r="A18" s="429"/>
      <c r="B18" s="195"/>
      <c r="C18" s="1506"/>
      <c r="D18" s="1006" t="s">
        <v>387</v>
      </c>
      <c r="E18" s="673">
        <v>169415</v>
      </c>
      <c r="F18" s="907">
        <v>174369</v>
      </c>
      <c r="G18" s="1012">
        <f t="shared" si="0"/>
        <v>2.9241802673907191</v>
      </c>
      <c r="H18" s="909">
        <f t="shared" si="2"/>
        <v>30.770592922704601</v>
      </c>
      <c r="I18" s="1030">
        <f t="shared" si="2"/>
        <v>33.064937001416538</v>
      </c>
      <c r="J18" s="1013">
        <f t="shared" si="3"/>
        <v>7.4562881660269031</v>
      </c>
      <c r="K18" s="712">
        <v>0</v>
      </c>
      <c r="L18" s="1021">
        <v>0</v>
      </c>
      <c r="M18" s="1013">
        <v>0</v>
      </c>
      <c r="N18" s="679">
        <v>5213</v>
      </c>
      <c r="O18" s="1084">
        <v>5765.5</v>
      </c>
      <c r="P18" s="998">
        <f t="shared" si="1"/>
        <v>10.598503740648368</v>
      </c>
      <c r="Q18" s="124"/>
      <c r="R18" s="57"/>
    </row>
    <row r="19" spans="1:23" ht="12" customHeight="1">
      <c r="A19" s="429"/>
      <c r="B19" s="195"/>
      <c r="C19" s="1506"/>
      <c r="D19" s="1004" t="s">
        <v>383</v>
      </c>
      <c r="E19" s="673">
        <v>301152</v>
      </c>
      <c r="F19" s="907">
        <v>284582</v>
      </c>
      <c r="G19" s="1012">
        <f t="shared" si="0"/>
        <v>-5.5022048666454104</v>
      </c>
      <c r="H19" s="909">
        <f t="shared" si="2"/>
        <v>27.006295824035703</v>
      </c>
      <c r="I19" s="1030">
        <f t="shared" si="2"/>
        <v>18.640672987047669</v>
      </c>
      <c r="J19" s="1013">
        <f t="shared" si="3"/>
        <v>-30.976565210926111</v>
      </c>
      <c r="K19" s="712">
        <v>0</v>
      </c>
      <c r="L19" s="1021">
        <v>0</v>
      </c>
      <c r="M19" s="1013">
        <v>0</v>
      </c>
      <c r="N19" s="679">
        <v>8133</v>
      </c>
      <c r="O19" s="1084">
        <v>5304.8</v>
      </c>
      <c r="P19" s="998">
        <f t="shared" si="1"/>
        <v>-34.77437599901635</v>
      </c>
      <c r="Q19" s="124"/>
      <c r="R19" s="57"/>
      <c r="W19" s="471"/>
    </row>
    <row r="20" spans="1:23" ht="12" customHeight="1">
      <c r="A20" s="429"/>
      <c r="B20" s="195"/>
      <c r="C20" s="1506"/>
      <c r="D20" s="1004" t="s">
        <v>384</v>
      </c>
      <c r="E20" s="673">
        <v>8441</v>
      </c>
      <c r="F20" s="907">
        <v>8755</v>
      </c>
      <c r="G20" s="1012">
        <f t="shared" si="0"/>
        <v>3.7199383959246601</v>
      </c>
      <c r="H20" s="1024">
        <v>0</v>
      </c>
      <c r="I20" s="1032">
        <v>0</v>
      </c>
      <c r="J20" s="1013">
        <v>0</v>
      </c>
      <c r="K20" s="909">
        <f>N20*1000/E20</f>
        <v>21.561426371283023</v>
      </c>
      <c r="L20" s="1036">
        <f>O20*1000/F20</f>
        <v>22.07881210736722</v>
      </c>
      <c r="M20" s="1013">
        <f>(L20/K20-1)*100</f>
        <v>2.3995895594981942</v>
      </c>
      <c r="N20" s="679">
        <v>182</v>
      </c>
      <c r="O20" s="1084">
        <v>193.3</v>
      </c>
      <c r="P20" s="998">
        <f t="shared" si="1"/>
        <v>6.2087912087912089</v>
      </c>
      <c r="Q20" s="124"/>
      <c r="R20" s="57"/>
    </row>
    <row r="21" spans="1:23" ht="12" customHeight="1">
      <c r="A21" s="429"/>
      <c r="B21" s="195"/>
      <c r="C21" s="1506"/>
      <c r="D21" s="1004" t="s">
        <v>385</v>
      </c>
      <c r="E21" s="673">
        <v>33057</v>
      </c>
      <c r="F21" s="907">
        <v>34914</v>
      </c>
      <c r="G21" s="1012">
        <f t="shared" si="0"/>
        <v>5.6175696524185526</v>
      </c>
      <c r="H21" s="909">
        <f t="shared" si="2"/>
        <v>20.540278912181989</v>
      </c>
      <c r="I21" s="1030">
        <f t="shared" si="2"/>
        <v>22.054190296156271</v>
      </c>
      <c r="J21" s="1013">
        <f t="shared" si="3"/>
        <v>7.3704519322588924</v>
      </c>
      <c r="K21" s="712">
        <v>0</v>
      </c>
      <c r="L21" s="1021">
        <v>0</v>
      </c>
      <c r="M21" s="1013">
        <v>0</v>
      </c>
      <c r="N21" s="679">
        <v>679</v>
      </c>
      <c r="O21" s="1084">
        <v>770</v>
      </c>
      <c r="P21" s="998">
        <f t="shared" si="1"/>
        <v>13.4020618556701</v>
      </c>
      <c r="Q21" s="124"/>
      <c r="R21" s="57"/>
    </row>
    <row r="22" spans="1:23" ht="12" customHeight="1">
      <c r="A22" s="429"/>
      <c r="B22" s="195"/>
      <c r="C22" s="1506"/>
      <c r="D22" s="912" t="s">
        <v>386</v>
      </c>
      <c r="E22" s="913">
        <v>4545</v>
      </c>
      <c r="F22" s="910">
        <v>4714</v>
      </c>
      <c r="G22" s="1016">
        <f t="shared" si="0"/>
        <v>3.7183718371837093</v>
      </c>
      <c r="H22" s="709">
        <v>0</v>
      </c>
      <c r="I22" s="710">
        <v>0</v>
      </c>
      <c r="J22" s="1019">
        <v>0</v>
      </c>
      <c r="K22" s="708">
        <f>N22*1000/E22</f>
        <v>21.562156215621563</v>
      </c>
      <c r="L22" s="714">
        <f>O22*1000/F22</f>
        <v>22.083156554942725</v>
      </c>
      <c r="M22" s="1019">
        <f>(L22/K22-1)*100</f>
        <v>2.4162719818517253</v>
      </c>
      <c r="N22" s="1038">
        <v>98</v>
      </c>
      <c r="O22" s="1086">
        <v>104.1</v>
      </c>
      <c r="P22" s="1040">
        <f t="shared" si="1"/>
        <v>6.2244897959183643</v>
      </c>
      <c r="Q22" s="124"/>
      <c r="R22" s="57"/>
    </row>
    <row r="23" spans="1:23" ht="12" customHeight="1">
      <c r="A23" s="429"/>
      <c r="B23" s="195"/>
      <c r="C23" s="1507"/>
      <c r="D23" s="1071" t="s">
        <v>127</v>
      </c>
      <c r="E23" s="681">
        <f>E17+E18+E19+E20+E21+E22</f>
        <v>1037797</v>
      </c>
      <c r="F23" s="688">
        <f>F17+F18+F19+F20+F21+F22</f>
        <v>1008548</v>
      </c>
      <c r="G23" s="1017">
        <f>(F23/E23-1)*100</f>
        <v>-2.8183739209113101</v>
      </c>
      <c r="H23" s="685">
        <f>SUM(N17+N18+N19+N21)*1000/SUM(E17+E18+E19+E21)</f>
        <v>26.717121498500699</v>
      </c>
      <c r="I23" s="1076">
        <f>SUM(O17+O18+O19+O21)*1000/SUM(F17+F18+F19+F21)</f>
        <v>22.755982188348863</v>
      </c>
      <c r="J23" s="1074">
        <f>(I23/H23-1)*100</f>
        <v>-14.826220370986166</v>
      </c>
      <c r="K23" s="685">
        <f>SUM(N20+N22)*1000/SUM(E20+E22)</f>
        <v>21.561681811181273</v>
      </c>
      <c r="L23" s="1076">
        <f>SUM(O20+O22)*1000/SUM(F20+F22)</f>
        <v>22.080332615635903</v>
      </c>
      <c r="M23" s="1074">
        <f>(L23/K23-1)*100</f>
        <v>2.4054283380885</v>
      </c>
      <c r="N23" s="681">
        <f>N17+N18+N19+N20+N21+N22</f>
        <v>27660</v>
      </c>
      <c r="O23" s="688">
        <f>O17+O18+O19+O20+O21+O22</f>
        <v>22941.399999999998</v>
      </c>
      <c r="P23" s="1025">
        <f>(O23/N23-1)*100</f>
        <v>-17.059291395516997</v>
      </c>
      <c r="Q23" s="124"/>
      <c r="R23" s="57"/>
    </row>
    <row r="24" spans="1:23" ht="12" customHeight="1">
      <c r="A24" s="429"/>
      <c r="B24" s="195"/>
      <c r="C24" s="1072"/>
      <c r="D24" s="1000" t="s">
        <v>47</v>
      </c>
      <c r="E24" s="673">
        <v>170043</v>
      </c>
      <c r="F24" s="907">
        <v>150118</v>
      </c>
      <c r="G24" s="1012">
        <f t="shared" si="0"/>
        <v>-11.717624365601642</v>
      </c>
      <c r="H24" s="909">
        <f t="shared" si="2"/>
        <v>20.500696882553235</v>
      </c>
      <c r="I24" s="1030">
        <f t="shared" si="2"/>
        <v>19.029696638644268</v>
      </c>
      <c r="J24" s="1013">
        <f t="shared" si="3"/>
        <v>-7.1753670245270351</v>
      </c>
      <c r="K24" s="712">
        <v>0</v>
      </c>
      <c r="L24" s="1021">
        <v>0</v>
      </c>
      <c r="M24" s="1013">
        <v>0</v>
      </c>
      <c r="N24" s="679">
        <v>3486</v>
      </c>
      <c r="O24" s="1084">
        <v>2856.7</v>
      </c>
      <c r="P24" s="998">
        <f t="shared" si="1"/>
        <v>-18.052208835341364</v>
      </c>
      <c r="Q24" s="124"/>
      <c r="R24" s="57"/>
    </row>
    <row r="25" spans="1:23" ht="12" customHeight="1">
      <c r="A25" s="429"/>
      <c r="B25" s="195"/>
      <c r="C25" s="860" t="s">
        <v>29</v>
      </c>
      <c r="D25" s="912" t="s">
        <v>48</v>
      </c>
      <c r="E25" s="913">
        <v>283124</v>
      </c>
      <c r="F25" s="910">
        <v>283124</v>
      </c>
      <c r="G25" s="1016">
        <f t="shared" si="0"/>
        <v>0</v>
      </c>
      <c r="H25" s="709">
        <v>0</v>
      </c>
      <c r="I25" s="710">
        <v>0</v>
      </c>
      <c r="J25" s="1019">
        <v>0</v>
      </c>
      <c r="K25" s="708">
        <f>N25*1000/E25</f>
        <v>29.001426936607281</v>
      </c>
      <c r="L25" s="714">
        <f>O25*1000/F25</f>
        <v>35.140079964962347</v>
      </c>
      <c r="M25" s="1019">
        <f>(L25/K25-1)*100</f>
        <v>21.166727560589436</v>
      </c>
      <c r="N25" s="1038">
        <v>8211</v>
      </c>
      <c r="O25" s="1086">
        <v>9949</v>
      </c>
      <c r="P25" s="1040">
        <f t="shared" si="1"/>
        <v>21.166727560589461</v>
      </c>
      <c r="Q25" s="124"/>
      <c r="R25" s="57"/>
    </row>
    <row r="26" spans="1:23" ht="12" customHeight="1">
      <c r="A26" s="429"/>
      <c r="B26" s="195"/>
      <c r="C26" s="1073"/>
      <c r="D26" s="1071" t="s">
        <v>127</v>
      </c>
      <c r="E26" s="694">
        <f>E24+E25</f>
        <v>453167</v>
      </c>
      <c r="F26" s="669">
        <f>F24+F25</f>
        <v>433242</v>
      </c>
      <c r="G26" s="1066">
        <f>(F26/E26-1)*100</f>
        <v>-4.3968338382980203</v>
      </c>
      <c r="H26" s="993">
        <f>N24*1000/E24</f>
        <v>20.500696882553235</v>
      </c>
      <c r="I26" s="1079">
        <f>O24*1000/F24</f>
        <v>19.029696638644268</v>
      </c>
      <c r="J26" s="1013">
        <f>(I26/H26-1)*100</f>
        <v>-7.1753670245270351</v>
      </c>
      <c r="K26" s="993">
        <f>N25*1000/E25</f>
        <v>29.001426936607281</v>
      </c>
      <c r="L26" s="1079">
        <f>O25*1000/F25</f>
        <v>35.140079964962347</v>
      </c>
      <c r="M26" s="1013">
        <f>(L26/K26-1)*100</f>
        <v>21.166727560589436</v>
      </c>
      <c r="N26" s="1007">
        <f>N24+N25</f>
        <v>11697</v>
      </c>
      <c r="O26" s="1087">
        <f>O24+O25</f>
        <v>12805.7</v>
      </c>
      <c r="P26" s="1083">
        <f>(O26/N26-1)*100</f>
        <v>9.4784987603659054</v>
      </c>
      <c r="Q26" s="124"/>
      <c r="R26" s="57"/>
    </row>
    <row r="27" spans="1:23" ht="12" customHeight="1">
      <c r="A27" s="429"/>
      <c r="B27" s="195"/>
      <c r="C27" s="1042" t="s">
        <v>30</v>
      </c>
      <c r="D27" s="1070" t="s">
        <v>47</v>
      </c>
      <c r="E27" s="675">
        <v>13276</v>
      </c>
      <c r="F27" s="1090">
        <v>12783</v>
      </c>
      <c r="G27" s="1017">
        <f t="shared" si="0"/>
        <v>-3.7134679120216951</v>
      </c>
      <c r="H27" s="685">
        <f t="shared" si="2"/>
        <v>21.166013859596266</v>
      </c>
      <c r="I27" s="1080">
        <f t="shared" si="2"/>
        <v>22.866306813736994</v>
      </c>
      <c r="J27" s="1074">
        <f t="shared" si="3"/>
        <v>8.0331278502392642</v>
      </c>
      <c r="K27" s="713">
        <v>0</v>
      </c>
      <c r="L27" s="1081">
        <v>0</v>
      </c>
      <c r="M27" s="1074">
        <v>0</v>
      </c>
      <c r="N27" s="681">
        <v>281</v>
      </c>
      <c r="O27" s="1088">
        <v>292.3</v>
      </c>
      <c r="P27" s="1025">
        <f t="shared" si="1"/>
        <v>4.0213523131672702</v>
      </c>
      <c r="Q27" s="124"/>
      <c r="R27" s="57"/>
    </row>
    <row r="28" spans="1:23" ht="12" customHeight="1">
      <c r="A28" s="429"/>
      <c r="B28" s="195"/>
      <c r="C28" s="1043" t="s">
        <v>8</v>
      </c>
      <c r="D28" s="989" t="s">
        <v>47</v>
      </c>
      <c r="E28" s="675">
        <v>162328.5</v>
      </c>
      <c r="F28" s="1090">
        <v>199686</v>
      </c>
      <c r="G28" s="1017">
        <f t="shared" si="0"/>
        <v>23.013518883005759</v>
      </c>
      <c r="H28" s="685">
        <f t="shared" si="2"/>
        <v>24.70361027176374</v>
      </c>
      <c r="I28" s="1080">
        <f t="shared" si="2"/>
        <v>22.980078723596044</v>
      </c>
      <c r="J28" s="1074">
        <f t="shared" si="3"/>
        <v>-6.9768407500246816</v>
      </c>
      <c r="K28" s="713">
        <v>0</v>
      </c>
      <c r="L28" s="1081">
        <v>0</v>
      </c>
      <c r="M28" s="1074">
        <v>0</v>
      </c>
      <c r="N28" s="681">
        <v>4010.1</v>
      </c>
      <c r="O28" s="1088">
        <v>4588.8</v>
      </c>
      <c r="P28" s="1025">
        <f t="shared" si="1"/>
        <v>14.431061569536929</v>
      </c>
      <c r="Q28" s="124"/>
      <c r="R28" s="57"/>
      <c r="T28" s="1111"/>
    </row>
    <row r="29" spans="1:23" ht="12" customHeight="1">
      <c r="A29" s="429"/>
      <c r="B29" s="195"/>
      <c r="C29" s="861" t="s">
        <v>6</v>
      </c>
      <c r="D29" s="989" t="s">
        <v>47</v>
      </c>
      <c r="E29" s="675">
        <v>65150</v>
      </c>
      <c r="F29" s="1090">
        <v>33251</v>
      </c>
      <c r="G29" s="1017">
        <f t="shared" si="0"/>
        <v>-48.962394474290107</v>
      </c>
      <c r="H29" s="685">
        <f t="shared" si="2"/>
        <v>25.326170376055256</v>
      </c>
      <c r="I29" s="1080">
        <f t="shared" si="2"/>
        <v>16.799494752037532</v>
      </c>
      <c r="J29" s="1074">
        <f t="shared" si="3"/>
        <v>-33.667449509379075</v>
      </c>
      <c r="K29" s="713">
        <v>0</v>
      </c>
      <c r="L29" s="1081">
        <v>0</v>
      </c>
      <c r="M29" s="1074">
        <v>0</v>
      </c>
      <c r="N29" s="681">
        <v>1650</v>
      </c>
      <c r="O29" s="1088">
        <v>558.6</v>
      </c>
      <c r="P29" s="1025">
        <f t="shared" si="1"/>
        <v>-66.145454545454555</v>
      </c>
      <c r="Q29" s="124"/>
      <c r="R29" s="57"/>
    </row>
    <row r="30" spans="1:23" ht="12" customHeight="1">
      <c r="A30" s="429"/>
      <c r="B30" s="195"/>
      <c r="C30" s="1542" t="s">
        <v>14</v>
      </c>
      <c r="D30" s="1000" t="s">
        <v>47</v>
      </c>
      <c r="E30" s="1015">
        <v>13305</v>
      </c>
      <c r="F30" s="1021">
        <v>10862</v>
      </c>
      <c r="G30" s="1013">
        <f t="shared" si="0"/>
        <v>-18.361518226230743</v>
      </c>
      <c r="H30" s="909">
        <f t="shared" si="2"/>
        <v>9.8985343855693344</v>
      </c>
      <c r="I30" s="1030">
        <f t="shared" si="2"/>
        <v>8.5343399005707976</v>
      </c>
      <c r="J30" s="1013">
        <f t="shared" si="3"/>
        <v>-13.781782553459021</v>
      </c>
      <c r="K30" s="1034">
        <v>0</v>
      </c>
      <c r="L30" s="1021">
        <v>0</v>
      </c>
      <c r="M30" s="1013">
        <v>0</v>
      </c>
      <c r="N30" s="679">
        <v>131.69999999999999</v>
      </c>
      <c r="O30" s="1032">
        <v>92.7</v>
      </c>
      <c r="P30" s="999">
        <f t="shared" si="1"/>
        <v>-29.612756264236893</v>
      </c>
      <c r="Q30" s="124"/>
      <c r="R30" s="57"/>
    </row>
    <row r="31" spans="1:23" ht="12" customHeight="1">
      <c r="A31" s="429"/>
      <c r="B31" s="195"/>
      <c r="C31" s="1543"/>
      <c r="D31" s="912" t="s">
        <v>48</v>
      </c>
      <c r="E31" s="992">
        <v>395</v>
      </c>
      <c r="F31" s="1022">
        <v>1725</v>
      </c>
      <c r="G31" s="1019">
        <f t="shared" si="0"/>
        <v>336.70886075949369</v>
      </c>
      <c r="H31" s="709">
        <v>0</v>
      </c>
      <c r="I31" s="715">
        <v>0</v>
      </c>
      <c r="J31" s="711">
        <v>0</v>
      </c>
      <c r="K31" s="708">
        <f>N31*1000/E31</f>
        <v>7.0886075949367084</v>
      </c>
      <c r="L31" s="714">
        <f>O31*1000/F31</f>
        <v>23.188405797101449</v>
      </c>
      <c r="M31" s="711">
        <f>(L31/K31-1)*100</f>
        <v>227.12215320910977</v>
      </c>
      <c r="N31" s="1038">
        <v>2.8</v>
      </c>
      <c r="O31" s="716">
        <v>40</v>
      </c>
      <c r="P31" s="468">
        <f t="shared" si="1"/>
        <v>1328.5714285714287</v>
      </c>
      <c r="Q31" s="124"/>
      <c r="R31" s="57"/>
    </row>
    <row r="32" spans="1:23" ht="12" customHeight="1" thickBot="1">
      <c r="A32" s="429"/>
      <c r="B32" s="195"/>
      <c r="C32" s="1543"/>
      <c r="D32" s="1061" t="s">
        <v>127</v>
      </c>
      <c r="E32" s="1089">
        <f>E30+E31</f>
        <v>13700</v>
      </c>
      <c r="F32" s="1023">
        <f>F30+F31</f>
        <v>12587</v>
      </c>
      <c r="G32" s="1067">
        <f>(F32/E32-1)*100</f>
        <v>-8.1240875912408796</v>
      </c>
      <c r="H32" s="1052">
        <f>N30*1000/E30</f>
        <v>9.8985343855693344</v>
      </c>
      <c r="I32" s="1091">
        <f>O32*1000/F32</f>
        <v>10.542623341542862</v>
      </c>
      <c r="J32" s="1056">
        <f>(I32/H32-1)*100</f>
        <v>6.5069123456551248</v>
      </c>
      <c r="K32" s="1052">
        <f>N31*1000/E31</f>
        <v>7.0886075949367084</v>
      </c>
      <c r="L32" s="1055">
        <f>O31*1000/F31</f>
        <v>23.188405797101449</v>
      </c>
      <c r="M32" s="1056">
        <f>(L32/K32-1)*100</f>
        <v>227.12215320910977</v>
      </c>
      <c r="N32" s="1069">
        <f>N30+N31</f>
        <v>134.5</v>
      </c>
      <c r="O32" s="1003">
        <f>O30+O31</f>
        <v>132.69999999999999</v>
      </c>
      <c r="P32" s="428">
        <f>(O32/N32-1)*100</f>
        <v>-1.3382899628252898</v>
      </c>
      <c r="Q32" s="124"/>
      <c r="R32" s="57"/>
    </row>
    <row r="33" spans="1:18" ht="11.1" customHeight="1">
      <c r="A33" s="429"/>
      <c r="B33" s="195"/>
      <c r="C33" s="1487" t="s">
        <v>471</v>
      </c>
      <c r="D33" s="1305" t="s">
        <v>47</v>
      </c>
      <c r="E33" s="1057">
        <f>E9+E10+E13+E16+E17+E18+E19+E21+E24+E27+E28+E29+E30</f>
        <v>1565713</v>
      </c>
      <c r="F33" s="1058">
        <f>F9+F10+F13+F16+F17+F18+F19+F21+F24+F27+F28+F29+F30</f>
        <v>1519389.8</v>
      </c>
      <c r="G33" s="1106">
        <f>(F33/E35-1)*100</f>
        <v>-24.649323661892886</v>
      </c>
      <c r="H33" s="1492">
        <f>N33*1000/E35</f>
        <v>18.987119232657761</v>
      </c>
      <c r="I33" s="1494">
        <f>O33*1000/F33</f>
        <v>21.457956345369698</v>
      </c>
      <c r="J33" s="1496">
        <f>(I33/H33-1)*100</f>
        <v>13.01322798069393</v>
      </c>
      <c r="K33" s="1498">
        <f>N34*1000/E34</f>
        <v>24.10808323454517</v>
      </c>
      <c r="L33" s="1500">
        <f>O34*1000/F34</f>
        <v>29.541854473020472</v>
      </c>
      <c r="M33" s="1490">
        <f>(L33/K33-1)*100</f>
        <v>22.539208885296592</v>
      </c>
      <c r="N33" s="1057">
        <f>N9+N10+N13+N16+N17+N18+N19+N21+N24+N27+N28+N29+N30</f>
        <v>38286.1</v>
      </c>
      <c r="O33" s="1059">
        <f>O9+O10+O13+O16+O17+O18+O19+O21+O24+O27+O28+O29+O30</f>
        <v>32602.999999999996</v>
      </c>
      <c r="P33" s="1060">
        <f t="shared" ref="P33:P35" si="4">(O33/N33-1)*100</f>
        <v>-14.843768365020205</v>
      </c>
      <c r="Q33" s="124"/>
      <c r="R33" s="57"/>
    </row>
    <row r="34" spans="1:18" ht="11.1" customHeight="1" thickBot="1">
      <c r="A34" s="429"/>
      <c r="B34" s="195"/>
      <c r="C34" s="1488"/>
      <c r="D34" s="867" t="s">
        <v>48</v>
      </c>
      <c r="E34" s="1304">
        <f>E7+E8+E11+E14+E20+E22+E25+E31</f>
        <v>450711.9</v>
      </c>
      <c r="F34" s="870">
        <f>F7+F8+F11+F14+F20+F22+F25+F31</f>
        <v>441279</v>
      </c>
      <c r="G34" s="1107">
        <f t="shared" ref="G34:G35" si="5">(F34/E34-1)*100</f>
        <v>-2.0928890495236607</v>
      </c>
      <c r="H34" s="1493"/>
      <c r="I34" s="1495"/>
      <c r="J34" s="1497"/>
      <c r="K34" s="1499"/>
      <c r="L34" s="1501"/>
      <c r="M34" s="1491"/>
      <c r="N34" s="870">
        <f>N7+N8+N11+N14+N20+N22+N25+N31</f>
        <v>10865.8</v>
      </c>
      <c r="O34" s="869">
        <f>O7+O8+O11+O14+O20+O22+O25+O31</f>
        <v>13036.2</v>
      </c>
      <c r="P34" s="871">
        <f t="shared" si="4"/>
        <v>19.97459920116329</v>
      </c>
      <c r="Q34" s="124"/>
      <c r="R34" s="57"/>
    </row>
    <row r="35" spans="1:18" ht="11.1" customHeight="1">
      <c r="A35" s="429"/>
      <c r="B35" s="195"/>
      <c r="C35" s="1488"/>
      <c r="D35" s="1523" t="s">
        <v>472</v>
      </c>
      <c r="E35" s="1536">
        <f>E33+E34</f>
        <v>2016424.9</v>
      </c>
      <c r="F35" s="1500">
        <f>F33+F34</f>
        <v>1960668.8</v>
      </c>
      <c r="G35" s="1527">
        <f t="shared" si="5"/>
        <v>-2.7650967809413562</v>
      </c>
      <c r="H35" s="1529">
        <f>N35*1000/E35</f>
        <v>24.375765246699739</v>
      </c>
      <c r="I35" s="1530"/>
      <c r="J35" s="1531"/>
      <c r="K35" s="1530">
        <f>O35*1000/F35</f>
        <v>23.277363316027675</v>
      </c>
      <c r="L35" s="1530"/>
      <c r="M35" s="1531"/>
      <c r="N35" s="1536">
        <f>N33+N34</f>
        <v>49151.899999999994</v>
      </c>
      <c r="O35" s="1500">
        <f>O33+O34</f>
        <v>45639.199999999997</v>
      </c>
      <c r="P35" s="1527">
        <f t="shared" si="4"/>
        <v>-7.1466209851501095</v>
      </c>
      <c r="Q35" s="124"/>
      <c r="R35" s="57"/>
    </row>
    <row r="36" spans="1:18" ht="11.1" customHeight="1" thickBot="1">
      <c r="A36" s="429"/>
      <c r="B36" s="195"/>
      <c r="C36" s="1489"/>
      <c r="D36" s="1535"/>
      <c r="E36" s="1537"/>
      <c r="F36" s="1538"/>
      <c r="G36" s="1528"/>
      <c r="H36" s="1532">
        <f>O35*1000/F35</f>
        <v>23.277363316027675</v>
      </c>
      <c r="I36" s="1533"/>
      <c r="J36" s="1533"/>
      <c r="K36" s="1533"/>
      <c r="L36" s="1533"/>
      <c r="M36" s="1534"/>
      <c r="N36" s="1537"/>
      <c r="O36" s="1538"/>
      <c r="P36" s="1528"/>
      <c r="Q36" s="124"/>
      <c r="R36" s="57"/>
    </row>
    <row r="37" spans="1:18">
      <c r="A37" s="429"/>
      <c r="B37" s="195"/>
      <c r="C37" s="180" t="s">
        <v>328</v>
      </c>
      <c r="D37" s="670"/>
      <c r="E37" s="431"/>
      <c r="F37" s="431"/>
      <c r="G37" s="431"/>
      <c r="H37" s="431"/>
      <c r="I37" s="431"/>
      <c r="J37" s="431"/>
      <c r="K37" s="431"/>
      <c r="L37" s="431"/>
      <c r="M37" s="431"/>
      <c r="N37" s="431"/>
      <c r="O37" s="431"/>
      <c r="P37" s="431"/>
      <c r="Q37" s="178"/>
      <c r="R37" s="57"/>
    </row>
    <row r="38" spans="1:18">
      <c r="A38" s="429"/>
      <c r="B38" s="429"/>
      <c r="C38" s="429"/>
      <c r="D38" s="430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</row>
    <row r="39" spans="1:18">
      <c r="D39"/>
      <c r="E39"/>
      <c r="F39" s="4"/>
      <c r="G39" s="4"/>
      <c r="H39"/>
      <c r="I39" s="4"/>
      <c r="J39" s="4"/>
      <c r="K39"/>
      <c r="L39" s="4"/>
      <c r="M39" s="4"/>
      <c r="N39"/>
      <c r="O39" s="4"/>
      <c r="P39" s="4"/>
      <c r="Q39"/>
      <c r="R39"/>
    </row>
    <row r="40" spans="1:18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1:18"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8"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8"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8"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8"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8"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8"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8"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4:16"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4:16"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4:16"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4:16"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4:16"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4:16"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4:16"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4:16"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4:16"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4:16"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4:16"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4:16"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4:16"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4:16"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4:16">
      <c r="D63"/>
    </row>
  </sheetData>
  <mergeCells count="32">
    <mergeCell ref="C9:C12"/>
    <mergeCell ref="A1:R1"/>
    <mergeCell ref="H4:M4"/>
    <mergeCell ref="C2:P2"/>
    <mergeCell ref="C3:P3"/>
    <mergeCell ref="C4:D6"/>
    <mergeCell ref="E4:G4"/>
    <mergeCell ref="N4:P4"/>
    <mergeCell ref="E5:G5"/>
    <mergeCell ref="H5:J5"/>
    <mergeCell ref="K5:M5"/>
    <mergeCell ref="N5:P5"/>
    <mergeCell ref="J33:J34"/>
    <mergeCell ref="K33:K34"/>
    <mergeCell ref="L33:L34"/>
    <mergeCell ref="M33:M34"/>
    <mergeCell ref="D35:D36"/>
    <mergeCell ref="C13:C15"/>
    <mergeCell ref="C17:C23"/>
    <mergeCell ref="C33:C36"/>
    <mergeCell ref="H33:H34"/>
    <mergeCell ref="I33:I34"/>
    <mergeCell ref="C30:C32"/>
    <mergeCell ref="N35:N36"/>
    <mergeCell ref="O35:O36"/>
    <mergeCell ref="P35:P36"/>
    <mergeCell ref="H36:M36"/>
    <mergeCell ref="E35:E36"/>
    <mergeCell ref="F35:F36"/>
    <mergeCell ref="G35:G36"/>
    <mergeCell ref="H35:J35"/>
    <mergeCell ref="K35:M35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N76"/>
  <sheetViews>
    <sheetView workbookViewId="0">
      <selection activeCell="R32" sqref="R32"/>
    </sheetView>
  </sheetViews>
  <sheetFormatPr defaultRowHeight="15"/>
  <cols>
    <col min="1" max="1" width="15.7109375" style="28" customWidth="1"/>
    <col min="2" max="2" width="10.28515625" style="28" bestFit="1" customWidth="1"/>
    <col min="3" max="3" width="8.140625" style="28" bestFit="1" customWidth="1"/>
    <col min="4" max="4" width="9.42578125" style="28" customWidth="1"/>
    <col min="5" max="5" width="8.140625" style="28" bestFit="1" customWidth="1"/>
    <col min="6" max="6" width="10.28515625" style="28" bestFit="1" customWidth="1"/>
    <col min="7" max="7" width="8.140625" style="28" bestFit="1" customWidth="1"/>
    <col min="8" max="8" width="9.42578125" style="28" customWidth="1"/>
    <col min="9" max="9" width="8.140625" style="28" bestFit="1" customWidth="1"/>
    <col min="10" max="10" width="9.42578125" style="28" customWidth="1"/>
    <col min="11" max="11" width="8.140625" style="28" bestFit="1" customWidth="1"/>
    <col min="12" max="12" width="9.42578125" style="28" customWidth="1"/>
    <col min="13" max="13" width="8.5703125" style="28" customWidth="1"/>
    <col min="14" max="14" width="8.7109375" style="28" customWidth="1"/>
    <col min="15" max="16384" width="9.140625" style="28"/>
  </cols>
  <sheetData>
    <row r="1" spans="1:14">
      <c r="A1" s="1559" t="s">
        <v>514</v>
      </c>
      <c r="B1" s="1559"/>
      <c r="C1" s="1559"/>
      <c r="D1" s="1559"/>
      <c r="E1" s="1559"/>
      <c r="F1" s="1559"/>
      <c r="G1" s="1559"/>
      <c r="H1" s="1559"/>
      <c r="I1" s="1559"/>
      <c r="J1" s="1559"/>
      <c r="K1" s="1559"/>
      <c r="L1" s="1559"/>
      <c r="M1" s="1559"/>
    </row>
    <row r="2" spans="1:14" ht="15" customHeight="1">
      <c r="A2" s="1560" t="s">
        <v>159</v>
      </c>
      <c r="B2" s="1560"/>
      <c r="C2" s="1560"/>
      <c r="D2" s="1560"/>
      <c r="E2" s="1560"/>
      <c r="F2" s="1560"/>
      <c r="G2" s="1560"/>
      <c r="H2" s="1560"/>
      <c r="I2" s="1560"/>
      <c r="J2" s="1560"/>
      <c r="K2" s="1560"/>
      <c r="L2" s="1560"/>
      <c r="M2" s="1560"/>
    </row>
    <row r="3" spans="1:14" ht="15" customHeight="1">
      <c r="A3" s="1561" t="s">
        <v>160</v>
      </c>
      <c r="B3" s="1561"/>
      <c r="C3" s="1561"/>
      <c r="D3" s="1561"/>
      <c r="E3" s="1561"/>
      <c r="F3" s="1561"/>
      <c r="G3" s="1561"/>
      <c r="H3" s="1561"/>
      <c r="I3" s="1561"/>
      <c r="J3" s="1561"/>
      <c r="K3" s="1561"/>
      <c r="L3" s="1561"/>
      <c r="M3" s="1561"/>
    </row>
    <row r="4" spans="1:14" ht="15" customHeight="1">
      <c r="A4" s="1562" t="s">
        <v>42</v>
      </c>
      <c r="B4" s="1562"/>
      <c r="C4" s="1562"/>
      <c r="D4" s="1562"/>
      <c r="E4" s="1562"/>
      <c r="F4" s="1562"/>
      <c r="G4" s="1562"/>
      <c r="H4" s="1562"/>
      <c r="I4" s="1562"/>
      <c r="J4" s="1562"/>
      <c r="K4" s="1562"/>
      <c r="L4" s="1562"/>
      <c r="M4" s="1562"/>
    </row>
    <row r="5" spans="1:14" ht="15" customHeight="1">
      <c r="A5" s="1563" t="s">
        <v>161</v>
      </c>
      <c r="B5" s="1563"/>
      <c r="C5" s="1563"/>
      <c r="D5" s="1563"/>
      <c r="E5" s="1563"/>
      <c r="F5" s="1563"/>
      <c r="G5" s="1563"/>
      <c r="H5" s="1563"/>
      <c r="I5" s="1563"/>
      <c r="J5" s="1563"/>
      <c r="K5" s="1563"/>
      <c r="L5" s="1563"/>
      <c r="M5" s="1563"/>
    </row>
    <row r="6" spans="1:14" ht="15" customHeight="1">
      <c r="A6" s="1558" t="s">
        <v>162</v>
      </c>
      <c r="B6" s="1558"/>
      <c r="C6" s="1558"/>
      <c r="D6" s="1558"/>
      <c r="E6" s="1558"/>
      <c r="F6" s="1558"/>
      <c r="G6" s="1558"/>
      <c r="H6" s="1558"/>
      <c r="I6" s="1558"/>
      <c r="J6" s="1558"/>
      <c r="K6" s="1558"/>
      <c r="L6" s="1558"/>
      <c r="M6" s="1558"/>
    </row>
    <row r="7" spans="1:14" ht="15" customHeight="1">
      <c r="A7" s="1553" t="s">
        <v>163</v>
      </c>
      <c r="B7" s="1554" t="s">
        <v>439</v>
      </c>
      <c r="C7" s="1554"/>
      <c r="D7" s="1554" t="s">
        <v>203</v>
      </c>
      <c r="E7" s="1554"/>
      <c r="F7" s="1554" t="s">
        <v>165</v>
      </c>
      <c r="G7" s="1554"/>
      <c r="H7" s="1555" t="s">
        <v>166</v>
      </c>
      <c r="I7" s="1556"/>
      <c r="J7" s="1555" t="s">
        <v>31</v>
      </c>
      <c r="K7" s="1556"/>
      <c r="L7" s="1555" t="s">
        <v>167</v>
      </c>
      <c r="M7" s="1557"/>
    </row>
    <row r="8" spans="1:14" ht="15" customHeight="1">
      <c r="A8" s="1553"/>
      <c r="B8" s="30" t="s">
        <v>16</v>
      </c>
      <c r="C8" s="31" t="s">
        <v>168</v>
      </c>
      <c r="D8" s="30" t="s">
        <v>16</v>
      </c>
      <c r="E8" s="31" t="s">
        <v>168</v>
      </c>
      <c r="F8" s="30" t="s">
        <v>16</v>
      </c>
      <c r="G8" s="31" t="s">
        <v>168</v>
      </c>
      <c r="H8" s="30" t="s">
        <v>16</v>
      </c>
      <c r="I8" s="31" t="s">
        <v>168</v>
      </c>
      <c r="J8" s="30" t="s">
        <v>16</v>
      </c>
      <c r="K8" s="31" t="s">
        <v>168</v>
      </c>
      <c r="L8" s="30" t="s">
        <v>16</v>
      </c>
      <c r="M8" s="32" t="s">
        <v>168</v>
      </c>
    </row>
    <row r="9" spans="1:14" ht="14.1" customHeight="1">
      <c r="A9" s="333" t="s">
        <v>169</v>
      </c>
      <c r="B9" s="33">
        <v>43200</v>
      </c>
      <c r="C9" s="34">
        <f>(B9/B26)*100</f>
        <v>30.125523012552303</v>
      </c>
      <c r="D9" s="33">
        <v>45346</v>
      </c>
      <c r="E9" s="34">
        <f>(D9/D26)*100</f>
        <v>31.967571378216427</v>
      </c>
      <c r="F9" s="33">
        <v>49152</v>
      </c>
      <c r="G9" s="34">
        <f>(F9/F26)*100</f>
        <v>33.49483798425841</v>
      </c>
      <c r="H9" s="33">
        <v>50826</v>
      </c>
      <c r="I9" s="34">
        <f>(H9/H26)*100</f>
        <v>34.44382700153156</v>
      </c>
      <c r="J9" s="33">
        <v>43484</v>
      </c>
      <c r="K9" s="34">
        <f>(J9/J26)*100</f>
        <v>31.837051463212845</v>
      </c>
      <c r="L9" s="33">
        <v>48095</v>
      </c>
      <c r="M9" s="35">
        <f>(L9/L26)*100</f>
        <v>35.990900315046659</v>
      </c>
      <c r="N9" s="36"/>
    </row>
    <row r="10" spans="1:14" ht="14.1" customHeight="1">
      <c r="A10" s="334" t="s">
        <v>170</v>
      </c>
      <c r="B10" s="37">
        <v>27500</v>
      </c>
      <c r="C10" s="34">
        <f>(B10/B26)*100</f>
        <v>19.177126917712691</v>
      </c>
      <c r="D10" s="37">
        <v>27500</v>
      </c>
      <c r="E10" s="34">
        <f>(D10/D26)*100</f>
        <v>19.386676066267185</v>
      </c>
      <c r="F10" s="37">
        <v>27500</v>
      </c>
      <c r="G10" s="34">
        <f>(F10/F26)*100</f>
        <v>18.739991141095096</v>
      </c>
      <c r="H10" s="37">
        <v>25000</v>
      </c>
      <c r="I10" s="34">
        <f>(H10/H26)*100</f>
        <v>16.942031146230061</v>
      </c>
      <c r="J10" s="37">
        <v>26500</v>
      </c>
      <c r="K10" s="34">
        <f>(J10/J26)*100</f>
        <v>19.402121786752378</v>
      </c>
      <c r="L10" s="37">
        <v>20000</v>
      </c>
      <c r="M10" s="35">
        <f>(L10/L26)*100</f>
        <v>14.966587094311947</v>
      </c>
    </row>
    <row r="11" spans="1:14" ht="14.1" customHeight="1">
      <c r="A11" s="335" t="s">
        <v>171</v>
      </c>
      <c r="B11" s="37">
        <v>13500</v>
      </c>
      <c r="C11" s="34">
        <f>(B11/B26)*100</f>
        <v>9.4142259414225933</v>
      </c>
      <c r="D11" s="37">
        <v>12500</v>
      </c>
      <c r="E11" s="34">
        <f>(D11/D26)*100</f>
        <v>8.8121254846669022</v>
      </c>
      <c r="F11" s="37">
        <v>12124</v>
      </c>
      <c r="G11" s="34">
        <f>(F11/F26)*100</f>
        <v>8.261951003441343</v>
      </c>
      <c r="H11" s="37">
        <v>9927</v>
      </c>
      <c r="I11" s="34">
        <f>(H11/H26)*100</f>
        <v>6.7273417275450313</v>
      </c>
      <c r="J11" s="37">
        <v>7652</v>
      </c>
      <c r="K11" s="34">
        <f>(J11/J26)*100</f>
        <v>5.6024541853671392</v>
      </c>
      <c r="L11" s="37">
        <v>8523</v>
      </c>
      <c r="M11" s="35">
        <f>(L11/L26)*100</f>
        <v>6.3780110902410367</v>
      </c>
      <c r="N11" s="50"/>
    </row>
    <row r="12" spans="1:14" ht="14.1" customHeight="1">
      <c r="A12" s="335" t="s">
        <v>172</v>
      </c>
      <c r="B12" s="37">
        <v>11000</v>
      </c>
      <c r="C12" s="34">
        <f>(B12/B26)*100</f>
        <v>7.670850767085077</v>
      </c>
      <c r="D12" s="37">
        <v>9000</v>
      </c>
      <c r="E12" s="34">
        <f>(D12/D26)*100</f>
        <v>6.3447303489601685</v>
      </c>
      <c r="F12" s="37">
        <v>11667</v>
      </c>
      <c r="G12" s="34">
        <f>(F12/F26)*100</f>
        <v>7.950526423387509</v>
      </c>
      <c r="H12" s="37">
        <v>13048</v>
      </c>
      <c r="I12" s="34">
        <f>(H12/H26)*100</f>
        <v>8.842384895840393</v>
      </c>
      <c r="J12" s="37">
        <v>7288</v>
      </c>
      <c r="K12" s="34">
        <f>(J12/J26)*100</f>
        <v>5.3359495691264653</v>
      </c>
      <c r="L12" s="37">
        <v>9129</v>
      </c>
      <c r="M12" s="35">
        <f>(L12/L26)*100</f>
        <v>6.8314986791986883</v>
      </c>
    </row>
    <row r="13" spans="1:14" ht="14.1" customHeight="1">
      <c r="A13" s="335" t="s">
        <v>173</v>
      </c>
      <c r="B13" s="37">
        <v>6400</v>
      </c>
      <c r="C13" s="34">
        <f>(B13/B26)*100</f>
        <v>4.4630404463040447</v>
      </c>
      <c r="D13" s="37">
        <v>6625</v>
      </c>
      <c r="E13" s="34">
        <f>(D13/D26)*100</f>
        <v>4.6704265068734578</v>
      </c>
      <c r="F13" s="37">
        <v>6527</v>
      </c>
      <c r="G13" s="34">
        <f>(F13/F26)*100</f>
        <v>4.4478517155610069</v>
      </c>
      <c r="H13" s="37">
        <v>6233</v>
      </c>
      <c r="I13" s="34">
        <f>(H13/H26)*100</f>
        <v>4.2239872053780783</v>
      </c>
      <c r="J13" s="37">
        <v>6798</v>
      </c>
      <c r="K13" s="34">
        <f>(J13/J26)*100</f>
        <v>4.9771933549563263</v>
      </c>
      <c r="L13" s="37">
        <v>7500</v>
      </c>
      <c r="M13" s="35">
        <f>(L13/L26)*100</f>
        <v>5.6124701603669811</v>
      </c>
    </row>
    <row r="14" spans="1:14" ht="14.1" customHeight="1">
      <c r="A14" s="335" t="s">
        <v>174</v>
      </c>
      <c r="B14" s="37">
        <v>5800</v>
      </c>
      <c r="C14" s="34">
        <f>(B14/B26)*100</f>
        <v>4.0446304044630406</v>
      </c>
      <c r="D14" s="37">
        <v>5517</v>
      </c>
      <c r="E14" s="34">
        <f>(D14/D26)*100</f>
        <v>3.8893197039125837</v>
      </c>
      <c r="F14" s="37">
        <v>5075</v>
      </c>
      <c r="G14" s="34">
        <f>(F14/F26)*100</f>
        <v>3.4583801833111862</v>
      </c>
      <c r="H14" s="37">
        <v>4977</v>
      </c>
      <c r="I14" s="34">
        <f>(H14/H26)*100</f>
        <v>3.3728195605914801</v>
      </c>
      <c r="J14" s="37">
        <v>4921</v>
      </c>
      <c r="K14" s="34">
        <f>(J14/J26)*100</f>
        <v>3.6029374080229601</v>
      </c>
      <c r="L14" s="37">
        <v>4728</v>
      </c>
      <c r="M14" s="35">
        <f>(L14/L26)*100</f>
        <v>3.5381011890953449</v>
      </c>
    </row>
    <row r="15" spans="1:14" ht="14.1" customHeight="1">
      <c r="A15" s="335" t="s">
        <v>176</v>
      </c>
      <c r="B15" s="37">
        <v>5800</v>
      </c>
      <c r="C15" s="34">
        <f>(B15/B26)*100</f>
        <v>4.0446304044630406</v>
      </c>
      <c r="D15" s="37">
        <v>5400</v>
      </c>
      <c r="E15" s="34">
        <f>(D15/D26)*100</f>
        <v>3.8068382093761017</v>
      </c>
      <c r="F15" s="37">
        <v>4568</v>
      </c>
      <c r="G15" s="34">
        <f>(F15/F26)*100</f>
        <v>3.112882892091724</v>
      </c>
      <c r="H15" s="37">
        <v>4537</v>
      </c>
      <c r="I15" s="34">
        <f>(H15/H26)*100</f>
        <v>3.0746398124178311</v>
      </c>
      <c r="J15" s="37">
        <v>5903</v>
      </c>
      <c r="K15" s="34">
        <f>(J15/J26)*100</f>
        <v>4.3219141474414826</v>
      </c>
      <c r="L15" s="37">
        <v>4331</v>
      </c>
      <c r="M15" s="35">
        <f>(L15/L26)*100</f>
        <v>3.2410144352732524</v>
      </c>
    </row>
    <row r="16" spans="1:14" ht="14.1" customHeight="1">
      <c r="A16" s="335" t="s">
        <v>177</v>
      </c>
      <c r="B16" s="37">
        <v>3900</v>
      </c>
      <c r="C16" s="34">
        <f>(B16/B26)*100</f>
        <v>2.7196652719665275</v>
      </c>
      <c r="D16" s="37">
        <v>3900</v>
      </c>
      <c r="E16" s="34">
        <f>(D16/D26)*100</f>
        <v>2.7493831512160734</v>
      </c>
      <c r="F16" s="37">
        <v>3916</v>
      </c>
      <c r="G16" s="34">
        <f>(F16/F26)*100</f>
        <v>2.6685747384919418</v>
      </c>
      <c r="H16" s="37">
        <v>4327</v>
      </c>
      <c r="I16" s="34">
        <f>(H16/H26)*100</f>
        <v>2.9323267507894988</v>
      </c>
      <c r="J16" s="37">
        <v>4563</v>
      </c>
      <c r="K16" s="34">
        <f>(J16/J26)*100</f>
        <v>3.340825725017023</v>
      </c>
      <c r="L16" s="37">
        <v>4001</v>
      </c>
      <c r="M16" s="35">
        <f>(L16/L26)*100</f>
        <v>2.9940657482171051</v>
      </c>
    </row>
    <row r="17" spans="1:13" ht="14.1" customHeight="1">
      <c r="A17" s="335" t="s">
        <v>178</v>
      </c>
      <c r="B17" s="37">
        <v>4800</v>
      </c>
      <c r="C17" s="34">
        <f>(B17/B26)*100</f>
        <v>3.3472803347280333</v>
      </c>
      <c r="D17" s="37">
        <v>3800</v>
      </c>
      <c r="E17" s="34">
        <f>(D17/D26)*100</f>
        <v>2.678886147338738</v>
      </c>
      <c r="F17" s="37">
        <v>3602</v>
      </c>
      <c r="G17" s="34">
        <f>(F17/F26)*100</f>
        <v>2.4545981123718015</v>
      </c>
      <c r="H17" s="37">
        <v>3878</v>
      </c>
      <c r="I17" s="34">
        <f>(H17/H26)*100</f>
        <v>2.6280478714032069</v>
      </c>
      <c r="J17" s="37">
        <v>3075</v>
      </c>
      <c r="K17" s="34">
        <f>(J17/J26)*100</f>
        <v>2.2513782828023987</v>
      </c>
      <c r="L17" s="37">
        <v>3223</v>
      </c>
      <c r="M17" s="35">
        <f>(L17/L26)*100</f>
        <v>2.4118655102483704</v>
      </c>
    </row>
    <row r="18" spans="1:13" ht="14.1" customHeight="1">
      <c r="A18" s="335" t="s">
        <v>179</v>
      </c>
      <c r="B18" s="37">
        <v>3400</v>
      </c>
      <c r="C18" s="34">
        <f>(B18/B26)*100</f>
        <v>2.3709902370990235</v>
      </c>
      <c r="D18" s="37">
        <v>3500</v>
      </c>
      <c r="E18" s="34">
        <f>(D18/D26)*100</f>
        <v>2.4673951357067323</v>
      </c>
      <c r="F18" s="37">
        <v>3159</v>
      </c>
      <c r="G18" s="34">
        <f>(F18/F26)*100</f>
        <v>2.1527138914443422</v>
      </c>
      <c r="H18" s="37">
        <v>3743</v>
      </c>
      <c r="I18" s="34">
        <f>(H18/H26)*100</f>
        <v>2.5365609032135645</v>
      </c>
      <c r="J18" s="37">
        <v>3840</v>
      </c>
      <c r="K18" s="34">
        <f>(J18/J26)*100</f>
        <v>2.8114772702312876</v>
      </c>
      <c r="L18" s="37">
        <v>3950</v>
      </c>
      <c r="M18" s="35">
        <f>(L18/L26)*100</f>
        <v>2.9559009511266101</v>
      </c>
    </row>
    <row r="19" spans="1:13" ht="14.1" customHeight="1">
      <c r="A19" s="335" t="s">
        <v>175</v>
      </c>
      <c r="B19" s="37">
        <v>3200</v>
      </c>
      <c r="C19" s="34">
        <f>(B19/B26)*100</f>
        <v>2.2315202231520224</v>
      </c>
      <c r="D19" s="37">
        <v>3400</v>
      </c>
      <c r="E19" s="34">
        <f>(D19/D26)*100</f>
        <v>2.3968981318293969</v>
      </c>
      <c r="F19" s="37">
        <v>4338</v>
      </c>
      <c r="G19" s="34">
        <f>(F19/F26)*100</f>
        <v>2.9561484207298374</v>
      </c>
      <c r="H19" s="37">
        <v>4453</v>
      </c>
      <c r="I19" s="34">
        <f>(H19/H26)*100</f>
        <v>3.0177145877664979</v>
      </c>
      <c r="J19" s="37">
        <v>5373</v>
      </c>
      <c r="K19" s="34">
        <f>(J19/J26)*100</f>
        <v>3.9338717117064346</v>
      </c>
      <c r="L19" s="37">
        <v>4069</v>
      </c>
      <c r="M19" s="35">
        <f>(L19/L26)*100</f>
        <v>3.0449521443377656</v>
      </c>
    </row>
    <row r="20" spans="1:13" ht="14.1" customHeight="1">
      <c r="A20" s="335" t="s">
        <v>180</v>
      </c>
      <c r="B20" s="37">
        <v>1800</v>
      </c>
      <c r="C20" s="34">
        <f>(B20/B26)*100</f>
        <v>1.2552301255230125</v>
      </c>
      <c r="D20" s="37">
        <v>2175</v>
      </c>
      <c r="E20" s="34">
        <f>(D20/D26)*100</f>
        <v>1.5333098343320408</v>
      </c>
      <c r="F20" s="37">
        <v>1923</v>
      </c>
      <c r="G20" s="34">
        <f>(F20/F26)*100</f>
        <v>1.3104364714300316</v>
      </c>
      <c r="H20" s="37">
        <v>2046</v>
      </c>
      <c r="I20" s="34">
        <f>(H20/H26)*100</f>
        <v>1.3865358290074681</v>
      </c>
      <c r="J20" s="37">
        <v>1886</v>
      </c>
      <c r="K20" s="34">
        <f>(J20/J26)*100</f>
        <v>1.3808453467854711</v>
      </c>
      <c r="L20" s="37">
        <v>982</v>
      </c>
      <c r="M20" s="35">
        <f>(L20/L26)*100</f>
        <v>0.73485942633071666</v>
      </c>
    </row>
    <row r="21" spans="1:13" ht="14.1" customHeight="1">
      <c r="A21" s="335" t="s">
        <v>181</v>
      </c>
      <c r="B21" s="37">
        <v>2000</v>
      </c>
      <c r="C21" s="34">
        <f>(B21/B26)*100</f>
        <v>1.394700139470014</v>
      </c>
      <c r="D21" s="37">
        <v>2000</v>
      </c>
      <c r="E21" s="34">
        <f>(D21/D26)*100</f>
        <v>1.4099400775467044</v>
      </c>
      <c r="F21" s="37">
        <v>2017</v>
      </c>
      <c r="G21" s="34">
        <f>(F21/F26)*100</f>
        <v>1.3744931684214112</v>
      </c>
      <c r="H21" s="37">
        <v>1890</v>
      </c>
      <c r="I21" s="34">
        <f>(H21/H26)*100</f>
        <v>1.2808175546549925</v>
      </c>
      <c r="J21" s="37">
        <v>2193</v>
      </c>
      <c r="K21" s="34">
        <f>(J21/J26)*100</f>
        <v>1.6056170972961499</v>
      </c>
      <c r="L21" s="37">
        <v>1634</v>
      </c>
      <c r="M21" s="35">
        <f>(L21/L26)*100</f>
        <v>1.2227701656052863</v>
      </c>
    </row>
    <row r="22" spans="1:13" ht="14.1" customHeight="1">
      <c r="A22" s="335" t="s">
        <v>182</v>
      </c>
      <c r="B22" s="37">
        <v>1508</v>
      </c>
      <c r="C22" s="34">
        <f>(B22/B26)*100</f>
        <v>1.0516039051603905</v>
      </c>
      <c r="D22" s="37">
        <v>1508</v>
      </c>
      <c r="E22" s="34">
        <f>(D22/D26)*100</f>
        <v>1.0630948184702151</v>
      </c>
      <c r="F22" s="37">
        <v>1444</v>
      </c>
      <c r="G22" s="34">
        <f>(F22/F26)*100</f>
        <v>0.98401989846332083</v>
      </c>
      <c r="H22" s="37">
        <v>1571</v>
      </c>
      <c r="I22" s="34">
        <f>(H22/H26)*100</f>
        <v>1.0646372372290971</v>
      </c>
      <c r="J22" s="37">
        <v>1462</v>
      </c>
      <c r="K22" s="34">
        <f>(J22/J26)*100</f>
        <v>1.070411398197433</v>
      </c>
      <c r="L22" s="37">
        <v>1392</v>
      </c>
      <c r="M22" s="35">
        <f>(L22/L26)*100</f>
        <v>1.0416744617641116</v>
      </c>
    </row>
    <row r="23" spans="1:13" ht="14.1" customHeight="1">
      <c r="A23" s="335" t="s">
        <v>183</v>
      </c>
      <c r="B23" s="37">
        <v>680</v>
      </c>
      <c r="C23" s="34">
        <f>(B23/B26)*100</f>
        <v>0.47419804741980476</v>
      </c>
      <c r="D23" s="37">
        <v>680</v>
      </c>
      <c r="E23" s="34">
        <f>(D23/D26)*100</f>
        <v>0.4793796263658795</v>
      </c>
      <c r="F23" s="37">
        <v>537</v>
      </c>
      <c r="G23" s="34">
        <f>(F23/F26)*100</f>
        <v>0.36594091791883876</v>
      </c>
      <c r="H23" s="37">
        <v>1235</v>
      </c>
      <c r="I23" s="34">
        <f>(H23/H26)*100</f>
        <v>0.83693633862376493</v>
      </c>
      <c r="J23" s="37">
        <v>1152</v>
      </c>
      <c r="K23" s="34">
        <f>(J23/J26)*100</f>
        <v>0.84344318106938632</v>
      </c>
      <c r="L23" s="37">
        <v>1814</v>
      </c>
      <c r="M23" s="35">
        <f>(L23/L26)*100</f>
        <v>1.3574694494540938</v>
      </c>
    </row>
    <row r="24" spans="1:13" ht="15" hidden="1" customHeight="1">
      <c r="A24" s="335"/>
      <c r="B24" s="37">
        <f>SUM(B9:B23)</f>
        <v>134488</v>
      </c>
      <c r="C24" s="334"/>
      <c r="D24" s="37">
        <f>SUM(D9:D23)</f>
        <v>132851</v>
      </c>
      <c r="E24" s="334"/>
      <c r="F24" s="37">
        <f>SUM(F9:F23)</f>
        <v>137549</v>
      </c>
      <c r="G24" s="334"/>
      <c r="H24" s="37">
        <f>SUM(H9:H23)</f>
        <v>137691</v>
      </c>
      <c r="I24" s="334"/>
      <c r="J24" s="37">
        <f>SUM(J9:J23)</f>
        <v>126090</v>
      </c>
      <c r="K24" s="334"/>
      <c r="L24" s="37">
        <f>SUM(L9:L23)</f>
        <v>123371</v>
      </c>
      <c r="M24" s="335"/>
    </row>
    <row r="25" spans="1:13">
      <c r="A25" s="335" t="s">
        <v>184</v>
      </c>
      <c r="B25" s="38">
        <f>B26-B24</f>
        <v>8912</v>
      </c>
      <c r="C25" s="39">
        <f>(B25/B26)*100</f>
        <v>6.2147838214783819</v>
      </c>
      <c r="D25" s="38">
        <f>D26-D24</f>
        <v>8999</v>
      </c>
      <c r="E25" s="39">
        <f>(D25/D26)*100</f>
        <v>6.3440253789213958</v>
      </c>
      <c r="F25" s="38">
        <f>F26-F24</f>
        <v>9196</v>
      </c>
      <c r="G25" s="39">
        <f>(F25/F26)*100</f>
        <v>6.2666530375822012</v>
      </c>
      <c r="H25" s="38">
        <f>H26-H24</f>
        <v>9871</v>
      </c>
      <c r="I25" s="39">
        <f>(H25/H26)*100</f>
        <v>6.6893915777774762</v>
      </c>
      <c r="J25" s="38">
        <f>J26-J24</f>
        <v>10493</v>
      </c>
      <c r="K25" s="39">
        <f>(J25/J26)*100</f>
        <v>7.6825080720148193</v>
      </c>
      <c r="L25" s="38">
        <f>L26-L24</f>
        <v>10260</v>
      </c>
      <c r="M25" s="40">
        <f>(L25/L26)*100</f>
        <v>7.677859179382029</v>
      </c>
    </row>
    <row r="26" spans="1:13" ht="18" customHeight="1">
      <c r="A26" s="336" t="s">
        <v>115</v>
      </c>
      <c r="B26" s="337">
        <v>143400</v>
      </c>
      <c r="C26" s="338">
        <f>SUM(C9:C25)</f>
        <v>99.999999999999986</v>
      </c>
      <c r="D26" s="337">
        <v>141850</v>
      </c>
      <c r="E26" s="338">
        <f>SUM(E9:E25)</f>
        <v>100.00000000000004</v>
      </c>
      <c r="F26" s="337">
        <v>146745</v>
      </c>
      <c r="G26" s="338">
        <f>SUM(G9:G25)</f>
        <v>99.999999999999986</v>
      </c>
      <c r="H26" s="337">
        <v>147562</v>
      </c>
      <c r="I26" s="338">
        <f>SUM(I9:I25)</f>
        <v>99.999999999999986</v>
      </c>
      <c r="J26" s="337">
        <v>136583</v>
      </c>
      <c r="K26" s="338">
        <f>SUM(K9:K25)</f>
        <v>99.999999999999972</v>
      </c>
      <c r="L26" s="337">
        <v>133631</v>
      </c>
      <c r="M26" s="339">
        <f>SUM(M9:M25)</f>
        <v>100.00000000000003</v>
      </c>
    </row>
    <row r="27" spans="1:13" ht="15" customHeight="1">
      <c r="A27" s="340" t="s">
        <v>185</v>
      </c>
      <c r="B27" s="340"/>
      <c r="C27" s="340"/>
      <c r="D27" s="41"/>
      <c r="E27" s="41"/>
      <c r="F27" s="26"/>
      <c r="G27" s="26"/>
      <c r="H27" s="26"/>
      <c r="I27" s="26"/>
      <c r="J27" s="26"/>
      <c r="K27" s="26"/>
      <c r="L27" s="26"/>
      <c r="M27" s="26"/>
    </row>
    <row r="28" spans="1:13" ht="9" customHeight="1">
      <c r="A28" s="42"/>
      <c r="B28" s="42"/>
      <c r="C28" s="42"/>
      <c r="D28" s="41"/>
      <c r="E28" s="41"/>
      <c r="F28" s="26"/>
      <c r="G28" s="26"/>
      <c r="H28" s="26"/>
      <c r="I28" s="26"/>
      <c r="J28" s="26"/>
      <c r="K28" s="26"/>
      <c r="L28" s="26"/>
      <c r="M28" s="26"/>
    </row>
    <row r="29" spans="1:13" ht="15" customHeight="1">
      <c r="A29" s="1550" t="s">
        <v>187</v>
      </c>
      <c r="B29" s="1550"/>
      <c r="C29" s="1550"/>
      <c r="D29" s="1551"/>
      <c r="E29" s="1551"/>
      <c r="F29" s="1551"/>
      <c r="G29" s="1551"/>
      <c r="H29" s="1551"/>
      <c r="I29" s="1551"/>
      <c r="J29" s="1551"/>
      <c r="K29" s="1551"/>
      <c r="L29" s="1551"/>
      <c r="M29" s="1552"/>
    </row>
    <row r="30" spans="1:13" ht="15" customHeight="1">
      <c r="A30" s="1553" t="s">
        <v>163</v>
      </c>
      <c r="B30" s="1554" t="s">
        <v>439</v>
      </c>
      <c r="C30" s="1554"/>
      <c r="D30" s="1554" t="s">
        <v>203</v>
      </c>
      <c r="E30" s="1554"/>
      <c r="F30" s="1554" t="s">
        <v>165</v>
      </c>
      <c r="G30" s="1554"/>
      <c r="H30" s="1555" t="s">
        <v>166</v>
      </c>
      <c r="I30" s="1556"/>
      <c r="J30" s="1555" t="s">
        <v>31</v>
      </c>
      <c r="K30" s="1556"/>
      <c r="L30" s="1555" t="s">
        <v>167</v>
      </c>
      <c r="M30" s="1557"/>
    </row>
    <row r="31" spans="1:13" ht="15" customHeight="1">
      <c r="A31" s="1553"/>
      <c r="B31" s="30" t="s">
        <v>18</v>
      </c>
      <c r="C31" s="30" t="s">
        <v>168</v>
      </c>
      <c r="D31" s="30" t="s">
        <v>18</v>
      </c>
      <c r="E31" s="30" t="s">
        <v>168</v>
      </c>
      <c r="F31" s="30" t="s">
        <v>18</v>
      </c>
      <c r="G31" s="30" t="s">
        <v>168</v>
      </c>
      <c r="H31" s="30" t="s">
        <v>18</v>
      </c>
      <c r="I31" s="30" t="s">
        <v>168</v>
      </c>
      <c r="J31" s="30" t="s">
        <v>18</v>
      </c>
      <c r="K31" s="30" t="s">
        <v>168</v>
      </c>
      <c r="L31" s="30" t="s">
        <v>18</v>
      </c>
      <c r="M31" s="43" t="s">
        <v>168</v>
      </c>
    </row>
    <row r="32" spans="1:13" ht="14.1" customHeight="1">
      <c r="A32" s="341" t="s">
        <v>169</v>
      </c>
      <c r="B32" s="33">
        <v>37100</v>
      </c>
      <c r="C32" s="44">
        <f>(B32/B49)*100</f>
        <v>33.483754512635379</v>
      </c>
      <c r="D32" s="33">
        <v>36735</v>
      </c>
      <c r="E32" s="44">
        <f>(D32/D49)*100</f>
        <v>32.878956036087644</v>
      </c>
      <c r="F32" s="33">
        <v>32010</v>
      </c>
      <c r="G32" s="44">
        <f>(F32/F49)*100</f>
        <v>28.816809355335295</v>
      </c>
      <c r="H32" s="33">
        <v>28735</v>
      </c>
      <c r="I32" s="44">
        <f>(H32/H49)*100</f>
        <v>25.393921719381034</v>
      </c>
      <c r="J32" s="33">
        <v>33610</v>
      </c>
      <c r="K32" s="44">
        <f>(J32/J49)*100</f>
        <v>32.140227400954359</v>
      </c>
      <c r="L32" s="33">
        <v>33494</v>
      </c>
      <c r="M32" s="45">
        <f>(L32/L49)*100</f>
        <v>34.555902895993889</v>
      </c>
    </row>
    <row r="33" spans="1:13" ht="14.1" customHeight="1">
      <c r="A33" s="334" t="s">
        <v>170</v>
      </c>
      <c r="B33" s="46">
        <v>20200</v>
      </c>
      <c r="C33" s="34">
        <f>(B33/B49)*100</f>
        <v>18.231046931407942</v>
      </c>
      <c r="D33" s="46">
        <v>25000</v>
      </c>
      <c r="E33" s="34">
        <f>(D33/D49)*100</f>
        <v>22.375769726478591</v>
      </c>
      <c r="F33" s="46">
        <v>20475</v>
      </c>
      <c r="G33" s="34">
        <f>(F33/F49)*100</f>
        <v>18.43249520620088</v>
      </c>
      <c r="H33" s="46">
        <v>25475</v>
      </c>
      <c r="I33" s="34">
        <f>(H33/H49)*100</f>
        <v>22.512968707194428</v>
      </c>
      <c r="J33" s="46">
        <v>17675</v>
      </c>
      <c r="K33" s="34">
        <f>(J33/J49)*100</f>
        <v>16.902068411540263</v>
      </c>
      <c r="L33" s="46">
        <v>14229</v>
      </c>
      <c r="M33" s="35">
        <f>(L33/L49)*100</f>
        <v>14.680120090377294</v>
      </c>
    </row>
    <row r="34" spans="1:13" ht="14.1" customHeight="1">
      <c r="A34" s="334" t="s">
        <v>171</v>
      </c>
      <c r="B34" s="46">
        <v>12300</v>
      </c>
      <c r="C34" s="34">
        <f>(B34/B49)*100</f>
        <v>11.101083032490974</v>
      </c>
      <c r="D34" s="46">
        <v>10954</v>
      </c>
      <c r="E34" s="34">
        <f>(D34/D49)*100</f>
        <v>9.8041672633538592</v>
      </c>
      <c r="F34" s="46">
        <v>9670</v>
      </c>
      <c r="G34" s="34">
        <f>(F34/F49)*100</f>
        <v>8.7053591523302813</v>
      </c>
      <c r="H34" s="46">
        <v>7170</v>
      </c>
      <c r="I34" s="34">
        <f>(H34/H49)*100</f>
        <v>6.3363291709748397</v>
      </c>
      <c r="J34" s="46">
        <v>7734</v>
      </c>
      <c r="K34" s="34">
        <f>(J34/J49)*100</f>
        <v>7.395790500415977</v>
      </c>
      <c r="L34" s="46">
        <v>7822</v>
      </c>
      <c r="M34" s="35">
        <f>(L34/L49)*100</f>
        <v>8.069990817831977</v>
      </c>
    </row>
    <row r="35" spans="1:13" ht="14.1" customHeight="1">
      <c r="A35" s="334" t="s">
        <v>174</v>
      </c>
      <c r="B35" s="46">
        <v>5100</v>
      </c>
      <c r="C35" s="34">
        <f>(B35/B49)*100</f>
        <v>4.6028880866425999</v>
      </c>
      <c r="D35" s="46">
        <v>5131</v>
      </c>
      <c r="E35" s="34">
        <f>(D35/D49)*100</f>
        <v>4.5924029786624656</v>
      </c>
      <c r="F35" s="46">
        <v>4963</v>
      </c>
      <c r="G35" s="34">
        <f>(F35/F49)*100</f>
        <v>4.4679108038278379</v>
      </c>
      <c r="H35" s="46">
        <v>5288</v>
      </c>
      <c r="I35" s="34">
        <f>(H35/H49)*100</f>
        <v>4.6731532295836757</v>
      </c>
      <c r="J35" s="46">
        <v>5840</v>
      </c>
      <c r="K35" s="34">
        <f>(J35/J49)*100</f>
        <v>5.5846155317338129</v>
      </c>
      <c r="L35" s="46">
        <v>4631</v>
      </c>
      <c r="M35" s="35">
        <f>(L35/L49)*100</f>
        <v>4.7778224849629103</v>
      </c>
    </row>
    <row r="36" spans="1:13" ht="14.1" customHeight="1">
      <c r="A36" s="334" t="s">
        <v>172</v>
      </c>
      <c r="B36" s="46">
        <v>6600</v>
      </c>
      <c r="C36" s="34">
        <f>(B36/B49)*100</f>
        <v>5.9566787003610111</v>
      </c>
      <c r="D36" s="46">
        <v>4548</v>
      </c>
      <c r="E36" s="34">
        <f>(D36/D49)*100</f>
        <v>4.0706000286409854</v>
      </c>
      <c r="F36" s="46">
        <v>10882</v>
      </c>
      <c r="G36" s="34">
        <f>(F36/F49)*100</f>
        <v>9.7964548392614397</v>
      </c>
      <c r="H36" s="46">
        <v>10940</v>
      </c>
      <c r="I36" s="34">
        <f>(H36/H49)*100</f>
        <v>9.6679834212642621</v>
      </c>
      <c r="J36" s="46">
        <v>6185</v>
      </c>
      <c r="K36" s="34">
        <f>(J36/J49)*100</f>
        <v>5.9145286068105536</v>
      </c>
      <c r="L36" s="46">
        <v>5489</v>
      </c>
      <c r="M36" s="35">
        <f>(L36/L49)*100</f>
        <v>5.6630247505854925</v>
      </c>
    </row>
    <row r="37" spans="1:13" ht="14.1" customHeight="1">
      <c r="A37" s="334" t="s">
        <v>176</v>
      </c>
      <c r="B37" s="37">
        <v>5000</v>
      </c>
      <c r="C37" s="34">
        <f>(B37/B49)*100</f>
        <v>4.512635379061372</v>
      </c>
      <c r="D37" s="37">
        <v>4261</v>
      </c>
      <c r="E37" s="34">
        <f>(D37/D49)*100</f>
        <v>3.8137261921810115</v>
      </c>
      <c r="F37" s="37">
        <v>4185</v>
      </c>
      <c r="G37" s="34">
        <f>(F37/F49)*100</f>
        <v>3.7675209981905091</v>
      </c>
      <c r="H37" s="37">
        <v>5508</v>
      </c>
      <c r="I37" s="34">
        <f>(H37/H49)*100</f>
        <v>4.8675733715103791</v>
      </c>
      <c r="J37" s="37">
        <v>3947</v>
      </c>
      <c r="K37" s="34">
        <f>(J37/J49)*100</f>
        <v>3.774396832834479</v>
      </c>
      <c r="L37" s="37">
        <v>3349</v>
      </c>
      <c r="M37" s="35">
        <f>(L37/L49)*100</f>
        <v>3.4551776078904743</v>
      </c>
    </row>
    <row r="38" spans="1:13" ht="14.1" customHeight="1">
      <c r="A38" s="334" t="s">
        <v>178</v>
      </c>
      <c r="B38" s="37">
        <v>3500</v>
      </c>
      <c r="C38" s="34">
        <f>(B38/B49)*100</f>
        <v>3.1588447653429599</v>
      </c>
      <c r="D38" s="37">
        <v>3442</v>
      </c>
      <c r="E38" s="34">
        <f>(D38/D49)*100</f>
        <v>3.0806959759415724</v>
      </c>
      <c r="F38" s="37">
        <v>3672</v>
      </c>
      <c r="G38" s="34">
        <f>(F38/F49)*100</f>
        <v>3.3056958435736084</v>
      </c>
      <c r="H38" s="37">
        <v>2685</v>
      </c>
      <c r="I38" s="34">
        <f>(H38/H49)*100</f>
        <v>2.3728094594236326</v>
      </c>
      <c r="J38" s="37">
        <v>3142</v>
      </c>
      <c r="K38" s="34">
        <f>(J38/J49)*100</f>
        <v>3.0045996576554179</v>
      </c>
      <c r="L38" s="37">
        <v>2657</v>
      </c>
      <c r="M38" s="35">
        <f>(L38/L49)*100</f>
        <v>2.7412382514675993</v>
      </c>
    </row>
    <row r="39" spans="1:13" ht="14.1" customHeight="1">
      <c r="A39" s="334" t="s">
        <v>173</v>
      </c>
      <c r="B39" s="46">
        <v>2900</v>
      </c>
      <c r="C39" s="34">
        <f>(B39/B49)*100</f>
        <v>2.6173285198555956</v>
      </c>
      <c r="D39" s="46">
        <v>3137</v>
      </c>
      <c r="E39" s="34">
        <f>(D39/D49)*100</f>
        <v>2.8077115852785335</v>
      </c>
      <c r="F39" s="46">
        <v>2870</v>
      </c>
      <c r="G39" s="34">
        <f>(F39/F49)*100</f>
        <v>2.5837001827495252</v>
      </c>
      <c r="H39" s="46">
        <v>3203</v>
      </c>
      <c r="I39" s="34">
        <f>(H39/H49)*100</f>
        <v>2.8305805208692347</v>
      </c>
      <c r="J39" s="46">
        <v>2675</v>
      </c>
      <c r="K39" s="34">
        <f>(J39/J49)*100</f>
        <v>2.5580216690732791</v>
      </c>
      <c r="L39" s="46">
        <v>3324</v>
      </c>
      <c r="M39" s="35">
        <f>(L39/L49)*100</f>
        <v>3.4293850010832898</v>
      </c>
    </row>
    <row r="40" spans="1:13" ht="14.1" customHeight="1">
      <c r="A40" s="334" t="s">
        <v>179</v>
      </c>
      <c r="B40" s="46">
        <v>2900</v>
      </c>
      <c r="C40" s="34">
        <f>(B40/B49)*100</f>
        <v>2.6173285198555956</v>
      </c>
      <c r="D40" s="46">
        <v>3045</v>
      </c>
      <c r="E40" s="34">
        <f>(D40/D49)*100</f>
        <v>2.7253687526850925</v>
      </c>
      <c r="F40" s="46">
        <v>2575</v>
      </c>
      <c r="G40" s="34">
        <f>(F40/F49)*100</f>
        <v>2.3181282127456537</v>
      </c>
      <c r="H40" s="46">
        <v>3750</v>
      </c>
      <c r="I40" s="34">
        <f>(H40/H49)*100</f>
        <v>3.3139796919324476</v>
      </c>
      <c r="J40" s="46">
        <v>3697</v>
      </c>
      <c r="K40" s="34">
        <f>(J40/J49)*100</f>
        <v>3.5353293871266964</v>
      </c>
      <c r="L40" s="46">
        <v>3468</v>
      </c>
      <c r="M40" s="35">
        <f>(L40/L49)*100</f>
        <v>3.5779504162926736</v>
      </c>
    </row>
    <row r="41" spans="1:13" ht="14.1" customHeight="1">
      <c r="A41" s="335" t="s">
        <v>175</v>
      </c>
      <c r="B41" s="46">
        <v>2400</v>
      </c>
      <c r="C41" s="34">
        <f>(B41/B49)*100</f>
        <v>2.1660649819494582</v>
      </c>
      <c r="D41" s="46">
        <v>2891</v>
      </c>
      <c r="E41" s="34">
        <f>(D41/D49)*100</f>
        <v>2.5875340111699843</v>
      </c>
      <c r="F41" s="46">
        <v>3971</v>
      </c>
      <c r="G41" s="34">
        <f>(F41/F49)*100</f>
        <v>3.5748687894419389</v>
      </c>
      <c r="H41" s="46">
        <v>4310</v>
      </c>
      <c r="I41" s="34">
        <f>(H41/H49)*100</f>
        <v>3.8088673259276935</v>
      </c>
      <c r="J41" s="46">
        <v>4697</v>
      </c>
      <c r="K41" s="34">
        <f>(J41/J49)*100</f>
        <v>4.491599169957829</v>
      </c>
      <c r="L41" s="46">
        <v>3817</v>
      </c>
      <c r="M41" s="35">
        <f>(L41/L49)*100</f>
        <v>3.9380152073209738</v>
      </c>
    </row>
    <row r="42" spans="1:13" ht="14.1" customHeight="1">
      <c r="A42" s="335" t="s">
        <v>177</v>
      </c>
      <c r="B42" s="46">
        <v>2500</v>
      </c>
      <c r="C42" s="34">
        <f>(B42/B49)*100</f>
        <v>2.256317689530686</v>
      </c>
      <c r="D42" s="46">
        <v>2448</v>
      </c>
      <c r="E42" s="34">
        <f>(D42/D49)*100</f>
        <v>2.1910353716167839</v>
      </c>
      <c r="F42" s="46">
        <v>3132</v>
      </c>
      <c r="G42" s="34">
        <f>(F42/F49)*100</f>
        <v>2.8195641018716069</v>
      </c>
      <c r="H42" s="46">
        <v>3556</v>
      </c>
      <c r="I42" s="34">
        <f>(H42/H49)*100</f>
        <v>3.1425364758698096</v>
      </c>
      <c r="J42" s="46">
        <v>2907</v>
      </c>
      <c r="K42" s="34">
        <f>(J42/J49)*100</f>
        <v>2.7798762586901016</v>
      </c>
      <c r="L42" s="46">
        <v>2498</v>
      </c>
      <c r="M42" s="35">
        <f>(L42/L49)*100</f>
        <v>2.5771972721739043</v>
      </c>
    </row>
    <row r="43" spans="1:13" ht="14.1" customHeight="1">
      <c r="A43" s="334" t="s">
        <v>181</v>
      </c>
      <c r="B43" s="46">
        <v>1900</v>
      </c>
      <c r="C43" s="34">
        <f>(B43/B49)*100</f>
        <v>1.7148014440433215</v>
      </c>
      <c r="D43" s="46">
        <v>1900</v>
      </c>
      <c r="E43" s="34">
        <f>(D43/D49)*100</f>
        <v>1.7005584992123728</v>
      </c>
      <c r="F43" s="46">
        <v>1661</v>
      </c>
      <c r="G43" s="34">
        <f>(F43/F49)*100</f>
        <v>1.4953052277167111</v>
      </c>
      <c r="H43" s="46">
        <v>1987</v>
      </c>
      <c r="I43" s="34">
        <f>(H43/H49)*100</f>
        <v>1.7559673727652731</v>
      </c>
      <c r="J43" s="46">
        <v>1468</v>
      </c>
      <c r="K43" s="34">
        <f>(J43/J49)*100</f>
        <v>1.4038040411961021</v>
      </c>
      <c r="L43" s="46">
        <v>1712</v>
      </c>
      <c r="M43" s="35">
        <f>(L43/L49)*100</f>
        <v>1.7662777141560144</v>
      </c>
    </row>
    <row r="44" spans="1:13" ht="14.1" customHeight="1">
      <c r="A44" s="335" t="s">
        <v>180</v>
      </c>
      <c r="B44" s="46">
        <v>1400</v>
      </c>
      <c r="C44" s="34">
        <f>(B44/B49)*100</f>
        <v>1.2635379061371841</v>
      </c>
      <c r="D44" s="46">
        <v>1567</v>
      </c>
      <c r="E44" s="34">
        <f>(D44/D49)*100</f>
        <v>1.4025132464556782</v>
      </c>
      <c r="F44" s="46">
        <v>1942</v>
      </c>
      <c r="G44" s="34">
        <f>(F44/F49)*100</f>
        <v>1.748273782194975</v>
      </c>
      <c r="H44" s="46">
        <v>1712</v>
      </c>
      <c r="I44" s="34">
        <f>(H44/H49)*100</f>
        <v>1.5129421953568933</v>
      </c>
      <c r="J44" s="46">
        <v>772</v>
      </c>
      <c r="K44" s="34">
        <f>(J44/J49)*100</f>
        <v>0.73824027234563416</v>
      </c>
      <c r="L44" s="46">
        <v>1912</v>
      </c>
      <c r="M44" s="35">
        <f>(L44/L49)*100</f>
        <v>1.9726185686134927</v>
      </c>
    </row>
    <row r="45" spans="1:13" ht="14.1" customHeight="1">
      <c r="A45" s="335" t="s">
        <v>182</v>
      </c>
      <c r="B45" s="37">
        <v>1100</v>
      </c>
      <c r="C45" s="34">
        <f>(B45/B49)*100</f>
        <v>0.99277978339350181</v>
      </c>
      <c r="D45" s="37">
        <v>1212</v>
      </c>
      <c r="E45" s="34">
        <f>(D45/D49)*100</f>
        <v>1.0847773163396821</v>
      </c>
      <c r="F45" s="37">
        <v>1344</v>
      </c>
      <c r="G45" s="34">
        <f>(F45/F49)*100</f>
        <v>1.2099278904583142</v>
      </c>
      <c r="H45" s="37">
        <v>1374</v>
      </c>
      <c r="I45" s="34">
        <f>(H45/H49)*100</f>
        <v>1.2142421591240489</v>
      </c>
      <c r="J45" s="37">
        <v>1243</v>
      </c>
      <c r="K45" s="34">
        <f>(J45/J49)*100</f>
        <v>1.1886433400590974</v>
      </c>
      <c r="L45" s="37">
        <v>1200</v>
      </c>
      <c r="M45" s="35">
        <f>(L45/L49)*100</f>
        <v>1.23804512674487</v>
      </c>
    </row>
    <row r="46" spans="1:13" ht="14.1" customHeight="1">
      <c r="A46" s="335" t="s">
        <v>183</v>
      </c>
      <c r="B46" s="46">
        <v>430</v>
      </c>
      <c r="C46" s="34">
        <f>(B46/B49)*100</f>
        <v>0.388086642599278</v>
      </c>
      <c r="D46" s="46">
        <v>430</v>
      </c>
      <c r="E46" s="34">
        <f>(D46/D49)*100</f>
        <v>0.38486323929543176</v>
      </c>
      <c r="F46" s="46">
        <v>1103</v>
      </c>
      <c r="G46" s="34">
        <f>(F46/F49)*100</f>
        <v>0.99296909462464333</v>
      </c>
      <c r="H46" s="46">
        <v>1044</v>
      </c>
      <c r="I46" s="34">
        <f>(H46/H49)*100</f>
        <v>0.92261194623399345</v>
      </c>
      <c r="J46" s="46">
        <v>1826</v>
      </c>
      <c r="K46" s="34">
        <f>(J46/J49)*100</f>
        <v>1.7461486234496477</v>
      </c>
      <c r="L46" s="46">
        <v>1082</v>
      </c>
      <c r="M46" s="35">
        <f>(L46/L49)*100</f>
        <v>1.1163040226149576</v>
      </c>
    </row>
    <row r="47" spans="1:13" ht="17.25" hidden="1" customHeight="1">
      <c r="A47" s="334"/>
      <c r="B47" s="46">
        <f>SUM(B32:B46)</f>
        <v>105330</v>
      </c>
      <c r="C47" s="334"/>
      <c r="D47" s="46">
        <f>SUM(D32:D46)</f>
        <v>106701</v>
      </c>
      <c r="E47" s="334"/>
      <c r="F47" s="46">
        <f>SUM(F32:F46)</f>
        <v>104455</v>
      </c>
      <c r="G47" s="334"/>
      <c r="H47" s="46">
        <f>SUM(H32:H46)</f>
        <v>106737</v>
      </c>
      <c r="I47" s="334"/>
      <c r="J47" s="46">
        <f>SUM(J32:J46)</f>
        <v>97418</v>
      </c>
      <c r="K47" s="334"/>
      <c r="L47" s="46">
        <f>SUM(L32:L46)</f>
        <v>90684</v>
      </c>
      <c r="M47" s="335"/>
    </row>
    <row r="48" spans="1:13">
      <c r="A48" s="342" t="s">
        <v>184</v>
      </c>
      <c r="B48" s="38">
        <f>B49-B47</f>
        <v>5470</v>
      </c>
      <c r="C48" s="39">
        <f>(B48/B49)*100</f>
        <v>4.9368231046931408</v>
      </c>
      <c r="D48" s="38">
        <f>D49-D47</f>
        <v>5027</v>
      </c>
      <c r="E48" s="39">
        <f>(D48/D49)*100</f>
        <v>4.4993197766003146</v>
      </c>
      <c r="F48" s="38">
        <f>F49-F47</f>
        <v>6626</v>
      </c>
      <c r="G48" s="39">
        <f>(F48/F49)*100</f>
        <v>5.9650165194767784</v>
      </c>
      <c r="H48" s="38">
        <f>H49-H47</f>
        <v>6420</v>
      </c>
      <c r="I48" s="39">
        <f>(H48/H49)*100</f>
        <v>5.6735332325883503</v>
      </c>
      <c r="J48" s="38">
        <f>J49-J47</f>
        <v>7155</v>
      </c>
      <c r="K48" s="39">
        <f>(J48/J49)*100</f>
        <v>6.8421102961567515</v>
      </c>
      <c r="L48" s="38">
        <f>L49-L47</f>
        <v>6243</v>
      </c>
      <c r="M48" s="40">
        <f>(L48/L49)*100</f>
        <v>6.4409297718901861</v>
      </c>
    </row>
    <row r="49" spans="1:13" ht="18" customHeight="1">
      <c r="A49" s="343" t="s">
        <v>115</v>
      </c>
      <c r="B49" s="337">
        <v>110800</v>
      </c>
      <c r="C49" s="338">
        <f>SUM(C32:C48)</f>
        <v>99.999999999999986</v>
      </c>
      <c r="D49" s="337">
        <v>111728</v>
      </c>
      <c r="E49" s="338">
        <f>SUM(E32:E48)</f>
        <v>99.999999999999986</v>
      </c>
      <c r="F49" s="337">
        <v>111081</v>
      </c>
      <c r="G49" s="338">
        <f>SUM(G32:G48)</f>
        <v>99.999999999999986</v>
      </c>
      <c r="H49" s="337">
        <v>113157</v>
      </c>
      <c r="I49" s="338">
        <f>SUM(I32:I48)</f>
        <v>100</v>
      </c>
      <c r="J49" s="337">
        <v>104573</v>
      </c>
      <c r="K49" s="338">
        <f>SUM(K32:K48)</f>
        <v>99.999999999999986</v>
      </c>
      <c r="L49" s="337">
        <v>96927</v>
      </c>
      <c r="M49" s="339">
        <f>SUM(M32:M48)</f>
        <v>100</v>
      </c>
    </row>
    <row r="50" spans="1:13" ht="15" customHeight="1">
      <c r="A50" s="344" t="s">
        <v>188</v>
      </c>
      <c r="B50" s="344"/>
      <c r="C50" s="344"/>
      <c r="D50" s="47"/>
      <c r="E50" s="47"/>
      <c r="F50" s="48"/>
      <c r="G50" s="48"/>
      <c r="H50" s="48"/>
      <c r="I50" s="48"/>
      <c r="J50" s="345"/>
      <c r="K50" s="346"/>
      <c r="L50" s="345"/>
      <c r="M50" s="346"/>
    </row>
    <row r="51" spans="1:13" ht="9" customHeight="1">
      <c r="A51" s="42"/>
      <c r="B51" s="42"/>
      <c r="C51" s="42"/>
      <c r="D51" s="47"/>
      <c r="E51" s="47"/>
      <c r="F51" s="48"/>
      <c r="G51" s="48"/>
      <c r="H51" s="48"/>
      <c r="I51" s="48"/>
      <c r="J51" s="345"/>
      <c r="K51" s="346"/>
      <c r="L51" s="345"/>
      <c r="M51" s="346"/>
    </row>
    <row r="52" spans="1:13" ht="15" customHeight="1">
      <c r="A52" s="1550" t="s">
        <v>189</v>
      </c>
      <c r="B52" s="1550"/>
      <c r="C52" s="1550"/>
      <c r="D52" s="1551"/>
      <c r="E52" s="1551"/>
      <c r="F52" s="1551"/>
      <c r="G52" s="1551"/>
      <c r="H52" s="1551"/>
      <c r="I52" s="1551"/>
      <c r="J52" s="1551"/>
      <c r="K52" s="1551"/>
      <c r="L52" s="1551"/>
      <c r="M52" s="1552"/>
    </row>
    <row r="53" spans="1:13" ht="15" customHeight="1">
      <c r="A53" s="1553" t="s">
        <v>163</v>
      </c>
      <c r="B53" s="1554" t="s">
        <v>444</v>
      </c>
      <c r="C53" s="1554"/>
      <c r="D53" s="1554" t="s">
        <v>164</v>
      </c>
      <c r="E53" s="1554"/>
      <c r="F53" s="1554" t="s">
        <v>165</v>
      </c>
      <c r="G53" s="1554"/>
      <c r="H53" s="1555" t="s">
        <v>166</v>
      </c>
      <c r="I53" s="1556"/>
      <c r="J53" s="1555" t="s">
        <v>31</v>
      </c>
      <c r="K53" s="1556"/>
      <c r="L53" s="1555" t="s">
        <v>167</v>
      </c>
      <c r="M53" s="1557"/>
    </row>
    <row r="54" spans="1:13" ht="15" customHeight="1">
      <c r="A54" s="1553"/>
      <c r="B54" s="30" t="s">
        <v>17</v>
      </c>
      <c r="C54" s="30" t="s">
        <v>168</v>
      </c>
      <c r="D54" s="30" t="s">
        <v>17</v>
      </c>
      <c r="E54" s="30" t="s">
        <v>168</v>
      </c>
      <c r="F54" s="30" t="s">
        <v>17</v>
      </c>
      <c r="G54" s="30" t="s">
        <v>168</v>
      </c>
      <c r="H54" s="30" t="s">
        <v>17</v>
      </c>
      <c r="I54" s="30" t="s">
        <v>168</v>
      </c>
      <c r="J54" s="30" t="s">
        <v>17</v>
      </c>
      <c r="K54" s="30" t="s">
        <v>168</v>
      </c>
      <c r="L54" s="30" t="s">
        <v>17</v>
      </c>
      <c r="M54" s="43" t="s">
        <v>168</v>
      </c>
    </row>
    <row r="55" spans="1:13" ht="14.1" customHeight="1">
      <c r="A55" s="341" t="s">
        <v>169</v>
      </c>
      <c r="B55" s="33">
        <v>21000</v>
      </c>
      <c r="C55" s="44">
        <f>(B55/B72)*100</f>
        <v>43.75</v>
      </c>
      <c r="D55" s="33">
        <v>20333</v>
      </c>
      <c r="E55" s="44">
        <f>(D55/D72)*100</f>
        <v>44.00986991623558</v>
      </c>
      <c r="F55" s="33">
        <v>20085</v>
      </c>
      <c r="G55" s="44">
        <f>(F55/F72)*100</f>
        <v>44.641269559032715</v>
      </c>
      <c r="H55" s="33">
        <v>20330</v>
      </c>
      <c r="I55" s="44">
        <f>(H55/H72)*100</f>
        <v>45.972592827099632</v>
      </c>
      <c r="J55" s="33">
        <v>19720</v>
      </c>
      <c r="K55" s="44">
        <f>(J55/J72)*100</f>
        <v>46.081226340141143</v>
      </c>
      <c r="L55" s="33">
        <v>19131.830000000002</v>
      </c>
      <c r="M55" s="45">
        <f>(L55/L72)*100</f>
        <v>46.657310084136085</v>
      </c>
    </row>
    <row r="56" spans="1:13" ht="14.1" customHeight="1">
      <c r="A56" s="334" t="s">
        <v>172</v>
      </c>
      <c r="B56" s="46">
        <v>4200</v>
      </c>
      <c r="C56" s="34">
        <f>(B56/B72)*100</f>
        <v>8.75</v>
      </c>
      <c r="D56" s="46">
        <v>3584</v>
      </c>
      <c r="E56" s="34">
        <f>(D56/D72)*100</f>
        <v>7.7574078483149718</v>
      </c>
      <c r="F56" s="46">
        <v>3584</v>
      </c>
      <c r="G56" s="34">
        <f>(F56/F72)*100</f>
        <v>7.9658605974395442</v>
      </c>
      <c r="H56" s="46">
        <v>3584</v>
      </c>
      <c r="I56" s="34">
        <f>(H56/H72)*100</f>
        <v>8.104563339514268</v>
      </c>
      <c r="J56" s="46">
        <v>3333</v>
      </c>
      <c r="K56" s="34">
        <f>(J56/J72)*100</f>
        <v>7.7884750198625978</v>
      </c>
      <c r="L56" s="46">
        <v>3333</v>
      </c>
      <c r="M56" s="35">
        <f>(L56/L72)*100</f>
        <v>8.1282770393854413</v>
      </c>
    </row>
    <row r="57" spans="1:13" ht="14.1" customHeight="1">
      <c r="A57" s="334" t="s">
        <v>173</v>
      </c>
      <c r="B57" s="46">
        <v>3700</v>
      </c>
      <c r="C57" s="34">
        <f>(B57/B72)*100</f>
        <v>7.7083333333333339</v>
      </c>
      <c r="D57" s="46">
        <v>3383</v>
      </c>
      <c r="E57" s="34">
        <f>(D57/D72)*100</f>
        <v>7.3223523300361473</v>
      </c>
      <c r="F57" s="46">
        <v>3383</v>
      </c>
      <c r="G57" s="34">
        <f>(F57/F72)*100</f>
        <v>7.5191145092460889</v>
      </c>
      <c r="H57" s="46">
        <v>3383</v>
      </c>
      <c r="I57" s="34">
        <f>(H57/H72)*100</f>
        <v>7.6500384424042336</v>
      </c>
      <c r="J57" s="46">
        <v>3383</v>
      </c>
      <c r="K57" s="34">
        <f>(J57/J72)*100</f>
        <v>7.9053138290414546</v>
      </c>
      <c r="L57" s="46">
        <v>3253</v>
      </c>
      <c r="M57" s="35">
        <f>(L57/L72)*100</f>
        <v>7.9331788806243146</v>
      </c>
    </row>
    <row r="58" spans="1:13" ht="14.1" customHeight="1">
      <c r="A58" s="334" t="s">
        <v>177</v>
      </c>
      <c r="B58" s="46">
        <v>2400</v>
      </c>
      <c r="C58" s="34">
        <f>(B58/B72)*100</f>
        <v>5</v>
      </c>
      <c r="D58" s="46">
        <v>2354</v>
      </c>
      <c r="E58" s="34">
        <f>(D58/D72)*100</f>
        <v>5.0951278110863401</v>
      </c>
      <c r="F58" s="46">
        <v>2354</v>
      </c>
      <c r="G58" s="34">
        <f>(F58/F72)*100</f>
        <v>5.2320412517780941</v>
      </c>
      <c r="H58" s="46">
        <v>2354</v>
      </c>
      <c r="I58" s="34">
        <f>(H58/H72)*100</f>
        <v>5.3231423273483784</v>
      </c>
      <c r="J58" s="46">
        <v>2354</v>
      </c>
      <c r="K58" s="34">
        <f>(J58/J72)*100</f>
        <v>5.50077113614058</v>
      </c>
      <c r="L58" s="46">
        <v>2239</v>
      </c>
      <c r="M58" s="35">
        <f>(L58/L72)*100</f>
        <v>5.460309718327033</v>
      </c>
    </row>
    <row r="59" spans="1:13" ht="14.1" customHeight="1">
      <c r="A59" s="334" t="s">
        <v>174</v>
      </c>
      <c r="B59" s="46">
        <v>2300</v>
      </c>
      <c r="C59" s="34">
        <f>(B59/B72)*100</f>
        <v>4.791666666666667</v>
      </c>
      <c r="D59" s="46">
        <v>1917</v>
      </c>
      <c r="E59" s="34">
        <f>(D59/D72)*100</f>
        <v>4.1492608385099894</v>
      </c>
      <c r="F59" s="46">
        <v>1917</v>
      </c>
      <c r="G59" s="34">
        <f>(F59/F72)*100</f>
        <v>4.2607574679943108</v>
      </c>
      <c r="H59" s="46">
        <v>1917</v>
      </c>
      <c r="I59" s="34">
        <f>(H59/H72)*100</f>
        <v>4.3349464067658632</v>
      </c>
      <c r="J59" s="46">
        <v>1829</v>
      </c>
      <c r="K59" s="34">
        <f>(J59/J72)*100</f>
        <v>4.2739636397625835</v>
      </c>
      <c r="L59" s="46">
        <v>1725</v>
      </c>
      <c r="M59" s="35">
        <f>(L59/L72)*100</f>
        <v>4.2068040482867941</v>
      </c>
    </row>
    <row r="60" spans="1:13" ht="14.1" customHeight="1">
      <c r="A60" s="334" t="s">
        <v>170</v>
      </c>
      <c r="B60" s="46">
        <v>2300</v>
      </c>
      <c r="C60" s="34">
        <f>(B60/B72)*100</f>
        <v>4.791666666666667</v>
      </c>
      <c r="D60" s="46">
        <v>1583</v>
      </c>
      <c r="E60" s="34">
        <f>(D60/D72)*100</f>
        <v>3.4263327633601</v>
      </c>
      <c r="F60" s="46">
        <v>1583</v>
      </c>
      <c r="G60" s="34">
        <f>(F60/F72)*100</f>
        <v>3.5184032716927454</v>
      </c>
      <c r="H60" s="46">
        <v>1583</v>
      </c>
      <c r="I60" s="34">
        <f>(H60/H72)*100</f>
        <v>3.5796662294785406</v>
      </c>
      <c r="J60" s="46">
        <v>1583</v>
      </c>
      <c r="K60" s="34">
        <f>(J60/J72)*100</f>
        <v>3.6991166986026078</v>
      </c>
      <c r="L60" s="46">
        <v>1302</v>
      </c>
      <c r="M60" s="35">
        <f>(L60/L72)*100</f>
        <v>3.1752225338373368</v>
      </c>
    </row>
    <row r="61" spans="1:13" ht="14.1" customHeight="1">
      <c r="A61" s="334" t="s">
        <v>171</v>
      </c>
      <c r="B61" s="46">
        <v>1600</v>
      </c>
      <c r="C61" s="34">
        <f>(B61/B72)*100</f>
        <v>3.3333333333333335</v>
      </c>
      <c r="D61" s="46">
        <v>1439</v>
      </c>
      <c r="E61" s="34">
        <f>(D61/D72)*100</f>
        <v>3.1146511980260168</v>
      </c>
      <c r="F61" s="46">
        <v>1439</v>
      </c>
      <c r="G61" s="34">
        <f>(F61/F72)*100</f>
        <v>3.1983463726884778</v>
      </c>
      <c r="H61" s="46">
        <v>1439</v>
      </c>
      <c r="I61" s="34">
        <f>(H61/H72)*100</f>
        <v>3.2540364524444843</v>
      </c>
      <c r="J61" s="46">
        <v>1439</v>
      </c>
      <c r="K61" s="34">
        <f>(J61/J72)*100</f>
        <v>3.3626209281674999</v>
      </c>
      <c r="L61" s="46">
        <v>1308</v>
      </c>
      <c r="M61" s="35">
        <f>(L61/L72)*100</f>
        <v>3.1898548957444213</v>
      </c>
    </row>
    <row r="62" spans="1:13" ht="14.1" customHeight="1">
      <c r="A62" s="334" t="s">
        <v>176</v>
      </c>
      <c r="B62" s="37">
        <v>300</v>
      </c>
      <c r="C62" s="34">
        <f>(B62/B72)*100</f>
        <v>0.625</v>
      </c>
      <c r="D62" s="37">
        <v>345</v>
      </c>
      <c r="E62" s="34">
        <f>(D62/D72)*100</f>
        <v>0.7467370836129088</v>
      </c>
      <c r="F62" s="37">
        <v>345</v>
      </c>
      <c r="G62" s="34">
        <f>(F62/F72)*100</f>
        <v>0.766802987197724</v>
      </c>
      <c r="H62" s="37">
        <v>345</v>
      </c>
      <c r="I62" s="34">
        <f>(H62/H72)*100</f>
        <v>0.78015467414409112</v>
      </c>
      <c r="J62" s="37">
        <v>345</v>
      </c>
      <c r="K62" s="34">
        <f>(J62/J72)*100</f>
        <v>0.80618778333411223</v>
      </c>
      <c r="L62" s="37">
        <v>345</v>
      </c>
      <c r="M62" s="35">
        <f>(L62/L72)*100</f>
        <v>0.84136080965735893</v>
      </c>
    </row>
    <row r="63" spans="1:13" ht="14.1" customHeight="1">
      <c r="A63" s="334" t="s">
        <v>179</v>
      </c>
      <c r="B63" s="46">
        <v>300</v>
      </c>
      <c r="C63" s="34">
        <f>(B63/B72)*100</f>
        <v>0.625</v>
      </c>
      <c r="D63" s="46">
        <v>340</v>
      </c>
      <c r="E63" s="34">
        <f>(D63/D72)*100</f>
        <v>0.73591480703880874</v>
      </c>
      <c r="F63" s="46">
        <v>340</v>
      </c>
      <c r="G63" s="34">
        <f>(F63/F72)*100</f>
        <v>0.75568990042674256</v>
      </c>
      <c r="H63" s="46">
        <v>340</v>
      </c>
      <c r="I63" s="34">
        <f>(H63/H72)*100</f>
        <v>0.76884808466374199</v>
      </c>
      <c r="J63" s="46">
        <v>340</v>
      </c>
      <c r="K63" s="34">
        <f>(J63/J72)*100</f>
        <v>0.79450390241622648</v>
      </c>
      <c r="L63" s="46">
        <v>340</v>
      </c>
      <c r="M63" s="35">
        <f>(L63/L72)*100</f>
        <v>0.8291671747347884</v>
      </c>
    </row>
    <row r="64" spans="1:13" ht="14.1" customHeight="1">
      <c r="A64" s="335" t="s">
        <v>180</v>
      </c>
      <c r="B64" s="46">
        <v>300</v>
      </c>
      <c r="C64" s="34">
        <f>(B64/B72)*100</f>
        <v>0.625</v>
      </c>
      <c r="D64" s="46">
        <v>317</v>
      </c>
      <c r="E64" s="34">
        <f>(D64/D72)*100</f>
        <v>0.68613233479794811</v>
      </c>
      <c r="F64" s="46">
        <v>317</v>
      </c>
      <c r="G64" s="34">
        <f>(F64/F72)*100</f>
        <v>0.70456970128022756</v>
      </c>
      <c r="H64" s="46">
        <v>317</v>
      </c>
      <c r="I64" s="34">
        <f>(H64/H72)*100</f>
        <v>0.71683777305413587</v>
      </c>
      <c r="J64" s="46">
        <v>317</v>
      </c>
      <c r="K64" s="34">
        <f>(J64/J72)*100</f>
        <v>0.74075805019395247</v>
      </c>
      <c r="L64" s="46">
        <v>317</v>
      </c>
      <c r="M64" s="35">
        <f>(L64/L72)*100</f>
        <v>0.77307645409096459</v>
      </c>
    </row>
    <row r="65" spans="1:13" ht="14.1" customHeight="1">
      <c r="A65" s="335" t="s">
        <v>183</v>
      </c>
      <c r="B65" s="46">
        <v>275</v>
      </c>
      <c r="C65" s="34">
        <f>(B65/B72)*100</f>
        <v>0.57291666666666663</v>
      </c>
      <c r="D65" s="46">
        <v>275</v>
      </c>
      <c r="E65" s="34">
        <f>(D65/D72)*100</f>
        <v>0.59522521157550701</v>
      </c>
      <c r="F65" s="46">
        <v>275</v>
      </c>
      <c r="G65" s="34">
        <f>(F65/F72)*100</f>
        <v>0.61121977240398295</v>
      </c>
      <c r="H65" s="46">
        <v>275</v>
      </c>
      <c r="I65" s="34">
        <f>(H65/H72)*100</f>
        <v>0.62186242141920312</v>
      </c>
      <c r="J65" s="46">
        <v>271</v>
      </c>
      <c r="K65" s="34">
        <f>(J65/J72)*100</f>
        <v>0.6332663457494041</v>
      </c>
      <c r="L65" s="46">
        <v>275</v>
      </c>
      <c r="M65" s="35">
        <f>(L65/L72)*100</f>
        <v>0.67064992074137297</v>
      </c>
    </row>
    <row r="66" spans="1:13" ht="14.1" customHeight="1">
      <c r="A66" s="335" t="s">
        <v>182</v>
      </c>
      <c r="B66" s="46">
        <v>200</v>
      </c>
      <c r="C66" s="34">
        <f>(B66/B72)*100</f>
        <v>0.41666666666666669</v>
      </c>
      <c r="D66" s="46">
        <v>251</v>
      </c>
      <c r="E66" s="34">
        <f>(D66/D72)*100</f>
        <v>0.54327828401982636</v>
      </c>
      <c r="F66" s="46">
        <v>251</v>
      </c>
      <c r="G66" s="34">
        <f>(F66/F72)*100</f>
        <v>0.55787695590327169</v>
      </c>
      <c r="H66" s="46">
        <v>251</v>
      </c>
      <c r="I66" s="34">
        <f>(H66/H72)*100</f>
        <v>0.56759079191352724</v>
      </c>
      <c r="J66" s="46">
        <v>270</v>
      </c>
      <c r="K66" s="34">
        <f>(J66/J72)*100</f>
        <v>0.63092956956582702</v>
      </c>
      <c r="L66" s="46">
        <v>282</v>
      </c>
      <c r="M66" s="35">
        <f>(L66/L72)*100</f>
        <v>0.68772100963297156</v>
      </c>
    </row>
    <row r="67" spans="1:13" ht="14.1" customHeight="1">
      <c r="A67" s="335" t="s">
        <v>175</v>
      </c>
      <c r="B67" s="46">
        <v>300</v>
      </c>
      <c r="C67" s="34">
        <f>(B67/B72)*100</f>
        <v>0.625</v>
      </c>
      <c r="D67" s="46">
        <v>250</v>
      </c>
      <c r="E67" s="34">
        <f>(D67/D72)*100</f>
        <v>0.54111382870500635</v>
      </c>
      <c r="F67" s="46">
        <v>250</v>
      </c>
      <c r="G67" s="34">
        <f>(F67/F72)*100</f>
        <v>0.55565433854907531</v>
      </c>
      <c r="H67" s="46">
        <v>250</v>
      </c>
      <c r="I67" s="34">
        <f>(H67/H72)*100</f>
        <v>0.56532947401745737</v>
      </c>
      <c r="J67" s="46">
        <v>250</v>
      </c>
      <c r="K67" s="34">
        <f>(J67/J72)*100</f>
        <v>0.58419404589428425</v>
      </c>
      <c r="L67" s="46">
        <v>250</v>
      </c>
      <c r="M67" s="35">
        <f>(L67/L72)*100</f>
        <v>0.60968174612852089</v>
      </c>
    </row>
    <row r="68" spans="1:13" ht="14.1" customHeight="1">
      <c r="A68" s="334" t="s">
        <v>181</v>
      </c>
      <c r="B68" s="46">
        <v>204</v>
      </c>
      <c r="C68" s="34">
        <f>(B68/B72)*100</f>
        <v>0.42500000000000004</v>
      </c>
      <c r="D68" s="46">
        <v>204</v>
      </c>
      <c r="E68" s="34">
        <f>(D68/D72)*100</f>
        <v>0.44154888422328525</v>
      </c>
      <c r="F68" s="46">
        <v>204</v>
      </c>
      <c r="G68" s="34">
        <f>(F68/F72)*100</f>
        <v>0.45341394025604548</v>
      </c>
      <c r="H68" s="46">
        <v>204</v>
      </c>
      <c r="I68" s="34">
        <f>(H68/H72)*100</f>
        <v>0.46130885079824524</v>
      </c>
      <c r="J68" s="46">
        <v>202</v>
      </c>
      <c r="K68" s="34">
        <f>(J68/J72)*100</f>
        <v>0.47202878908258167</v>
      </c>
      <c r="L68" s="46">
        <v>199</v>
      </c>
      <c r="M68" s="35">
        <f>(L68/L72)*100</f>
        <v>0.48530666991830262</v>
      </c>
    </row>
    <row r="69" spans="1:13" ht="14.1" customHeight="1">
      <c r="A69" s="335" t="s">
        <v>178</v>
      </c>
      <c r="B69" s="46">
        <v>200</v>
      </c>
      <c r="C69" s="34">
        <f>(B69/B72)*100</f>
        <v>0.41666666666666669</v>
      </c>
      <c r="D69" s="46">
        <v>140</v>
      </c>
      <c r="E69" s="34">
        <f>(D69/D72)*100</f>
        <v>0.30302374407480354</v>
      </c>
      <c r="F69" s="46">
        <v>140</v>
      </c>
      <c r="G69" s="34">
        <f>(F69/F72)*100</f>
        <v>0.3111664295874822</v>
      </c>
      <c r="H69" s="46">
        <v>140</v>
      </c>
      <c r="I69" s="34">
        <f>(H69/H72)*100</f>
        <v>0.31658450544977612</v>
      </c>
      <c r="J69" s="46">
        <v>140</v>
      </c>
      <c r="K69" s="34">
        <f>(J69/J72)*100</f>
        <v>0.3271486657007992</v>
      </c>
      <c r="L69" s="46">
        <v>140</v>
      </c>
      <c r="M69" s="35">
        <f>(L69/L72)*100</f>
        <v>0.3414217778319717</v>
      </c>
    </row>
    <row r="70" spans="1:13" ht="15" hidden="1" customHeight="1">
      <c r="A70" s="334"/>
      <c r="B70" s="46">
        <f>SUM(B55:B69)</f>
        <v>39579</v>
      </c>
      <c r="C70" s="34"/>
      <c r="D70" s="46">
        <f>SUM(D55:D69)</f>
        <v>36715</v>
      </c>
      <c r="E70" s="34"/>
      <c r="F70" s="46">
        <f>SUM(F55:F69)</f>
        <v>36467</v>
      </c>
      <c r="G70" s="34"/>
      <c r="H70" s="46">
        <f>SUM(H55:H69)</f>
        <v>36712</v>
      </c>
      <c r="I70" s="34"/>
      <c r="J70" s="46">
        <f>SUM(J55:J69)</f>
        <v>35776</v>
      </c>
      <c r="K70" s="34"/>
      <c r="L70" s="46">
        <f>SUM(L55:L69)</f>
        <v>34439.83</v>
      </c>
      <c r="M70" s="35"/>
    </row>
    <row r="71" spans="1:13" ht="15" customHeight="1">
      <c r="A71" s="342" t="s">
        <v>184</v>
      </c>
      <c r="B71" s="38">
        <f>B72-B70</f>
        <v>8421</v>
      </c>
      <c r="C71" s="39">
        <f>(B71/B72)*100</f>
        <v>17.543749999999999</v>
      </c>
      <c r="D71" s="38">
        <f>D72-D70</f>
        <v>9486</v>
      </c>
      <c r="E71" s="39">
        <f>(D71/D72)*100</f>
        <v>20.53202311638276</v>
      </c>
      <c r="F71" s="38">
        <f>F72-F70</f>
        <v>8525</v>
      </c>
      <c r="G71" s="39">
        <f>(F71/F72)*100</f>
        <v>18.94781294452347</v>
      </c>
      <c r="H71" s="38">
        <f>H72-H70</f>
        <v>7510</v>
      </c>
      <c r="I71" s="39">
        <f>(H71/H72)*100</f>
        <v>16.982497399484419</v>
      </c>
      <c r="J71" s="38">
        <f>J72-J70</f>
        <v>7018</v>
      </c>
      <c r="K71" s="39">
        <f>(J71/J72)*100</f>
        <v>16.399495256344348</v>
      </c>
      <c r="L71" s="38">
        <f>L72-L70</f>
        <v>6565.1699999999983</v>
      </c>
      <c r="M71" s="40">
        <f>(L71/L72)*100</f>
        <v>16.01065723692232</v>
      </c>
    </row>
    <row r="72" spans="1:13" ht="18" customHeight="1">
      <c r="A72" s="336" t="s">
        <v>115</v>
      </c>
      <c r="B72" s="347">
        <v>48000</v>
      </c>
      <c r="C72" s="338">
        <f>SUM(C55:C71)</f>
        <v>100.00000000000003</v>
      </c>
      <c r="D72" s="347">
        <v>46201</v>
      </c>
      <c r="E72" s="338">
        <f>SUM(E55:E71)</f>
        <v>99.999999999999986</v>
      </c>
      <c r="F72" s="347">
        <v>44992</v>
      </c>
      <c r="G72" s="338">
        <f>SUM(G55:G71)</f>
        <v>100</v>
      </c>
      <c r="H72" s="347">
        <v>44222</v>
      </c>
      <c r="I72" s="338">
        <f>SUM(I55:I71)</f>
        <v>100.00000000000001</v>
      </c>
      <c r="J72" s="347">
        <v>42794</v>
      </c>
      <c r="K72" s="338">
        <f>SUM(K55:K71)</f>
        <v>100</v>
      </c>
      <c r="L72" s="347">
        <v>41005</v>
      </c>
      <c r="M72" s="339">
        <f>SUM(M55:M71)</f>
        <v>100</v>
      </c>
    </row>
    <row r="73" spans="1:13" ht="15" customHeight="1">
      <c r="A73" s="344" t="s">
        <v>190</v>
      </c>
      <c r="B73" s="344"/>
      <c r="C73" s="344"/>
      <c r="D73" s="47"/>
      <c r="E73" s="47"/>
      <c r="F73" s="49"/>
      <c r="G73" s="49"/>
      <c r="H73" s="348"/>
      <c r="I73" s="348"/>
      <c r="J73" s="348"/>
      <c r="K73" s="348"/>
      <c r="L73" s="348"/>
      <c r="M73" s="348"/>
    </row>
    <row r="74" spans="1:13" ht="12.75" customHeight="1">
      <c r="A74" s="42" t="s">
        <v>186</v>
      </c>
      <c r="B74" s="42"/>
      <c r="C74" s="42"/>
      <c r="D74"/>
      <c r="E74"/>
      <c r="F74" s="3"/>
      <c r="G74" s="3"/>
      <c r="H74" s="29"/>
      <c r="I74" s="29"/>
      <c r="J74" s="29"/>
      <c r="K74" s="29"/>
      <c r="L74" s="29"/>
      <c r="M74" s="29"/>
    </row>
    <row r="75" spans="1:13">
      <c r="A75"/>
      <c r="B75"/>
      <c r="C75"/>
      <c r="D75"/>
      <c r="E75"/>
      <c r="F75" s="6"/>
      <c r="G75" s="29"/>
      <c r="H75" s="29"/>
      <c r="I75" s="29"/>
      <c r="J75" s="29"/>
      <c r="K75" s="29"/>
      <c r="L75" s="29"/>
      <c r="M75" s="29"/>
    </row>
    <row r="76" spans="1:13">
      <c r="A76"/>
      <c r="B76"/>
      <c r="C76"/>
      <c r="D76"/>
      <c r="E76"/>
      <c r="F76" s="29"/>
    </row>
  </sheetData>
  <mergeCells count="29">
    <mergeCell ref="A1:M1"/>
    <mergeCell ref="A2:M2"/>
    <mergeCell ref="A3:M3"/>
    <mergeCell ref="A4:M4"/>
    <mergeCell ref="A5:M5"/>
    <mergeCell ref="A6:M6"/>
    <mergeCell ref="L7:M7"/>
    <mergeCell ref="A29:M29"/>
    <mergeCell ref="A30:A31"/>
    <mergeCell ref="D30:E30"/>
    <mergeCell ref="F30:G30"/>
    <mergeCell ref="H30:I30"/>
    <mergeCell ref="J30:K30"/>
    <mergeCell ref="L30:M30"/>
    <mergeCell ref="A7:A8"/>
    <mergeCell ref="D7:E7"/>
    <mergeCell ref="F7:G7"/>
    <mergeCell ref="H7:I7"/>
    <mergeCell ref="J7:K7"/>
    <mergeCell ref="B7:C7"/>
    <mergeCell ref="B30:C30"/>
    <mergeCell ref="A52:M52"/>
    <mergeCell ref="A53:A54"/>
    <mergeCell ref="D53:E53"/>
    <mergeCell ref="F53:G53"/>
    <mergeCell ref="H53:I53"/>
    <mergeCell ref="J53:K53"/>
    <mergeCell ref="L53:M53"/>
    <mergeCell ref="B53:C5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I10" sqref="I10"/>
    </sheetView>
  </sheetViews>
  <sheetFormatPr defaultRowHeight="12.75"/>
  <cols>
    <col min="1" max="1" width="2.7109375" customWidth="1"/>
    <col min="2" max="2" width="10.7109375" customWidth="1"/>
    <col min="3" max="3" width="104.42578125" customWidth="1"/>
    <col min="4" max="4" width="10.7109375" customWidth="1"/>
    <col min="5" max="5" width="2.7109375" customWidth="1"/>
  </cols>
  <sheetData>
    <row r="1" spans="1:5" ht="15" customHeight="1">
      <c r="A1" s="439"/>
      <c r="B1" s="1154"/>
      <c r="C1" s="1154"/>
      <c r="D1" s="1154"/>
      <c r="E1" s="278"/>
    </row>
    <row r="2" spans="1:5" ht="16.5" customHeight="1">
      <c r="A2" s="440"/>
      <c r="B2" s="432"/>
      <c r="C2" s="438"/>
      <c r="D2" s="129"/>
      <c r="E2" s="278"/>
    </row>
    <row r="3" spans="1:5" ht="16.5" customHeight="1">
      <c r="A3" s="440"/>
      <c r="B3" s="432"/>
      <c r="C3" s="438" t="s">
        <v>314</v>
      </c>
      <c r="D3" s="129"/>
      <c r="E3" s="278"/>
    </row>
    <row r="4" spans="1:5" ht="8.25" customHeight="1">
      <c r="A4" s="440"/>
      <c r="B4" s="432"/>
      <c r="C4" s="438"/>
      <c r="D4" s="129"/>
      <c r="E4" s="278"/>
    </row>
    <row r="5" spans="1:5" ht="15" customHeight="1">
      <c r="A5" s="440"/>
      <c r="B5" s="433"/>
      <c r="C5" s="1152" t="s">
        <v>429</v>
      </c>
      <c r="D5" s="129"/>
      <c r="E5" s="278"/>
    </row>
    <row r="6" spans="1:5" ht="15" customHeight="1">
      <c r="A6" s="440"/>
      <c r="B6" s="171"/>
      <c r="C6" s="1184" t="s">
        <v>544</v>
      </c>
      <c r="D6" s="129"/>
      <c r="E6" s="278"/>
    </row>
    <row r="7" spans="1:5" ht="15" customHeight="1">
      <c r="A7" s="440"/>
      <c r="B7" s="137"/>
      <c r="C7" s="1156" t="s">
        <v>543</v>
      </c>
      <c r="D7" s="129"/>
      <c r="E7" s="278"/>
    </row>
    <row r="8" spans="1:5" ht="15" customHeight="1">
      <c r="A8" s="440"/>
      <c r="B8" s="434"/>
      <c r="C8" s="1156" t="s">
        <v>426</v>
      </c>
      <c r="D8" s="129"/>
      <c r="E8" s="278"/>
    </row>
    <row r="9" spans="1:5" ht="15" customHeight="1">
      <c r="A9" s="440"/>
      <c r="B9" s="434"/>
      <c r="C9" s="1156" t="s">
        <v>428</v>
      </c>
      <c r="D9" s="129"/>
      <c r="E9" s="278"/>
    </row>
    <row r="10" spans="1:5" ht="15" customHeight="1">
      <c r="A10" s="440"/>
      <c r="B10" s="434"/>
      <c r="C10" s="1156" t="s">
        <v>427</v>
      </c>
      <c r="D10" s="129"/>
      <c r="E10" s="278"/>
    </row>
    <row r="11" spans="1:5" ht="15" customHeight="1">
      <c r="A11" s="440"/>
      <c r="B11" s="434"/>
      <c r="C11" s="1156" t="s">
        <v>545</v>
      </c>
      <c r="D11" s="129"/>
      <c r="E11" s="278"/>
    </row>
    <row r="12" spans="1:5" ht="15" customHeight="1">
      <c r="A12" s="440"/>
      <c r="B12" s="434"/>
      <c r="C12" s="1156" t="s">
        <v>512</v>
      </c>
      <c r="D12" s="129"/>
      <c r="E12" s="278"/>
    </row>
    <row r="13" spans="1:5" ht="15" customHeight="1">
      <c r="A13" s="440"/>
      <c r="B13" s="434"/>
      <c r="C13" s="1157" t="s">
        <v>513</v>
      </c>
      <c r="D13" s="129"/>
      <c r="E13" s="278"/>
    </row>
    <row r="14" spans="1:5" ht="15" customHeight="1">
      <c r="A14" s="440"/>
      <c r="B14" s="435"/>
      <c r="C14" s="1157" t="s">
        <v>542</v>
      </c>
      <c r="D14" s="129"/>
      <c r="E14" s="278"/>
    </row>
    <row r="15" spans="1:5" ht="15" customHeight="1">
      <c r="A15" s="440"/>
      <c r="B15" s="435"/>
      <c r="C15" s="1157" t="s">
        <v>547</v>
      </c>
      <c r="D15" s="129"/>
      <c r="E15" s="278"/>
    </row>
    <row r="16" spans="1:5" ht="15" customHeight="1">
      <c r="A16" s="440"/>
      <c r="B16" s="434"/>
      <c r="C16" s="1157" t="s">
        <v>546</v>
      </c>
      <c r="D16" s="129"/>
      <c r="E16" s="278"/>
    </row>
    <row r="17" spans="1:5" ht="15" customHeight="1">
      <c r="A17" s="440"/>
      <c r="B17" s="434"/>
      <c r="C17" s="1157" t="s">
        <v>516</v>
      </c>
      <c r="D17" s="129"/>
      <c r="E17" s="278"/>
    </row>
    <row r="18" spans="1:5" ht="15" customHeight="1">
      <c r="A18" s="440"/>
      <c r="B18" s="434"/>
      <c r="C18" s="1156" t="s">
        <v>517</v>
      </c>
      <c r="D18" s="129"/>
      <c r="E18" s="278"/>
    </row>
    <row r="19" spans="1:5" ht="15" customHeight="1">
      <c r="A19" s="440"/>
      <c r="B19" s="434"/>
      <c r="C19" s="1156" t="s">
        <v>518</v>
      </c>
      <c r="D19" s="129"/>
      <c r="E19" s="278"/>
    </row>
    <row r="20" spans="1:5" ht="15" customHeight="1">
      <c r="A20" s="440"/>
      <c r="B20" s="434"/>
      <c r="C20" s="1156" t="s">
        <v>519</v>
      </c>
      <c r="D20" s="129"/>
      <c r="E20" s="278"/>
    </row>
    <row r="21" spans="1:5" ht="15" customHeight="1">
      <c r="A21" s="440"/>
      <c r="B21" s="434"/>
      <c r="C21" s="1156" t="s">
        <v>520</v>
      </c>
      <c r="D21" s="129"/>
      <c r="E21" s="278"/>
    </row>
    <row r="22" spans="1:5" ht="15" customHeight="1">
      <c r="A22" s="440"/>
      <c r="B22" s="434"/>
      <c r="C22" s="1156" t="s">
        <v>521</v>
      </c>
      <c r="D22" s="129"/>
      <c r="E22" s="278"/>
    </row>
    <row r="23" spans="1:5" ht="15" customHeight="1">
      <c r="A23" s="440"/>
      <c r="B23" s="434"/>
      <c r="C23" s="1156" t="s">
        <v>522</v>
      </c>
      <c r="D23" s="129"/>
      <c r="E23" s="278"/>
    </row>
    <row r="24" spans="1:5" ht="15" customHeight="1">
      <c r="A24" s="440"/>
      <c r="B24" s="434"/>
      <c r="C24" s="1156" t="s">
        <v>523</v>
      </c>
      <c r="D24" s="129"/>
      <c r="E24" s="278"/>
    </row>
    <row r="25" spans="1:5" ht="15" customHeight="1">
      <c r="A25" s="440"/>
      <c r="B25" s="434"/>
      <c r="C25" s="1156" t="s">
        <v>524</v>
      </c>
      <c r="D25" s="129"/>
      <c r="E25" s="278"/>
    </row>
    <row r="26" spans="1:5" ht="15" customHeight="1">
      <c r="A26" s="440"/>
      <c r="B26" s="436"/>
      <c r="C26" s="1156" t="s">
        <v>528</v>
      </c>
      <c r="D26" s="129"/>
      <c r="E26" s="278"/>
    </row>
    <row r="27" spans="1:5" ht="15" customHeight="1">
      <c r="A27" s="440"/>
      <c r="B27" s="437"/>
      <c r="C27" s="1156" t="s">
        <v>525</v>
      </c>
      <c r="D27" s="129"/>
      <c r="E27" s="278"/>
    </row>
    <row r="28" spans="1:5" ht="15" customHeight="1">
      <c r="A28" s="440"/>
      <c r="B28" s="437"/>
      <c r="C28" s="1156" t="s">
        <v>526</v>
      </c>
      <c r="D28" s="129"/>
      <c r="E28" s="278"/>
    </row>
    <row r="29" spans="1:5" ht="15" customHeight="1">
      <c r="A29" s="440"/>
      <c r="B29" s="437"/>
      <c r="C29" s="1156" t="s">
        <v>527</v>
      </c>
      <c r="D29" s="129"/>
      <c r="E29" s="278"/>
    </row>
    <row r="30" spans="1:5" ht="15" customHeight="1">
      <c r="A30" s="1155"/>
      <c r="B30" s="111"/>
      <c r="C30" s="1158"/>
      <c r="D30" s="130"/>
      <c r="E30" s="278"/>
    </row>
    <row r="31" spans="1:5">
      <c r="A31" s="278"/>
      <c r="B31" s="278"/>
      <c r="C31" s="278"/>
      <c r="D31" s="278"/>
      <c r="E31" s="278"/>
    </row>
  </sheetData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Q9"/>
  <sheetViews>
    <sheetView workbookViewId="0">
      <selection activeCell="Q6" sqref="Q6:Q9"/>
    </sheetView>
  </sheetViews>
  <sheetFormatPr defaultRowHeight="12.75"/>
  <sheetData>
    <row r="1" spans="1:17" ht="18">
      <c r="A1" s="496" t="s">
        <v>343</v>
      </c>
      <c r="B1" s="496"/>
      <c r="C1" s="496"/>
      <c r="D1" s="496"/>
    </row>
    <row r="4" spans="1:17" ht="13.5" thickBot="1">
      <c r="A4" s="441"/>
      <c r="P4" s="441"/>
      <c r="Q4" s="441"/>
    </row>
    <row r="5" spans="1:17" ht="13.5" thickBot="1">
      <c r="A5" s="442" t="s">
        <v>329</v>
      </c>
      <c r="B5" s="443">
        <v>2001</v>
      </c>
      <c r="C5" s="443">
        <v>2002</v>
      </c>
      <c r="D5" s="443">
        <v>2003</v>
      </c>
      <c r="E5" s="443">
        <v>2004</v>
      </c>
      <c r="F5" s="443">
        <v>2005</v>
      </c>
      <c r="G5" s="443">
        <v>2006</v>
      </c>
      <c r="H5" s="443">
        <v>2007</v>
      </c>
      <c r="I5" s="443">
        <v>2008</v>
      </c>
      <c r="J5" s="443">
        <v>2009</v>
      </c>
      <c r="K5" s="443">
        <v>2010</v>
      </c>
      <c r="L5" s="443">
        <v>2011</v>
      </c>
      <c r="M5" s="443">
        <v>2012</v>
      </c>
      <c r="N5" s="444">
        <v>2013</v>
      </c>
      <c r="O5" s="445">
        <v>2014</v>
      </c>
      <c r="P5" s="446">
        <v>2015</v>
      </c>
      <c r="Q5" s="446">
        <v>2016</v>
      </c>
    </row>
    <row r="6" spans="1:17" ht="13.5" thickBot="1">
      <c r="A6" s="447" t="s">
        <v>330</v>
      </c>
      <c r="B6" s="448">
        <v>22.5</v>
      </c>
      <c r="C6" s="448">
        <v>37.9</v>
      </c>
      <c r="D6" s="448">
        <v>20.100000000000001</v>
      </c>
      <c r="E6" s="448">
        <v>31.7</v>
      </c>
      <c r="F6" s="448">
        <v>23.8</v>
      </c>
      <c r="G6" s="449">
        <v>33</v>
      </c>
      <c r="H6" s="450">
        <v>25.1</v>
      </c>
      <c r="I6" s="451">
        <v>35.5</v>
      </c>
      <c r="J6" s="451">
        <v>28.8</v>
      </c>
      <c r="K6" s="451">
        <v>36.799999999999997</v>
      </c>
      <c r="L6" s="451">
        <v>32.200000000000003</v>
      </c>
      <c r="M6" s="451">
        <v>38.299999999999997</v>
      </c>
      <c r="N6" s="452">
        <v>38.299999999999997</v>
      </c>
      <c r="O6" s="452">
        <v>32.6</v>
      </c>
      <c r="P6" s="452">
        <v>32</v>
      </c>
      <c r="Q6" s="452">
        <v>41.284999999999997</v>
      </c>
    </row>
    <row r="7" spans="1:17" ht="13.5" thickBot="1">
      <c r="A7" s="447" t="s">
        <v>331</v>
      </c>
      <c r="B7" s="448">
        <v>8.8000000000000007</v>
      </c>
      <c r="C7" s="448">
        <v>10.5</v>
      </c>
      <c r="D7" s="448">
        <v>8.6999999999999993</v>
      </c>
      <c r="E7" s="448">
        <v>7.5</v>
      </c>
      <c r="F7" s="448">
        <v>9.1</v>
      </c>
      <c r="G7" s="449">
        <v>9.5</v>
      </c>
      <c r="H7" s="450">
        <v>10.9</v>
      </c>
      <c r="I7" s="451">
        <v>10.5</v>
      </c>
      <c r="J7" s="451">
        <v>10.6</v>
      </c>
      <c r="K7" s="451">
        <v>11.2</v>
      </c>
      <c r="L7" s="451">
        <v>11.3</v>
      </c>
      <c r="M7" s="451">
        <v>12.5</v>
      </c>
      <c r="N7" s="452">
        <v>10.9</v>
      </c>
      <c r="O7" s="452">
        <v>13</v>
      </c>
      <c r="P7" s="452">
        <v>11.2</v>
      </c>
      <c r="Q7" s="452">
        <v>8.3539999999999992</v>
      </c>
    </row>
    <row r="8" spans="1:17" ht="13.5" thickBot="1">
      <c r="A8" s="453" t="s">
        <v>115</v>
      </c>
      <c r="B8" s="454">
        <f t="shared" ref="B8:P8" si="0">SUM(B6:B7)</f>
        <v>31.3</v>
      </c>
      <c r="C8" s="454">
        <f t="shared" si="0"/>
        <v>48.4</v>
      </c>
      <c r="D8" s="454">
        <f t="shared" si="0"/>
        <v>28.8</v>
      </c>
      <c r="E8" s="454">
        <f t="shared" si="0"/>
        <v>39.200000000000003</v>
      </c>
      <c r="F8" s="454">
        <f t="shared" si="0"/>
        <v>32.9</v>
      </c>
      <c r="G8" s="454">
        <f t="shared" si="0"/>
        <v>42.5</v>
      </c>
      <c r="H8" s="454">
        <f t="shared" si="0"/>
        <v>36</v>
      </c>
      <c r="I8" s="455">
        <f t="shared" si="0"/>
        <v>46</v>
      </c>
      <c r="J8" s="455">
        <f t="shared" si="0"/>
        <v>39.4</v>
      </c>
      <c r="K8" s="455">
        <f t="shared" si="0"/>
        <v>48</v>
      </c>
      <c r="L8" s="455">
        <f t="shared" si="0"/>
        <v>43.5</v>
      </c>
      <c r="M8" s="455">
        <f t="shared" si="0"/>
        <v>50.8</v>
      </c>
      <c r="N8" s="455">
        <f t="shared" si="0"/>
        <v>49.199999999999996</v>
      </c>
      <c r="O8" s="455">
        <f t="shared" si="0"/>
        <v>45.6</v>
      </c>
      <c r="P8" s="750">
        <f t="shared" si="0"/>
        <v>43.2</v>
      </c>
      <c r="Q8" s="750">
        <f>SUM(Q6:Q7)</f>
        <v>49.638999999999996</v>
      </c>
    </row>
    <row r="9" spans="1:17">
      <c r="B9">
        <v>31300</v>
      </c>
      <c r="C9">
        <v>48480</v>
      </c>
      <c r="D9">
        <v>28820</v>
      </c>
      <c r="E9">
        <v>39272</v>
      </c>
      <c r="F9">
        <v>32944</v>
      </c>
      <c r="G9">
        <v>42512</v>
      </c>
      <c r="H9">
        <v>36069.599999999999</v>
      </c>
      <c r="I9">
        <v>45992.1</v>
      </c>
      <c r="J9">
        <v>39469.9</v>
      </c>
      <c r="K9">
        <v>48094.8</v>
      </c>
      <c r="L9">
        <v>43484.2</v>
      </c>
      <c r="M9">
        <v>50826.400000000001</v>
      </c>
      <c r="N9">
        <v>49151.6</v>
      </c>
      <c r="O9">
        <v>45639</v>
      </c>
      <c r="P9">
        <v>43235</v>
      </c>
      <c r="Q9">
        <v>49639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dimension ref="A3:L23"/>
  <sheetViews>
    <sheetView workbookViewId="0">
      <selection activeCell="O8" sqref="O8"/>
    </sheetView>
  </sheetViews>
  <sheetFormatPr defaultRowHeight="12.75"/>
  <cols>
    <col min="1" max="1" width="10.140625" customWidth="1"/>
    <col min="2" max="2" width="10.28515625" bestFit="1" customWidth="1"/>
    <col min="3" max="3" width="8.5703125" customWidth="1"/>
    <col min="4" max="4" width="10" customWidth="1"/>
    <col min="5" max="5" width="7.7109375" bestFit="1" customWidth="1"/>
    <col min="6" max="6" width="8.85546875" bestFit="1" customWidth="1"/>
    <col min="7" max="7" width="10.42578125" bestFit="1" customWidth="1"/>
    <col min="8" max="8" width="7.85546875" bestFit="1" customWidth="1"/>
    <col min="9" max="9" width="8.7109375" bestFit="1" customWidth="1"/>
    <col min="10" max="10" width="6.42578125" bestFit="1" customWidth="1"/>
    <col min="11" max="11" width="8.7109375" bestFit="1" customWidth="1"/>
    <col min="12" max="12" width="9.28515625" bestFit="1" customWidth="1"/>
  </cols>
  <sheetData>
    <row r="3" spans="1:10">
      <c r="A3" s="1467" t="s">
        <v>569</v>
      </c>
      <c r="B3" s="1467"/>
      <c r="C3" s="1467"/>
      <c r="D3" s="1467"/>
      <c r="E3" s="1467"/>
      <c r="F3" s="1467"/>
      <c r="G3" s="1467"/>
      <c r="H3" s="1467"/>
      <c r="I3" s="1467"/>
      <c r="J3" s="1467"/>
    </row>
    <row r="4" spans="1:10">
      <c r="H4" s="1136"/>
    </row>
    <row r="5" spans="1:10" ht="25.5">
      <c r="A5" s="1197" t="s">
        <v>224</v>
      </c>
      <c r="B5" s="1197" t="s">
        <v>551</v>
      </c>
      <c r="C5" s="1197" t="s">
        <v>16</v>
      </c>
      <c r="D5" s="1197" t="s">
        <v>552</v>
      </c>
      <c r="E5" s="1197" t="s">
        <v>553</v>
      </c>
      <c r="F5" s="1197" t="s">
        <v>17</v>
      </c>
      <c r="G5" s="1197" t="s">
        <v>18</v>
      </c>
      <c r="H5" s="1197" t="s">
        <v>554</v>
      </c>
      <c r="I5" s="1197" t="s">
        <v>555</v>
      </c>
      <c r="J5" s="1200" t="s">
        <v>556</v>
      </c>
    </row>
    <row r="6" spans="1:10">
      <c r="A6" s="1195" t="s">
        <v>237</v>
      </c>
      <c r="B6" s="1202">
        <v>13250</v>
      </c>
      <c r="C6" s="1196">
        <v>39272</v>
      </c>
      <c r="D6" s="1136">
        <v>3.78</v>
      </c>
      <c r="E6" s="554">
        <f>B6+C6+D6</f>
        <v>52525.78</v>
      </c>
      <c r="F6" s="1136">
        <v>14940</v>
      </c>
      <c r="G6" s="1136">
        <v>27047.283833333298</v>
      </c>
      <c r="H6" s="554">
        <f>E6-(F6+G6)</f>
        <v>10538.4961666667</v>
      </c>
      <c r="I6" s="1136">
        <f>H6-B7</f>
        <v>-4878.5038333332996</v>
      </c>
      <c r="J6" s="1201">
        <f>((I6/E6)*100)*-1</f>
        <v>9.2878274883938889</v>
      </c>
    </row>
    <row r="7" spans="1:10">
      <c r="A7" s="1195" t="s">
        <v>239</v>
      </c>
      <c r="B7" s="1202">
        <v>15417</v>
      </c>
      <c r="C7" s="1136">
        <v>32944</v>
      </c>
      <c r="D7" s="1136">
        <v>4.1950000000000003</v>
      </c>
      <c r="E7" s="554">
        <f t="shared" ref="E7:E18" si="0">B7+C7+D7</f>
        <v>48365.195</v>
      </c>
      <c r="F7" s="1136">
        <v>15538</v>
      </c>
      <c r="G7" s="1136">
        <v>26431.422999999999</v>
      </c>
      <c r="H7" s="554">
        <f t="shared" ref="H7:H18" si="1">E7-(F7+G7)</f>
        <v>6395.7720000000045</v>
      </c>
      <c r="I7" s="1136">
        <f t="shared" ref="I7:I17" si="2">H7-B8</f>
        <v>-5459.2279999999955</v>
      </c>
      <c r="J7" s="1201">
        <f t="shared" ref="J7:J17" si="3">((I7/E7)*100)*-1</f>
        <v>11.287513675898538</v>
      </c>
    </row>
    <row r="8" spans="1:10">
      <c r="A8" s="1195" t="s">
        <v>240</v>
      </c>
      <c r="B8" s="1202">
        <v>11855</v>
      </c>
      <c r="C8" s="1136">
        <v>42512</v>
      </c>
      <c r="D8" s="1136">
        <v>5.3630000000000004</v>
      </c>
      <c r="E8" s="554">
        <f t="shared" si="0"/>
        <v>54372.362999999998</v>
      </c>
      <c r="F8" s="1136">
        <v>16331</v>
      </c>
      <c r="G8" s="1136">
        <v>27977.662333333301</v>
      </c>
      <c r="H8" s="554">
        <f t="shared" si="1"/>
        <v>10063.7006666667</v>
      </c>
      <c r="I8" s="1136">
        <f t="shared" si="2"/>
        <v>-8406.2993333332997</v>
      </c>
      <c r="J8" s="1201">
        <f t="shared" si="3"/>
        <v>15.460610629214882</v>
      </c>
    </row>
    <row r="9" spans="1:10">
      <c r="A9" s="1195" t="s">
        <v>242</v>
      </c>
      <c r="B9" s="1202">
        <v>18470</v>
      </c>
      <c r="C9" s="1136">
        <v>36069.599999999999</v>
      </c>
      <c r="D9" s="1136">
        <v>7.5540000000000003</v>
      </c>
      <c r="E9" s="554">
        <f t="shared" si="0"/>
        <v>54547.153999999995</v>
      </c>
      <c r="F9" s="1136">
        <v>17120</v>
      </c>
      <c r="G9" s="1136">
        <v>28398.201000000001</v>
      </c>
      <c r="H9" s="554">
        <f t="shared" si="1"/>
        <v>9028.9529999999941</v>
      </c>
      <c r="I9" s="1136">
        <f t="shared" si="2"/>
        <v>-4173.0470000000059</v>
      </c>
      <c r="J9" s="1201">
        <f t="shared" si="3"/>
        <v>7.6503478073301618</v>
      </c>
    </row>
    <row r="10" spans="1:10">
      <c r="A10" s="1195" t="s">
        <v>243</v>
      </c>
      <c r="B10" s="1202">
        <v>13202</v>
      </c>
      <c r="C10" s="1136">
        <v>45992.1</v>
      </c>
      <c r="D10" s="1136">
        <v>19.670000000000002</v>
      </c>
      <c r="E10" s="554">
        <f t="shared" si="0"/>
        <v>59213.77</v>
      </c>
      <c r="F10" s="1136">
        <v>17660</v>
      </c>
      <c r="G10" s="1136">
        <v>29727.6933333333</v>
      </c>
      <c r="H10" s="554">
        <f t="shared" si="1"/>
        <v>11826.076666666697</v>
      </c>
      <c r="I10" s="1136">
        <f t="shared" si="2"/>
        <v>-3939.9233333333032</v>
      </c>
      <c r="J10" s="1201">
        <f t="shared" si="3"/>
        <v>6.65372823472193</v>
      </c>
    </row>
    <row r="11" spans="1:10">
      <c r="A11" s="1195" t="s">
        <v>557</v>
      </c>
      <c r="B11" s="1202">
        <v>15766</v>
      </c>
      <c r="C11" s="1136">
        <v>39469.9</v>
      </c>
      <c r="D11" s="1136">
        <v>23.004000000000001</v>
      </c>
      <c r="E11" s="554">
        <f t="shared" si="0"/>
        <v>55258.904000000002</v>
      </c>
      <c r="F11" s="1136">
        <v>18389</v>
      </c>
      <c r="G11" s="1136">
        <v>30481.322649999998</v>
      </c>
      <c r="H11" s="554">
        <f t="shared" si="1"/>
        <v>6388.5813500000004</v>
      </c>
      <c r="I11" s="1136">
        <f t="shared" si="2"/>
        <v>-4709.4186499999996</v>
      </c>
      <c r="J11" s="1201">
        <f t="shared" si="3"/>
        <v>8.5224611946700914</v>
      </c>
    </row>
    <row r="12" spans="1:10">
      <c r="A12" s="1195" t="s">
        <v>558</v>
      </c>
      <c r="B12" s="1202">
        <v>11098</v>
      </c>
      <c r="C12" s="1136">
        <v>48094.8</v>
      </c>
      <c r="D12" s="1136">
        <v>32.415999999999997</v>
      </c>
      <c r="E12" s="554">
        <f t="shared" si="0"/>
        <v>59225.216</v>
      </c>
      <c r="F12" s="1136">
        <v>19130</v>
      </c>
      <c r="G12" s="1136">
        <v>33493.702333333298</v>
      </c>
      <c r="H12" s="554">
        <f t="shared" si="1"/>
        <v>6601.5136666667022</v>
      </c>
      <c r="I12" s="1136">
        <f t="shared" si="2"/>
        <v>-4738.4863333332978</v>
      </c>
      <c r="J12" s="1201">
        <f t="shared" si="3"/>
        <v>8.0007919824780345</v>
      </c>
    </row>
    <row r="13" spans="1:10">
      <c r="A13" s="1195" t="s">
        <v>570</v>
      </c>
      <c r="B13" s="1202">
        <v>11340</v>
      </c>
      <c r="C13" s="1136">
        <v>43484.2</v>
      </c>
      <c r="D13" s="1136">
        <v>43.456000000000003</v>
      </c>
      <c r="E13" s="554">
        <f t="shared" si="0"/>
        <v>54867.655999999995</v>
      </c>
      <c r="F13" s="1136">
        <v>19720</v>
      </c>
      <c r="G13" s="1136">
        <v>33609.866999999998</v>
      </c>
      <c r="H13" s="554">
        <f t="shared" si="1"/>
        <v>1537.788999999997</v>
      </c>
      <c r="I13" s="1136">
        <f t="shared" si="2"/>
        <v>-8524.211000000003</v>
      </c>
      <c r="J13" s="1201">
        <f t="shared" si="3"/>
        <v>15.535948902209352</v>
      </c>
    </row>
    <row r="14" spans="1:10">
      <c r="A14" s="1195" t="s">
        <v>559</v>
      </c>
      <c r="B14" s="1202">
        <v>10062</v>
      </c>
      <c r="C14" s="1136">
        <v>50826.400000000001</v>
      </c>
      <c r="D14" s="1136">
        <v>62.631999999999998</v>
      </c>
      <c r="E14" s="554">
        <f t="shared" si="0"/>
        <v>60951.031999999999</v>
      </c>
      <c r="F14" s="1136">
        <v>20330</v>
      </c>
      <c r="G14" s="1136">
        <v>28735.184583333299</v>
      </c>
      <c r="H14" s="554">
        <f t="shared" si="1"/>
        <v>11885.8474166667</v>
      </c>
      <c r="I14" s="1136">
        <f t="shared" si="2"/>
        <v>-3705.1525833332998</v>
      </c>
      <c r="J14" s="1201">
        <f t="shared" si="3"/>
        <v>6.0789004906976798</v>
      </c>
    </row>
    <row r="15" spans="1:10">
      <c r="A15" s="1195" t="s">
        <v>560</v>
      </c>
      <c r="B15" s="1202">
        <v>15591</v>
      </c>
      <c r="C15" s="1136">
        <v>49151.6</v>
      </c>
      <c r="D15" s="1136">
        <v>62.624000000000002</v>
      </c>
      <c r="E15" s="554">
        <f t="shared" si="0"/>
        <v>64805.224000000002</v>
      </c>
      <c r="F15" s="1136">
        <v>20080</v>
      </c>
      <c r="G15" s="1136">
        <v>32010.330166666699</v>
      </c>
      <c r="H15" s="554">
        <f t="shared" si="1"/>
        <v>12714.893833333306</v>
      </c>
      <c r="I15" s="1136">
        <f t="shared" si="2"/>
        <v>-4156.1061666666938</v>
      </c>
      <c r="J15" s="1201">
        <f t="shared" si="3"/>
        <v>6.4132270674146481</v>
      </c>
    </row>
    <row r="16" spans="1:10">
      <c r="A16" s="1195" t="s">
        <v>561</v>
      </c>
      <c r="B16" s="1202">
        <v>16871</v>
      </c>
      <c r="C16" s="1196">
        <v>45346</v>
      </c>
      <c r="D16" s="1136">
        <v>92.561000000000007</v>
      </c>
      <c r="E16" s="554">
        <f t="shared" si="0"/>
        <v>62309.561000000002</v>
      </c>
      <c r="F16" s="1136">
        <v>20300</v>
      </c>
      <c r="G16" s="1136">
        <v>36735.221141666698</v>
      </c>
      <c r="H16" s="554">
        <f t="shared" si="1"/>
        <v>5274.3398583333037</v>
      </c>
      <c r="I16" s="1136">
        <f t="shared" si="2"/>
        <v>-10641.660141666696</v>
      </c>
      <c r="J16" s="1201">
        <f t="shared" si="3"/>
        <v>17.078695421504726</v>
      </c>
    </row>
    <row r="17" spans="1:12">
      <c r="A17" s="1204" t="s">
        <v>562</v>
      </c>
      <c r="B17" s="1202">
        <v>15916</v>
      </c>
      <c r="C17" s="1196">
        <v>43235</v>
      </c>
      <c r="D17" s="1136">
        <v>149.05500000000001</v>
      </c>
      <c r="E17" s="554">
        <f t="shared" si="0"/>
        <v>59300.055</v>
      </c>
      <c r="F17" s="1136">
        <v>21000</v>
      </c>
      <c r="G17" s="1136">
        <v>37119.724000000002</v>
      </c>
      <c r="H17" s="554">
        <f t="shared" si="1"/>
        <v>1180.3309999999983</v>
      </c>
      <c r="I17" s="1136">
        <f t="shared" si="2"/>
        <v>-13715.669000000002</v>
      </c>
      <c r="J17" s="1201">
        <f t="shared" si="3"/>
        <v>23.129268598486124</v>
      </c>
    </row>
    <row r="18" spans="1:12">
      <c r="A18" s="1205" t="s">
        <v>563</v>
      </c>
      <c r="B18" s="1203">
        <v>14896</v>
      </c>
      <c r="C18" s="1198">
        <v>49640</v>
      </c>
      <c r="D18" s="1198">
        <v>160</v>
      </c>
      <c r="E18" s="1199">
        <f t="shared" si="0"/>
        <v>64696</v>
      </c>
      <c r="F18" s="1198">
        <v>21500</v>
      </c>
      <c r="G18" s="1198">
        <v>35000</v>
      </c>
      <c r="H18" s="1199">
        <f t="shared" si="1"/>
        <v>8196</v>
      </c>
      <c r="I18" s="1198">
        <v>0</v>
      </c>
      <c r="J18" s="1198">
        <v>0</v>
      </c>
      <c r="L18" s="1185"/>
    </row>
    <row r="19" spans="1:12">
      <c r="A19" s="1206" t="s">
        <v>568</v>
      </c>
      <c r="B19" s="1207"/>
    </row>
    <row r="20" spans="1:12">
      <c r="A20" s="1206" t="s">
        <v>566</v>
      </c>
    </row>
    <row r="21" spans="1:12">
      <c r="A21" s="1206" t="s">
        <v>564</v>
      </c>
    </row>
    <row r="22" spans="1:12">
      <c r="A22" s="1206" t="s">
        <v>567</v>
      </c>
    </row>
    <row r="23" spans="1:12">
      <c r="A23" s="1206" t="s">
        <v>565</v>
      </c>
    </row>
  </sheetData>
  <mergeCells count="1">
    <mergeCell ref="A3:J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G5" sqref="G5"/>
    </sheetView>
  </sheetViews>
  <sheetFormatPr defaultRowHeight="12.75"/>
  <cols>
    <col min="1" max="1" width="3.5703125" style="1253" customWidth="1"/>
    <col min="2" max="2" width="133.28515625" customWidth="1"/>
    <col min="3" max="3" width="3.5703125" customWidth="1"/>
  </cols>
  <sheetData>
    <row r="1" spans="1:3" ht="15" customHeight="1">
      <c r="A1" s="278"/>
      <c r="B1" s="278"/>
      <c r="C1" s="278"/>
    </row>
    <row r="2" spans="1:3" ht="18.75" customHeight="1">
      <c r="A2" s="278"/>
      <c r="B2" s="1250" t="s">
        <v>608</v>
      </c>
      <c r="C2" s="278"/>
    </row>
    <row r="3" spans="1:3" ht="151.5" customHeight="1">
      <c r="A3" s="1155"/>
      <c r="B3" s="1565" t="s">
        <v>615</v>
      </c>
      <c r="C3" s="278"/>
    </row>
    <row r="4" spans="1:3" ht="11.25" customHeight="1">
      <c r="A4" s="278"/>
      <c r="B4" s="1301"/>
      <c r="C4" s="278"/>
    </row>
    <row r="5" spans="1:3" ht="58.5" customHeight="1">
      <c r="A5" s="278"/>
      <c r="B5" s="1309" t="s">
        <v>612</v>
      </c>
      <c r="C5" s="278"/>
    </row>
    <row r="6" spans="1:3" ht="11.25" customHeight="1">
      <c r="A6" s="278"/>
      <c r="B6" s="1302"/>
      <c r="C6" s="440"/>
    </row>
    <row r="7" spans="1:3" ht="60" customHeight="1">
      <c r="A7" s="278"/>
      <c r="B7" s="1251" t="s">
        <v>613</v>
      </c>
      <c r="C7" s="278"/>
    </row>
    <row r="8" spans="1:3" ht="9" customHeight="1">
      <c r="A8" s="278"/>
      <c r="B8" s="1303"/>
      <c r="C8" s="278"/>
    </row>
    <row r="9" spans="1:3" ht="92.25" customHeight="1">
      <c r="A9" s="278"/>
      <c r="B9" s="1309" t="s">
        <v>614</v>
      </c>
      <c r="C9" s="278"/>
    </row>
    <row r="10" spans="1:3" ht="9" customHeight="1">
      <c r="A10" s="278"/>
      <c r="B10" s="1303"/>
      <c r="C10" s="278"/>
    </row>
    <row r="11" spans="1:3" ht="9" customHeight="1">
      <c r="A11" s="278"/>
      <c r="B11" s="1251"/>
      <c r="C11" s="278"/>
    </row>
    <row r="12" spans="1:3" ht="9" customHeight="1">
      <c r="A12" s="278"/>
      <c r="B12" s="1252"/>
      <c r="C12" s="278"/>
    </row>
    <row r="13" spans="1:3" ht="15" customHeight="1">
      <c r="A13" s="278"/>
      <c r="B13" s="278"/>
      <c r="C13" s="27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8"/>
  <sheetViews>
    <sheetView zoomScaleNormal="100" workbookViewId="0">
      <selection activeCell="V26" sqref="V26"/>
    </sheetView>
  </sheetViews>
  <sheetFormatPr defaultRowHeight="12.75"/>
  <cols>
    <col min="1" max="1" width="2.7109375" customWidth="1"/>
    <col min="2" max="2" width="2.28515625" customWidth="1"/>
    <col min="3" max="3" width="12.5703125" customWidth="1"/>
    <col min="4" max="4" width="8.85546875" bestFit="1" customWidth="1"/>
    <col min="5" max="5" width="6.7109375" customWidth="1"/>
    <col min="6" max="6" width="7.42578125" bestFit="1" customWidth="1"/>
    <col min="7" max="7" width="6.7109375" bestFit="1" customWidth="1"/>
    <col min="8" max="8" width="8.85546875" bestFit="1" customWidth="1"/>
    <col min="9" max="9" width="6.7109375" customWidth="1"/>
    <col min="10" max="10" width="1.7109375" customWidth="1"/>
    <col min="11" max="11" width="12.85546875" customWidth="1"/>
    <col min="12" max="12" width="7.7109375" bestFit="1" customWidth="1"/>
    <col min="13" max="13" width="7.28515625" customWidth="1"/>
    <col min="14" max="14" width="7.5703125" bestFit="1" customWidth="1"/>
    <col min="15" max="15" width="1.7109375" customWidth="1"/>
    <col min="16" max="16" width="13.7109375" bestFit="1" customWidth="1"/>
    <col min="17" max="17" width="9" bestFit="1" customWidth="1"/>
    <col min="18" max="18" width="6.7109375" bestFit="1" customWidth="1"/>
    <col min="19" max="19" width="7.140625" bestFit="1" customWidth="1"/>
    <col min="20" max="20" width="2.28515625" customWidth="1"/>
    <col min="21" max="21" width="2.7109375" customWidth="1"/>
  </cols>
  <sheetData>
    <row r="1" spans="1:21" ht="16.5" customHeight="1">
      <c r="A1" s="1568" t="s">
        <v>402</v>
      </c>
      <c r="B1" s="1568"/>
      <c r="C1" s="1568"/>
      <c r="D1" s="1568"/>
      <c r="E1" s="1568"/>
      <c r="F1" s="1568"/>
      <c r="G1" s="1568"/>
      <c r="H1" s="1568"/>
      <c r="I1" s="1568"/>
      <c r="J1" s="1568"/>
      <c r="K1" s="1568"/>
      <c r="L1" s="1568"/>
      <c r="M1" s="1568"/>
      <c r="N1" s="1568"/>
      <c r="O1" s="1568"/>
      <c r="P1" s="1568"/>
      <c r="Q1" s="1568"/>
      <c r="R1" s="1568"/>
      <c r="S1" s="1568"/>
      <c r="T1" s="1568"/>
      <c r="U1" s="1568"/>
    </row>
    <row r="2" spans="1:21" ht="13.5" customHeight="1">
      <c r="A2" s="58"/>
      <c r="B2" s="255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7"/>
      <c r="U2" s="57"/>
    </row>
    <row r="3" spans="1:21" ht="13.5" customHeight="1">
      <c r="A3" s="58"/>
      <c r="B3" s="1159"/>
      <c r="C3" s="1160"/>
      <c r="D3" s="1160"/>
      <c r="E3" s="1160"/>
      <c r="F3" s="1160"/>
      <c r="G3" s="1160"/>
      <c r="H3" s="1160"/>
      <c r="I3" s="1160"/>
      <c r="J3" s="1160"/>
      <c r="K3" s="1160"/>
      <c r="L3" s="1160"/>
      <c r="M3" s="1160"/>
      <c r="N3" s="1160"/>
      <c r="O3" s="1160"/>
      <c r="P3" s="1160"/>
      <c r="Q3" s="1160"/>
      <c r="R3" s="1160"/>
      <c r="S3" s="1160"/>
      <c r="T3" s="1161"/>
      <c r="U3" s="57"/>
    </row>
    <row r="4" spans="1:21" ht="14.25" customHeight="1">
      <c r="A4" s="60"/>
      <c r="B4" s="1311" t="s">
        <v>399</v>
      </c>
      <c r="C4" s="1312"/>
      <c r="D4" s="1312"/>
      <c r="E4" s="1312"/>
      <c r="F4" s="1312"/>
      <c r="G4" s="1312"/>
      <c r="H4" s="1312"/>
      <c r="I4" s="1312"/>
      <c r="J4" s="1312"/>
      <c r="K4" s="1312"/>
      <c r="L4" s="1312"/>
      <c r="M4" s="1312"/>
      <c r="N4" s="1312"/>
      <c r="O4" s="1312"/>
      <c r="P4" s="1312"/>
      <c r="Q4" s="1312"/>
      <c r="R4" s="1312"/>
      <c r="S4" s="1312"/>
      <c r="T4" s="1313"/>
      <c r="U4" s="57"/>
    </row>
    <row r="5" spans="1:21" ht="13.5" customHeight="1">
      <c r="A5" s="60"/>
      <c r="B5" s="125"/>
      <c r="C5" s="1312"/>
      <c r="D5" s="1312"/>
      <c r="E5" s="1312"/>
      <c r="F5" s="1312"/>
      <c r="G5" s="1312"/>
      <c r="H5" s="1312"/>
      <c r="I5" s="1312"/>
      <c r="J5" s="489"/>
      <c r="K5" s="489"/>
      <c r="L5" s="489"/>
      <c r="M5" s="489"/>
      <c r="N5" s="489"/>
      <c r="O5" s="489"/>
      <c r="P5" s="489"/>
      <c r="Q5" s="489"/>
      <c r="R5" s="489"/>
      <c r="S5" s="489"/>
      <c r="T5" s="490"/>
      <c r="U5" s="58"/>
    </row>
    <row r="6" spans="1:21" ht="13.5" customHeight="1">
      <c r="A6" s="60"/>
      <c r="B6" s="125"/>
      <c r="C6" s="1160"/>
      <c r="D6" s="1160"/>
      <c r="E6" s="1160"/>
      <c r="F6" s="1160"/>
      <c r="G6" s="1160"/>
      <c r="H6" s="1160"/>
      <c r="I6" s="1160"/>
      <c r="J6" s="489"/>
      <c r="K6" s="489"/>
      <c r="L6" s="489"/>
      <c r="M6" s="489"/>
      <c r="N6" s="489"/>
      <c r="O6" s="489"/>
      <c r="P6" s="489"/>
      <c r="Q6" s="489"/>
      <c r="R6" s="489"/>
      <c r="S6" s="489"/>
      <c r="T6" s="490"/>
      <c r="U6" s="58"/>
    </row>
    <row r="7" spans="1:21" ht="17.100000000000001" customHeight="1">
      <c r="A7" s="60"/>
      <c r="B7" s="97"/>
      <c r="C7" s="1315" t="s">
        <v>397</v>
      </c>
      <c r="D7" s="1315"/>
      <c r="E7" s="1315"/>
      <c r="F7" s="1315"/>
      <c r="G7" s="1315"/>
      <c r="H7" s="1315"/>
      <c r="I7" s="1315"/>
      <c r="J7" s="99"/>
      <c r="K7" s="1315" t="s">
        <v>398</v>
      </c>
      <c r="L7" s="1315"/>
      <c r="M7" s="1315"/>
      <c r="N7" s="1315"/>
      <c r="O7" s="1315"/>
      <c r="P7" s="1315"/>
      <c r="Q7" s="1315"/>
      <c r="R7" s="1315"/>
      <c r="S7" s="1315"/>
      <c r="T7" s="100"/>
      <c r="U7" s="58"/>
    </row>
    <row r="8" spans="1:21" ht="17.25" customHeight="1" thickBot="1">
      <c r="A8" s="60"/>
      <c r="B8" s="101"/>
      <c r="C8" s="1314" t="s">
        <v>432</v>
      </c>
      <c r="D8" s="1314"/>
      <c r="E8" s="1314"/>
      <c r="F8" s="1314"/>
      <c r="G8" s="1314"/>
      <c r="H8" s="1314"/>
      <c r="I8" s="1314"/>
      <c r="J8" s="99"/>
      <c r="K8" s="1314" t="s">
        <v>400</v>
      </c>
      <c r="L8" s="1314"/>
      <c r="M8" s="1314"/>
      <c r="N8" s="1314"/>
      <c r="O8" s="274"/>
      <c r="P8" s="1314" t="s">
        <v>609</v>
      </c>
      <c r="Q8" s="1314"/>
      <c r="R8" s="1314"/>
      <c r="S8" s="1314"/>
      <c r="T8" s="102"/>
      <c r="U8" s="58"/>
    </row>
    <row r="9" spans="1:21" ht="24" customHeight="1" thickBot="1">
      <c r="A9" s="60"/>
      <c r="B9" s="101"/>
      <c r="C9" s="356" t="s">
        <v>15</v>
      </c>
      <c r="D9" s="355" t="s">
        <v>16</v>
      </c>
      <c r="E9" s="357" t="s">
        <v>12</v>
      </c>
      <c r="F9" s="358" t="s">
        <v>315</v>
      </c>
      <c r="G9" s="356" t="s">
        <v>12</v>
      </c>
      <c r="H9" s="358" t="s">
        <v>17</v>
      </c>
      <c r="I9" s="359" t="s">
        <v>12</v>
      </c>
      <c r="J9" s="360"/>
      <c r="K9" s="356" t="s">
        <v>204</v>
      </c>
      <c r="L9" s="358" t="s">
        <v>317</v>
      </c>
      <c r="M9" s="358" t="s">
        <v>12</v>
      </c>
      <c r="N9" s="361" t="s">
        <v>316</v>
      </c>
      <c r="O9" s="360"/>
      <c r="P9" s="356" t="s">
        <v>204</v>
      </c>
      <c r="Q9" s="358" t="s">
        <v>317</v>
      </c>
      <c r="R9" s="358" t="s">
        <v>12</v>
      </c>
      <c r="S9" s="361" t="s">
        <v>316</v>
      </c>
      <c r="T9" s="491"/>
      <c r="U9" s="58"/>
    </row>
    <row r="10" spans="1:21" ht="18" customHeight="1">
      <c r="A10" s="60"/>
      <c r="B10" s="101"/>
      <c r="C10" s="266" t="s">
        <v>0</v>
      </c>
      <c r="D10" s="267">
        <v>43.234999999999999</v>
      </c>
      <c r="E10" s="208">
        <f>(D10/D26)*100</f>
        <v>30.156028764533971</v>
      </c>
      <c r="F10" s="267">
        <v>37.119</v>
      </c>
      <c r="G10" s="208">
        <f>(F10/F26)*100</f>
        <v>33.512395948068828</v>
      </c>
      <c r="H10" s="267">
        <v>21</v>
      </c>
      <c r="I10" s="213">
        <f>(H10/D10)*100</f>
        <v>48.571758991557765</v>
      </c>
      <c r="J10" s="104"/>
      <c r="K10" s="831" t="s">
        <v>1</v>
      </c>
      <c r="L10" s="832">
        <v>7897.9579999999996</v>
      </c>
      <c r="M10" s="267">
        <f t="shared" ref="M10:M26" si="0">(L10/$L$26)*100</f>
        <v>21.277322903061258</v>
      </c>
      <c r="N10" s="832">
        <v>1272.104</v>
      </c>
      <c r="O10" s="275"/>
      <c r="P10" s="1297" t="s">
        <v>1</v>
      </c>
      <c r="Q10" s="832">
        <v>4753.7746091666668</v>
      </c>
      <c r="R10" s="267">
        <f t="shared" ref="R10:R15" si="1">(Q10/$Q$26)*100</f>
        <v>19.417427535195927</v>
      </c>
      <c r="S10" s="832">
        <v>711.69381399999997</v>
      </c>
      <c r="T10" s="105"/>
      <c r="U10" s="58"/>
    </row>
    <row r="11" spans="1:21" ht="18" customHeight="1">
      <c r="A11" s="60"/>
      <c r="B11" s="101"/>
      <c r="C11" s="268" t="s">
        <v>170</v>
      </c>
      <c r="D11" s="267">
        <v>27.5</v>
      </c>
      <c r="E11" s="208">
        <f>(D11/D26)*100</f>
        <v>19.181005921699644</v>
      </c>
      <c r="F11" s="269">
        <v>20.204999999999998</v>
      </c>
      <c r="G11" s="208">
        <f>(F11/F26)*100</f>
        <v>18.241815785197087</v>
      </c>
      <c r="H11" s="269">
        <v>2.2999999999999998</v>
      </c>
      <c r="I11" s="213">
        <f t="shared" ref="I11:I26" si="2">(H11/D11)*100</f>
        <v>8.3636363636363633</v>
      </c>
      <c r="J11" s="104"/>
      <c r="K11" s="833" t="s">
        <v>193</v>
      </c>
      <c r="L11" s="832">
        <v>6551.268</v>
      </c>
      <c r="M11" s="267">
        <f t="shared" si="0"/>
        <v>17.649301839854342</v>
      </c>
      <c r="N11" s="832">
        <v>1074.6969999999999</v>
      </c>
      <c r="O11" s="275"/>
      <c r="P11" s="1298" t="s">
        <v>193</v>
      </c>
      <c r="Q11" s="832">
        <v>4359.8572028333338</v>
      </c>
      <c r="R11" s="267">
        <f t="shared" si="1"/>
        <v>17.80841925836669</v>
      </c>
      <c r="S11" s="832">
        <v>634.58366099999989</v>
      </c>
      <c r="T11" s="107"/>
      <c r="U11" s="58"/>
    </row>
    <row r="12" spans="1:21" ht="18" customHeight="1">
      <c r="A12" s="60"/>
      <c r="B12" s="101"/>
      <c r="C12" s="266" t="s">
        <v>171</v>
      </c>
      <c r="D12" s="267">
        <v>13.5</v>
      </c>
      <c r="E12" s="208">
        <f>(D12/D26)*100</f>
        <v>9.4161301797434618</v>
      </c>
      <c r="F12" s="269">
        <v>12.281000000000001</v>
      </c>
      <c r="G12" s="208">
        <f>(F12/F26)*100</f>
        <v>11.087737671764684</v>
      </c>
      <c r="H12" s="269">
        <v>1.6</v>
      </c>
      <c r="I12" s="213">
        <f t="shared" si="2"/>
        <v>11.851851851851853</v>
      </c>
      <c r="J12" s="104"/>
      <c r="K12" s="833" t="s">
        <v>194</v>
      </c>
      <c r="L12" s="832">
        <v>3070.5819999999999</v>
      </c>
      <c r="M12" s="267">
        <f t="shared" si="0"/>
        <v>8.2722350149655952</v>
      </c>
      <c r="N12" s="832">
        <v>565.34400000000005</v>
      </c>
      <c r="O12" s="275"/>
      <c r="P12" s="1298" t="s">
        <v>194</v>
      </c>
      <c r="Q12" s="832">
        <v>2049.0612166666665</v>
      </c>
      <c r="R12" s="267">
        <f t="shared" si="1"/>
        <v>8.3696643111946187</v>
      </c>
      <c r="S12" s="832">
        <v>334.49552600000004</v>
      </c>
      <c r="T12" s="107"/>
      <c r="U12" s="58"/>
    </row>
    <row r="13" spans="1:21" ht="18" customHeight="1">
      <c r="A13" s="60"/>
      <c r="B13" s="101"/>
      <c r="C13" s="266" t="s">
        <v>172</v>
      </c>
      <c r="D13" s="267">
        <v>11</v>
      </c>
      <c r="E13" s="208">
        <f>(D13/D26)*100</f>
        <v>7.6724023686798581</v>
      </c>
      <c r="F13" s="269">
        <v>6.6459999999999999</v>
      </c>
      <c r="G13" s="208">
        <f>(F13/F26)*100</f>
        <v>6.0002527942796267</v>
      </c>
      <c r="H13" s="269">
        <v>4.17</v>
      </c>
      <c r="I13" s="213">
        <f t="shared" si="2"/>
        <v>37.909090909090907</v>
      </c>
      <c r="J13" s="104"/>
      <c r="K13" s="833" t="s">
        <v>196</v>
      </c>
      <c r="L13" s="832">
        <v>2527.114</v>
      </c>
      <c r="M13" s="267">
        <f t="shared" si="0"/>
        <v>6.8081168057422881</v>
      </c>
      <c r="N13" s="832">
        <v>490.75400000000002</v>
      </c>
      <c r="O13" s="275"/>
      <c r="P13" s="1298" t="s">
        <v>196</v>
      </c>
      <c r="Q13" s="832">
        <v>1866.5439888333333</v>
      </c>
      <c r="R13" s="267">
        <f t="shared" si="1"/>
        <v>7.6241483082809136</v>
      </c>
      <c r="S13" s="832">
        <v>325.07429000000002</v>
      </c>
      <c r="T13" s="107"/>
      <c r="U13" s="58"/>
    </row>
    <row r="14" spans="1:21" ht="18" customHeight="1">
      <c r="A14" s="60"/>
      <c r="B14" s="101"/>
      <c r="C14" s="266" t="s">
        <v>173</v>
      </c>
      <c r="D14" s="267">
        <v>6.4</v>
      </c>
      <c r="E14" s="208">
        <f>(D14/D26)*100</f>
        <v>4.4639431963228269</v>
      </c>
      <c r="F14" s="269">
        <v>2.8719999999999999</v>
      </c>
      <c r="G14" s="208">
        <f>(F14/F26)*100</f>
        <v>2.5929470395984184</v>
      </c>
      <c r="H14" s="269">
        <v>3.7</v>
      </c>
      <c r="I14" s="213">
        <f t="shared" si="2"/>
        <v>57.8125</v>
      </c>
      <c r="J14" s="104"/>
      <c r="K14" s="833" t="s">
        <v>195</v>
      </c>
      <c r="L14" s="832">
        <v>2291.6469999999999</v>
      </c>
      <c r="M14" s="267">
        <f t="shared" si="0"/>
        <v>6.1737620279611036</v>
      </c>
      <c r="N14" s="832">
        <v>406.476</v>
      </c>
      <c r="O14" s="275"/>
      <c r="P14" s="1298" t="s">
        <v>593</v>
      </c>
      <c r="Q14" s="832">
        <v>1435.40625</v>
      </c>
      <c r="R14" s="267">
        <f t="shared" si="1"/>
        <v>5.8631086104076457</v>
      </c>
      <c r="S14" s="832">
        <v>226.673405</v>
      </c>
      <c r="T14" s="107"/>
      <c r="U14" s="58"/>
    </row>
    <row r="15" spans="1:21" ht="18" customHeight="1">
      <c r="A15" s="60"/>
      <c r="B15" s="101"/>
      <c r="C15" s="266" t="s">
        <v>174</v>
      </c>
      <c r="D15" s="267">
        <v>5.8</v>
      </c>
      <c r="E15" s="208">
        <f>(D15/D26)*100</f>
        <v>4.0454485216675611</v>
      </c>
      <c r="F15" s="267">
        <v>5.1150000000000002</v>
      </c>
      <c r="G15" s="208">
        <f>(F15/F26)*100</f>
        <v>4.618009786749969</v>
      </c>
      <c r="H15" s="269">
        <v>2.25</v>
      </c>
      <c r="I15" s="213">
        <f t="shared" si="2"/>
        <v>38.793103448275865</v>
      </c>
      <c r="J15" s="104"/>
      <c r="K15" s="833" t="s">
        <v>199</v>
      </c>
      <c r="L15" s="832">
        <v>1042.9000000000001</v>
      </c>
      <c r="M15" s="267">
        <f t="shared" si="0"/>
        <v>2.8096021852233943</v>
      </c>
      <c r="N15" s="832">
        <v>174.02</v>
      </c>
      <c r="O15" s="275"/>
      <c r="P15" s="1298" t="s">
        <v>202</v>
      </c>
      <c r="Q15" s="832">
        <v>681.79366999999991</v>
      </c>
      <c r="R15" s="267">
        <f t="shared" si="1"/>
        <v>2.7848773384527403</v>
      </c>
      <c r="S15" s="832">
        <v>103.945216</v>
      </c>
      <c r="T15" s="107"/>
      <c r="U15" s="58"/>
    </row>
    <row r="16" spans="1:21" ht="18" customHeight="1">
      <c r="A16" s="60"/>
      <c r="B16" s="101"/>
      <c r="C16" s="266" t="s">
        <v>176</v>
      </c>
      <c r="D16" s="267">
        <v>5.8</v>
      </c>
      <c r="E16" s="208">
        <f>(D16/D26)*100</f>
        <v>4.0454485216675611</v>
      </c>
      <c r="F16" s="269">
        <v>5.0199999999999996</v>
      </c>
      <c r="G16" s="208">
        <f>(F16/F26)*100</f>
        <v>4.5322402990195183</v>
      </c>
      <c r="H16" s="269">
        <v>0.25</v>
      </c>
      <c r="I16" s="213">
        <f t="shared" si="2"/>
        <v>4.3103448275862073</v>
      </c>
      <c r="J16" s="104"/>
      <c r="K16" s="833" t="s">
        <v>201</v>
      </c>
      <c r="L16" s="832">
        <v>815.55399999999997</v>
      </c>
      <c r="M16" s="267">
        <f t="shared" si="0"/>
        <v>2.1971256118205771</v>
      </c>
      <c r="N16" s="832">
        <v>117.19499999999999</v>
      </c>
      <c r="O16" s="275"/>
      <c r="P16" s="1298" t="s">
        <v>198</v>
      </c>
      <c r="Q16" s="832">
        <v>614.95575333333329</v>
      </c>
      <c r="R16" s="267">
        <f>(Q18/$Q$26)*100</f>
        <v>2.1897236786210272</v>
      </c>
      <c r="S16" s="832">
        <v>95.741905000000003</v>
      </c>
      <c r="T16" s="107"/>
      <c r="U16" s="58"/>
    </row>
    <row r="17" spans="1:21" ht="18" customHeight="1">
      <c r="A17" s="60"/>
      <c r="B17" s="101"/>
      <c r="C17" s="266" t="s">
        <v>178</v>
      </c>
      <c r="D17" s="267">
        <v>4.8</v>
      </c>
      <c r="E17" s="208">
        <f>(D17/D26)*100</f>
        <v>3.3479573972421197</v>
      </c>
      <c r="F17" s="267">
        <v>3.4550000000000001</v>
      </c>
      <c r="G17" s="208">
        <f>(F17/F26)*100</f>
        <v>3.1193008432494898</v>
      </c>
      <c r="H17" s="267">
        <v>0.34499999999999997</v>
      </c>
      <c r="I17" s="213">
        <f t="shared" si="2"/>
        <v>7.1874999999999991</v>
      </c>
      <c r="J17" s="104"/>
      <c r="K17" s="833" t="s">
        <v>197</v>
      </c>
      <c r="L17" s="832">
        <v>760.43700000000001</v>
      </c>
      <c r="M17" s="267">
        <f t="shared" si="0"/>
        <v>2.0486388502490382</v>
      </c>
      <c r="N17" s="832">
        <v>127.767</v>
      </c>
      <c r="O17" s="275"/>
      <c r="P17" s="1298" t="s">
        <v>594</v>
      </c>
      <c r="Q17" s="832">
        <v>539.7912726666666</v>
      </c>
      <c r="R17" s="267">
        <f>(Q22/$Q$26)*100</f>
        <v>1.7647664569888084</v>
      </c>
      <c r="S17" s="832">
        <v>60.488285000000005</v>
      </c>
      <c r="T17" s="107"/>
      <c r="U17" s="58"/>
    </row>
    <row r="18" spans="1:21" ht="18" customHeight="1">
      <c r="A18" s="60"/>
      <c r="B18" s="108"/>
      <c r="C18" s="266" t="s">
        <v>177</v>
      </c>
      <c r="D18" s="267">
        <v>3.9</v>
      </c>
      <c r="E18" s="208">
        <f>(D18/D26)*100</f>
        <v>2.7202153852592224</v>
      </c>
      <c r="F18" s="269">
        <v>2.4670000000000001</v>
      </c>
      <c r="G18" s="208">
        <f>(F18/F26)*100</f>
        <v>2.2272981708528197</v>
      </c>
      <c r="H18" s="269">
        <v>2.3540000000000001</v>
      </c>
      <c r="I18" s="213">
        <f t="shared" si="2"/>
        <v>60.358974358974358</v>
      </c>
      <c r="J18" s="104"/>
      <c r="K18" s="833" t="s">
        <v>198</v>
      </c>
      <c r="L18" s="832">
        <v>754.10400000000004</v>
      </c>
      <c r="M18" s="267">
        <f t="shared" si="0"/>
        <v>2.0315775685930602</v>
      </c>
      <c r="N18" s="832">
        <v>156.465</v>
      </c>
      <c r="O18" s="275"/>
      <c r="P18" s="1298" t="s">
        <v>294</v>
      </c>
      <c r="Q18" s="832">
        <v>536.08815099999993</v>
      </c>
      <c r="R18" s="267">
        <f>(Q19/$Q$26)*100</f>
        <v>2.1738889796585248</v>
      </c>
      <c r="S18" s="832">
        <v>76.205259999999996</v>
      </c>
      <c r="T18" s="109"/>
      <c r="U18" s="58"/>
    </row>
    <row r="19" spans="1:21" ht="18" customHeight="1">
      <c r="A19" s="60"/>
      <c r="B19" s="108"/>
      <c r="C19" s="266" t="s">
        <v>179</v>
      </c>
      <c r="D19" s="267">
        <v>3.4</v>
      </c>
      <c r="E19" s="208">
        <f>(D19/D26)*100</f>
        <v>2.3714698230465014</v>
      </c>
      <c r="F19" s="269">
        <v>2.9430000000000001</v>
      </c>
      <c r="G19" s="208">
        <f>(F19/F26)*100</f>
        <v>2.6570484462180173</v>
      </c>
      <c r="H19" s="269">
        <v>0.34</v>
      </c>
      <c r="I19" s="213">
        <f t="shared" si="2"/>
        <v>10</v>
      </c>
      <c r="J19" s="104"/>
      <c r="K19" s="833" t="s">
        <v>177</v>
      </c>
      <c r="L19" s="832">
        <v>749.66300000000001</v>
      </c>
      <c r="M19" s="267">
        <f t="shared" si="0"/>
        <v>2.0196133886097662</v>
      </c>
      <c r="N19" s="832">
        <v>92.382999999999996</v>
      </c>
      <c r="O19" s="275"/>
      <c r="P19" s="1298" t="s">
        <v>201</v>
      </c>
      <c r="Q19" s="832">
        <v>532.2115</v>
      </c>
      <c r="R19" s="267">
        <f>(Q20/$Q$26)*100</f>
        <v>2.0416278626473874</v>
      </c>
      <c r="S19" s="832">
        <v>72.622305999999995</v>
      </c>
      <c r="T19" s="109"/>
      <c r="U19" s="57"/>
    </row>
    <row r="20" spans="1:21" ht="18" customHeight="1">
      <c r="A20" s="60"/>
      <c r="B20" s="108"/>
      <c r="C20" s="266" t="s">
        <v>175</v>
      </c>
      <c r="D20" s="267">
        <v>3.2</v>
      </c>
      <c r="E20" s="208">
        <f>(D20/D26)*100</f>
        <v>2.2319715981614134</v>
      </c>
      <c r="F20" s="269">
        <v>2.4430000000000001</v>
      </c>
      <c r="G20" s="208">
        <f>(F20/F26)*100</f>
        <v>2.2056300897419692</v>
      </c>
      <c r="H20" s="269">
        <v>0.3</v>
      </c>
      <c r="I20" s="213">
        <f t="shared" si="2"/>
        <v>9.3749999999999982</v>
      </c>
      <c r="J20" s="104"/>
      <c r="K20" s="833" t="s">
        <v>294</v>
      </c>
      <c r="L20" s="832">
        <v>731.85900000000004</v>
      </c>
      <c r="M20" s="267">
        <f t="shared" si="0"/>
        <v>1.9716489075418624</v>
      </c>
      <c r="N20" s="832">
        <v>118.461</v>
      </c>
      <c r="O20" s="275"/>
      <c r="P20" s="1298" t="s">
        <v>200</v>
      </c>
      <c r="Q20" s="832">
        <v>499.8313333333333</v>
      </c>
      <c r="R20" s="267">
        <f>(Q21/$Q$26)*100</f>
        <v>2.0273283092339951</v>
      </c>
      <c r="S20" s="832">
        <v>70.821015000000003</v>
      </c>
      <c r="T20" s="100"/>
      <c r="U20" s="57"/>
    </row>
    <row r="21" spans="1:21" ht="18" customHeight="1">
      <c r="A21" s="60"/>
      <c r="B21" s="108"/>
      <c r="C21" s="266" t="s">
        <v>431</v>
      </c>
      <c r="D21" s="267">
        <v>1.8</v>
      </c>
      <c r="E21" s="208">
        <f>(D21/D26)*100</f>
        <v>1.2554840239657949</v>
      </c>
      <c r="F21" s="269">
        <v>1.4379999999999999</v>
      </c>
      <c r="G21" s="208">
        <f>(F21/F26)*100</f>
        <v>1.2982791932251132</v>
      </c>
      <c r="H21" s="269">
        <v>0.3</v>
      </c>
      <c r="I21" s="213">
        <f t="shared" si="2"/>
        <v>16.666666666666664</v>
      </c>
      <c r="J21" s="104"/>
      <c r="K21" s="833" t="s">
        <v>395</v>
      </c>
      <c r="L21" s="832">
        <v>618.12699999999995</v>
      </c>
      <c r="M21" s="267">
        <f t="shared" si="0"/>
        <v>1.6652516731667282</v>
      </c>
      <c r="N21" s="832">
        <v>80.628</v>
      </c>
      <c r="O21" s="275"/>
      <c r="P21" s="1298" t="s">
        <v>197</v>
      </c>
      <c r="Q21" s="832">
        <v>496.33051666666665</v>
      </c>
      <c r="R21" s="267">
        <f>(Q17/$Q$26)*100</f>
        <v>2.2048495738365599</v>
      </c>
      <c r="S21" s="832">
        <v>78.050850999999994</v>
      </c>
      <c r="T21" s="100"/>
      <c r="U21" s="57"/>
    </row>
    <row r="22" spans="1:21" ht="18" customHeight="1">
      <c r="A22" s="60"/>
      <c r="B22" s="108"/>
      <c r="C22" s="266" t="s">
        <v>182</v>
      </c>
      <c r="D22" s="267">
        <v>1.4924999999999999</v>
      </c>
      <c r="E22" s="208">
        <f>(D22/D26)*100</f>
        <v>1.0410055032049716</v>
      </c>
      <c r="F22" s="269">
        <v>1.133</v>
      </c>
      <c r="G22" s="208">
        <f>(F22/F26)*100</f>
        <v>1.0229139957747242</v>
      </c>
      <c r="H22" s="269">
        <v>0.2</v>
      </c>
      <c r="I22" s="213">
        <f t="shared" si="2"/>
        <v>13.400335008375212</v>
      </c>
      <c r="J22" s="104"/>
      <c r="K22" s="833" t="s">
        <v>200</v>
      </c>
      <c r="L22" s="832">
        <v>607.80700000000002</v>
      </c>
      <c r="M22" s="267">
        <f t="shared" si="0"/>
        <v>1.6374493004066311</v>
      </c>
      <c r="N22" s="832">
        <v>98.738</v>
      </c>
      <c r="O22" s="275"/>
      <c r="P22" s="1298" t="s">
        <v>199</v>
      </c>
      <c r="Q22" s="832">
        <v>432.0501240000001</v>
      </c>
      <c r="R22" s="267">
        <f>(Q23/$Q$26)*100</f>
        <v>1.6736411785529506</v>
      </c>
      <c r="S22" s="832">
        <v>77.500595999999987</v>
      </c>
      <c r="T22" s="100"/>
      <c r="U22" s="57"/>
    </row>
    <row r="23" spans="1:21" ht="18" customHeight="1">
      <c r="A23" s="60"/>
      <c r="B23" s="108"/>
      <c r="C23" s="266" t="s">
        <v>434</v>
      </c>
      <c r="D23" s="267">
        <v>0.83299999999999996</v>
      </c>
      <c r="E23" s="208">
        <f>(D23/D26)*100</f>
        <v>0.58101010664639285</v>
      </c>
      <c r="F23" s="267">
        <v>0.69699999999999995</v>
      </c>
      <c r="G23" s="208">
        <f>(F23/F26)*100</f>
        <v>0.62927718892761053</v>
      </c>
      <c r="H23" s="269">
        <v>0.05</v>
      </c>
      <c r="I23" s="213">
        <f t="shared" si="2"/>
        <v>6.0024009603841542</v>
      </c>
      <c r="J23" s="104"/>
      <c r="K23" s="833" t="s">
        <v>303</v>
      </c>
      <c r="L23" s="832">
        <v>540.077</v>
      </c>
      <c r="M23" s="267">
        <f t="shared" si="0"/>
        <v>1.4549827590266515</v>
      </c>
      <c r="N23" s="832">
        <v>100.363</v>
      </c>
      <c r="O23" s="275"/>
      <c r="P23" s="1298" t="s">
        <v>303</v>
      </c>
      <c r="Q23" s="832">
        <v>409.74083333333334</v>
      </c>
      <c r="R23" s="267">
        <f>(Q24/$Q$26)*100</f>
        <v>1.6128559077417419</v>
      </c>
      <c r="S23" s="832">
        <v>65.857365000000001</v>
      </c>
      <c r="T23" s="100"/>
      <c r="U23" s="57"/>
    </row>
    <row r="24" spans="1:21" ht="18" customHeight="1">
      <c r="A24" s="60"/>
      <c r="B24" s="108"/>
      <c r="C24" s="266" t="s">
        <v>433</v>
      </c>
      <c r="D24" s="267">
        <v>0.7</v>
      </c>
      <c r="E24" s="208">
        <f>(D24/D26)*100</f>
        <v>0.48824378709780908</v>
      </c>
      <c r="F24" s="269">
        <v>1.089</v>
      </c>
      <c r="G24" s="208">
        <f>(F24/F26)*100</f>
        <v>0.98318918040483194</v>
      </c>
      <c r="H24" s="269">
        <v>0.155</v>
      </c>
      <c r="I24" s="213">
        <f t="shared" si="2"/>
        <v>22.142857142857146</v>
      </c>
      <c r="J24" s="104"/>
      <c r="K24" s="833" t="s">
        <v>396</v>
      </c>
      <c r="L24" s="832">
        <v>438.03699999999998</v>
      </c>
      <c r="M24" s="267">
        <f t="shared" si="0"/>
        <v>1.1800841043328216</v>
      </c>
      <c r="N24" s="832">
        <v>72.903999999999996</v>
      </c>
      <c r="O24" s="275"/>
      <c r="P24" s="1298" t="s">
        <v>595</v>
      </c>
      <c r="Q24" s="832">
        <v>394.85938333333331</v>
      </c>
      <c r="R24" s="267">
        <f>(Q24/$Q$26)*100</f>
        <v>1.6128559077417419</v>
      </c>
      <c r="S24" s="832">
        <v>62.843137000000006</v>
      </c>
      <c r="T24" s="100"/>
      <c r="U24" s="57"/>
    </row>
    <row r="25" spans="1:21" ht="16.5" customHeight="1" thickBot="1">
      <c r="A25" s="60"/>
      <c r="B25" s="108"/>
      <c r="C25" s="270" t="s">
        <v>191</v>
      </c>
      <c r="D25" s="271">
        <f>D26-SUM(D10:D24)</f>
        <v>10.010500000000008</v>
      </c>
      <c r="E25" s="209">
        <f>(D25/D26)*100</f>
        <v>6.9822349010608891</v>
      </c>
      <c r="F25" s="271">
        <f>F26-SUM(F10:F24)</f>
        <v>5.8390000000000128</v>
      </c>
      <c r="G25" s="209">
        <f>(F25/F26)*100</f>
        <v>5.2716635669272964</v>
      </c>
      <c r="H25" s="271">
        <f>H26-SUM(H10:H24)</f>
        <v>8.7199999999999989</v>
      </c>
      <c r="I25" s="777">
        <f t="shared" si="2"/>
        <v>87.108536037160903</v>
      </c>
      <c r="J25" s="104"/>
      <c r="K25" s="1129" t="s">
        <v>14</v>
      </c>
      <c r="L25" s="834">
        <v>7722</v>
      </c>
      <c r="M25" s="271">
        <f t="shared" si="0"/>
        <v>20.803287059444862</v>
      </c>
      <c r="N25" s="832">
        <v>1210.355</v>
      </c>
      <c r="O25" s="275"/>
      <c r="P25" s="1299" t="s">
        <v>14</v>
      </c>
      <c r="Q25" s="832">
        <f>Q26-SUM(Q10:Q24)</f>
        <v>4879.7041948333354</v>
      </c>
      <c r="R25" s="271">
        <f>(Q25/$Q$26)*100</f>
        <v>19.931803753097523</v>
      </c>
      <c r="S25" s="832">
        <f>S26-SUM(S10:S24)</f>
        <v>712.40336800000023</v>
      </c>
      <c r="T25" s="100"/>
      <c r="U25" s="57"/>
    </row>
    <row r="26" spans="1:21" ht="18" customHeight="1" thickBot="1">
      <c r="A26" s="60"/>
      <c r="B26" s="108"/>
      <c r="C26" s="328" t="s">
        <v>115</v>
      </c>
      <c r="D26" s="329">
        <v>143.37100000000001</v>
      </c>
      <c r="E26" s="330">
        <f>SUM(E10:E25)</f>
        <v>100.00000000000001</v>
      </c>
      <c r="F26" s="329">
        <v>110.762</v>
      </c>
      <c r="G26" s="330">
        <f>SUM(G10:G25)</f>
        <v>100.00000000000003</v>
      </c>
      <c r="H26" s="331">
        <v>48.033999999999999</v>
      </c>
      <c r="I26" s="778">
        <f t="shared" si="2"/>
        <v>33.503288670651663</v>
      </c>
      <c r="J26" s="110"/>
      <c r="K26" s="325" t="s">
        <v>115</v>
      </c>
      <c r="L26" s="536">
        <f>SUM(L10:L25)</f>
        <v>37119.134000000005</v>
      </c>
      <c r="M26" s="835">
        <f t="shared" si="0"/>
        <v>100</v>
      </c>
      <c r="N26" s="327">
        <f>SUM(N10:N25)</f>
        <v>6158.6540000000005</v>
      </c>
      <c r="O26" s="492"/>
      <c r="P26" s="1300" t="s">
        <v>115</v>
      </c>
      <c r="Q26" s="536">
        <v>24482</v>
      </c>
      <c r="R26" s="326">
        <f>(Q26/$Q$26)*100</f>
        <v>100</v>
      </c>
      <c r="S26" s="327">
        <v>3709</v>
      </c>
      <c r="T26" s="100"/>
      <c r="U26" s="57"/>
    </row>
    <row r="27" spans="1:21" ht="16.5" customHeight="1">
      <c r="A27" s="57"/>
      <c r="B27" s="111"/>
      <c r="C27" s="493" t="s">
        <v>192</v>
      </c>
      <c r="D27" s="113"/>
      <c r="E27" s="113"/>
      <c r="F27" s="113"/>
      <c r="G27" s="113"/>
      <c r="H27" s="113"/>
      <c r="I27" s="113"/>
      <c r="J27" s="113"/>
      <c r="K27" s="494" t="s">
        <v>222</v>
      </c>
      <c r="L27" s="494"/>
      <c r="M27" s="494"/>
      <c r="N27" s="494"/>
      <c r="O27" s="495"/>
      <c r="P27" s="494" t="s">
        <v>222</v>
      </c>
      <c r="Q27" s="495"/>
      <c r="R27" s="495"/>
      <c r="S27" s="276">
        <f ca="1">NOW()</f>
        <v>42653.424638310185</v>
      </c>
      <c r="T27" s="130"/>
      <c r="U27" s="57"/>
    </row>
    <row r="28" spans="1:2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</row>
  </sheetData>
  <mergeCells count="8">
    <mergeCell ref="A1:U1"/>
    <mergeCell ref="B4:T4"/>
    <mergeCell ref="K8:N8"/>
    <mergeCell ref="C7:I7"/>
    <mergeCell ref="C8:I8"/>
    <mergeCell ref="P8:S8"/>
    <mergeCell ref="C5:I5"/>
    <mergeCell ref="K7:S7"/>
  </mergeCells>
  <phoneticPr fontId="13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8"/>
  <sheetViews>
    <sheetView zoomScaleNormal="100" workbookViewId="0">
      <selection activeCell="R23" sqref="R23"/>
    </sheetView>
  </sheetViews>
  <sheetFormatPr defaultRowHeight="12.75"/>
  <cols>
    <col min="1" max="2" width="2.7109375" customWidth="1"/>
    <col min="3" max="3" width="10.5703125" customWidth="1"/>
    <col min="4" max="5" width="11.5703125" bestFit="1" customWidth="1"/>
    <col min="6" max="6" width="7" customWidth="1"/>
    <col min="7" max="8" width="8.7109375" bestFit="1" customWidth="1"/>
    <col min="9" max="9" width="7.5703125" bestFit="1" customWidth="1"/>
    <col min="10" max="10" width="2.7109375" customWidth="1"/>
    <col min="11" max="11" width="11.42578125" bestFit="1" customWidth="1"/>
    <col min="12" max="12" width="10.140625" bestFit="1" customWidth="1"/>
    <col min="13" max="13" width="11.5703125" bestFit="1" customWidth="1"/>
    <col min="14" max="14" width="14.28515625" customWidth="1"/>
    <col min="15" max="15" width="8.140625" customWidth="1"/>
    <col min="16" max="17" width="2.7109375" customWidth="1"/>
  </cols>
  <sheetData>
    <row r="1" spans="1:17" ht="15" customHeight="1">
      <c r="A1" s="1566" t="s">
        <v>403</v>
      </c>
      <c r="B1" s="1566"/>
      <c r="C1" s="1566"/>
      <c r="D1" s="1566"/>
      <c r="E1" s="1566"/>
      <c r="F1" s="1566"/>
      <c r="G1" s="1566"/>
      <c r="H1" s="1566"/>
      <c r="I1" s="1566"/>
      <c r="J1" s="1566"/>
      <c r="K1" s="1566"/>
      <c r="L1" s="1566"/>
      <c r="M1" s="1566"/>
      <c r="N1" s="1566"/>
      <c r="O1" s="1566"/>
      <c r="P1" s="1566"/>
      <c r="Q1" s="1566"/>
    </row>
    <row r="2" spans="1:17" ht="15.75" customHeight="1">
      <c r="A2" s="58"/>
      <c r="B2" s="772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4"/>
      <c r="Q2" s="58"/>
    </row>
    <row r="3" spans="1:17" ht="15.95" customHeight="1">
      <c r="A3" s="58"/>
      <c r="B3" s="1311" t="s">
        <v>394</v>
      </c>
      <c r="C3" s="1312"/>
      <c r="D3" s="1312"/>
      <c r="E3" s="1312"/>
      <c r="F3" s="1312"/>
      <c r="G3" s="1312"/>
      <c r="H3" s="1312"/>
      <c r="I3" s="1312"/>
      <c r="J3" s="1312"/>
      <c r="K3" s="1312"/>
      <c r="L3" s="1312"/>
      <c r="M3" s="1312"/>
      <c r="N3" s="1312"/>
      <c r="O3" s="1312"/>
      <c r="P3" s="1313"/>
      <c r="Q3" s="58"/>
    </row>
    <row r="4" spans="1:17" ht="15.95" customHeight="1">
      <c r="A4" s="58"/>
      <c r="B4" s="1159"/>
      <c r="C4" s="1160"/>
      <c r="D4" s="1160"/>
      <c r="E4" s="1160"/>
      <c r="F4" s="1160"/>
      <c r="G4" s="1160"/>
      <c r="H4" s="1160"/>
      <c r="I4" s="1160"/>
      <c r="J4" s="1160"/>
      <c r="K4" s="1160"/>
      <c r="L4" s="1160"/>
      <c r="M4" s="1160"/>
      <c r="N4" s="1160"/>
      <c r="O4" s="1160"/>
      <c r="P4" s="1161"/>
      <c r="Q4" s="58"/>
    </row>
    <row r="5" spans="1:17" ht="15.95" customHeight="1" thickBot="1">
      <c r="A5" s="58"/>
      <c r="B5" s="351"/>
      <c r="C5" s="780" t="s">
        <v>464</v>
      </c>
      <c r="D5" s="776"/>
      <c r="E5" s="776"/>
      <c r="F5" s="776"/>
      <c r="G5" s="776"/>
      <c r="H5" s="776"/>
      <c r="I5" s="776"/>
      <c r="J5" s="352"/>
      <c r="K5" s="136" t="s">
        <v>461</v>
      </c>
      <c r="L5" s="776"/>
      <c r="M5" s="776"/>
      <c r="N5" s="776"/>
      <c r="O5" s="776"/>
      <c r="P5" s="353"/>
      <c r="Q5" s="58"/>
    </row>
    <row r="6" spans="1:17" ht="18" customHeight="1">
      <c r="A6" s="58"/>
      <c r="B6" s="282"/>
      <c r="C6" s="370" t="s">
        <v>211</v>
      </c>
      <c r="D6" s="1318" t="s">
        <v>271</v>
      </c>
      <c r="E6" s="1319"/>
      <c r="F6" s="1320"/>
      <c r="G6" s="1318" t="s">
        <v>272</v>
      </c>
      <c r="H6" s="1319"/>
      <c r="I6" s="1319"/>
      <c r="J6" s="132"/>
      <c r="K6" s="370" t="s">
        <v>273</v>
      </c>
      <c r="L6" s="371" t="s">
        <v>266</v>
      </c>
      <c r="M6" s="371" t="s">
        <v>267</v>
      </c>
      <c r="N6" s="371" t="s">
        <v>268</v>
      </c>
      <c r="O6" s="1321" t="s">
        <v>12</v>
      </c>
      <c r="P6" s="106"/>
      <c r="Q6" s="58"/>
    </row>
    <row r="7" spans="1:17" ht="17.100000000000001" customHeight="1" thickBot="1">
      <c r="A7" s="58"/>
      <c r="B7" s="282"/>
      <c r="C7" s="372" t="s">
        <v>210</v>
      </c>
      <c r="D7" s="373">
        <v>2015</v>
      </c>
      <c r="E7" s="374">
        <v>2016</v>
      </c>
      <c r="F7" s="375" t="s">
        <v>12</v>
      </c>
      <c r="G7" s="376">
        <v>2015</v>
      </c>
      <c r="H7" s="374">
        <v>2016</v>
      </c>
      <c r="I7" s="377" t="s">
        <v>12</v>
      </c>
      <c r="J7" s="132"/>
      <c r="K7" s="372" t="s">
        <v>210</v>
      </c>
      <c r="L7" s="375" t="s">
        <v>269</v>
      </c>
      <c r="M7" s="375" t="s">
        <v>270</v>
      </c>
      <c r="N7" s="375" t="s">
        <v>274</v>
      </c>
      <c r="O7" s="1322"/>
      <c r="P7" s="106"/>
      <c r="Q7" s="58"/>
    </row>
    <row r="8" spans="1:17" ht="17.100000000000001" customHeight="1">
      <c r="A8" s="58"/>
      <c r="B8" s="282"/>
      <c r="C8" s="197" t="s">
        <v>3</v>
      </c>
      <c r="D8" s="198">
        <v>87657</v>
      </c>
      <c r="E8" s="199">
        <v>87657</v>
      </c>
      <c r="F8" s="206">
        <f>(E8/D8-1)*100</f>
        <v>0</v>
      </c>
      <c r="G8" s="318">
        <v>1723.9</v>
      </c>
      <c r="H8" s="315">
        <v>1626.9</v>
      </c>
      <c r="I8" s="322">
        <f>(H8/G8-1)*100</f>
        <v>-5.6267764951563271</v>
      </c>
      <c r="J8" s="99"/>
      <c r="K8" s="197" t="s">
        <v>3</v>
      </c>
      <c r="L8" s="198">
        <v>804</v>
      </c>
      <c r="M8" s="198">
        <v>8911.5519999999997</v>
      </c>
      <c r="N8" s="198">
        <v>3713</v>
      </c>
      <c r="O8" s="200">
        <f>(N8/E8)*100</f>
        <v>4.235828285248183</v>
      </c>
      <c r="P8" s="106"/>
      <c r="Q8" s="58"/>
    </row>
    <row r="9" spans="1:17" ht="15.75">
      <c r="A9" s="58"/>
      <c r="B9" s="282"/>
      <c r="C9" s="197" t="s">
        <v>4</v>
      </c>
      <c r="D9" s="198">
        <v>1243</v>
      </c>
      <c r="E9" s="198">
        <v>663</v>
      </c>
      <c r="F9" s="206">
        <f t="shared" ref="F9:F26" si="0">(E9/D9-1)*100</f>
        <v>-46.661303298471438</v>
      </c>
      <c r="G9" s="319">
        <v>16.600000000000001</v>
      </c>
      <c r="H9" s="315">
        <v>11.3</v>
      </c>
      <c r="I9" s="323">
        <f t="shared" ref="I9:I26" si="1">(H9/G9-1)*100</f>
        <v>-31.92771084337349</v>
      </c>
      <c r="J9" s="99"/>
      <c r="K9" s="197" t="s">
        <v>462</v>
      </c>
      <c r="L9" s="198">
        <v>10</v>
      </c>
      <c r="M9" s="198">
        <v>205</v>
      </c>
      <c r="N9" s="198">
        <v>42</v>
      </c>
      <c r="O9" s="200">
        <f>(N9/E9)*100</f>
        <v>6.3348416289592757</v>
      </c>
      <c r="P9" s="106"/>
      <c r="Q9" s="58"/>
    </row>
    <row r="10" spans="1:17" ht="21" customHeight="1">
      <c r="A10" s="58"/>
      <c r="B10" s="282"/>
      <c r="C10" s="197" t="s">
        <v>5</v>
      </c>
      <c r="D10" s="198">
        <v>138678</v>
      </c>
      <c r="E10" s="198">
        <v>149753</v>
      </c>
      <c r="F10" s="206">
        <f t="shared" si="0"/>
        <v>7.986126133921756</v>
      </c>
      <c r="G10" s="319">
        <v>2345.6999999999998</v>
      </c>
      <c r="H10" s="315">
        <v>2095</v>
      </c>
      <c r="I10" s="323">
        <f t="shared" si="1"/>
        <v>-10.687641215841747</v>
      </c>
      <c r="J10" s="99"/>
      <c r="K10" s="197" t="s">
        <v>5</v>
      </c>
      <c r="L10" s="198">
        <v>1092</v>
      </c>
      <c r="M10" s="198">
        <v>180046.508</v>
      </c>
      <c r="N10" s="198">
        <v>41958</v>
      </c>
      <c r="O10" s="200">
        <f>(N10/E10)*100</f>
        <v>28.018136531488519</v>
      </c>
      <c r="P10" s="106"/>
      <c r="Q10" s="58"/>
    </row>
    <row r="11" spans="1:17" ht="17.100000000000001" customHeight="1">
      <c r="A11" s="58"/>
      <c r="B11" s="282"/>
      <c r="C11" s="196" t="s">
        <v>212</v>
      </c>
      <c r="D11" s="214">
        <v>9129</v>
      </c>
      <c r="E11" s="214">
        <v>11328</v>
      </c>
      <c r="F11" s="208">
        <f t="shared" si="0"/>
        <v>24.088070982582988</v>
      </c>
      <c r="G11" s="272">
        <v>337.8</v>
      </c>
      <c r="H11" s="273">
        <v>345.5</v>
      </c>
      <c r="I11" s="211">
        <f t="shared" si="1"/>
        <v>2.2794552989934935</v>
      </c>
      <c r="J11" s="99"/>
      <c r="K11" s="197" t="s">
        <v>9</v>
      </c>
      <c r="L11" s="198">
        <v>20</v>
      </c>
      <c r="M11" s="198">
        <v>565.178</v>
      </c>
      <c r="N11" s="198">
        <v>199</v>
      </c>
      <c r="O11" s="200">
        <f>(N11/E14)*100</f>
        <v>1.4157655093910073</v>
      </c>
      <c r="P11" s="106"/>
      <c r="Q11" s="58"/>
    </row>
    <row r="12" spans="1:17" ht="17.100000000000001" customHeight="1">
      <c r="A12" s="58"/>
      <c r="B12" s="282"/>
      <c r="C12" s="196" t="s">
        <v>213</v>
      </c>
      <c r="D12" s="214">
        <v>94321</v>
      </c>
      <c r="E12" s="214">
        <v>92533</v>
      </c>
      <c r="F12" s="208">
        <f t="shared" si="0"/>
        <v>-1.8956542021395073</v>
      </c>
      <c r="G12" s="272">
        <v>824.3</v>
      </c>
      <c r="H12" s="273">
        <v>923.4</v>
      </c>
      <c r="I12" s="211">
        <f t="shared" si="1"/>
        <v>12.02232197015649</v>
      </c>
      <c r="J12" s="99"/>
      <c r="K12" s="197" t="s">
        <v>10</v>
      </c>
      <c r="L12" s="198">
        <v>14</v>
      </c>
      <c r="M12" s="198">
        <v>13881.455</v>
      </c>
      <c r="N12" s="198">
        <v>1516</v>
      </c>
      <c r="O12" s="200">
        <f>(N12/E15)*100</f>
        <v>26.943447197241671</v>
      </c>
      <c r="P12" s="106"/>
      <c r="Q12" s="58"/>
    </row>
    <row r="13" spans="1:17" ht="17.100000000000001" customHeight="1">
      <c r="A13" s="58"/>
      <c r="B13" s="282"/>
      <c r="C13" s="196" t="s">
        <v>214</v>
      </c>
      <c r="D13" s="214">
        <v>35228</v>
      </c>
      <c r="E13" s="214">
        <v>45892</v>
      </c>
      <c r="F13" s="208">
        <f t="shared" si="0"/>
        <v>30.271375042579773</v>
      </c>
      <c r="G13" s="272">
        <v>1183.5999999999999</v>
      </c>
      <c r="H13" s="273">
        <v>826.1</v>
      </c>
      <c r="I13" s="211">
        <f t="shared" si="1"/>
        <v>-30.204460966542747</v>
      </c>
      <c r="J13" s="99"/>
      <c r="K13" s="197" t="s">
        <v>7</v>
      </c>
      <c r="L13" s="198">
        <v>57721</v>
      </c>
      <c r="M13" s="198">
        <v>3495475.13</v>
      </c>
      <c r="N13" s="198">
        <v>542350</v>
      </c>
      <c r="O13" s="200">
        <f>(N13/E16)*100</f>
        <v>53.779647722731625</v>
      </c>
      <c r="P13" s="106"/>
      <c r="Q13" s="58"/>
    </row>
    <row r="14" spans="1:17" ht="21" customHeight="1">
      <c r="A14" s="58"/>
      <c r="B14" s="282"/>
      <c r="C14" s="197" t="s">
        <v>9</v>
      </c>
      <c r="D14" s="198">
        <v>20189</v>
      </c>
      <c r="E14" s="198">
        <v>14056</v>
      </c>
      <c r="F14" s="206">
        <f t="shared" si="0"/>
        <v>-30.37792857496656</v>
      </c>
      <c r="G14" s="319">
        <v>127.9</v>
      </c>
      <c r="H14" s="315">
        <v>123.6</v>
      </c>
      <c r="I14" s="323">
        <f t="shared" si="1"/>
        <v>-3.3620015637216616</v>
      </c>
      <c r="J14" s="99"/>
      <c r="K14" s="197" t="s">
        <v>29</v>
      </c>
      <c r="L14" s="198">
        <v>25258</v>
      </c>
      <c r="M14" s="198">
        <v>937915.21</v>
      </c>
      <c r="N14" s="198">
        <v>151687</v>
      </c>
      <c r="O14" s="200">
        <f t="shared" ref="O14:O19" si="2">(N14/E21)*100</f>
        <v>36.991686521629916</v>
      </c>
      <c r="P14" s="106"/>
      <c r="Q14" s="58"/>
    </row>
    <row r="15" spans="1:17" ht="15.75">
      <c r="A15" s="58"/>
      <c r="B15" s="282"/>
      <c r="C15" s="197" t="s">
        <v>10</v>
      </c>
      <c r="D15" s="198">
        <v>6175</v>
      </c>
      <c r="E15" s="198">
        <v>5626.6</v>
      </c>
      <c r="F15" s="206">
        <f t="shared" si="0"/>
        <v>-8.8809716599190232</v>
      </c>
      <c r="G15" s="319">
        <v>226.2</v>
      </c>
      <c r="H15" s="315">
        <v>226.8</v>
      </c>
      <c r="I15" s="323">
        <f t="shared" si="1"/>
        <v>0.26525198938993633</v>
      </c>
      <c r="J15" s="99"/>
      <c r="K15" s="197" t="s">
        <v>30</v>
      </c>
      <c r="L15" s="198">
        <v>341</v>
      </c>
      <c r="M15" s="198">
        <v>8382.59</v>
      </c>
      <c r="N15" s="198">
        <v>1908</v>
      </c>
      <c r="O15" s="200">
        <f t="shared" si="2"/>
        <v>14.611732271404504</v>
      </c>
      <c r="P15" s="106"/>
      <c r="Q15" s="58"/>
    </row>
    <row r="16" spans="1:17" ht="21" customHeight="1">
      <c r="A16" s="58"/>
      <c r="B16" s="282"/>
      <c r="C16" s="197" t="s">
        <v>7</v>
      </c>
      <c r="D16" s="198">
        <v>968872</v>
      </c>
      <c r="E16" s="198">
        <v>1008467</v>
      </c>
      <c r="F16" s="206">
        <f t="shared" si="0"/>
        <v>4.0867111445061832</v>
      </c>
      <c r="G16" s="319">
        <v>22302.9</v>
      </c>
      <c r="H16" s="315">
        <v>28936.6</v>
      </c>
      <c r="I16" s="323">
        <f t="shared" si="1"/>
        <v>29.743665621959469</v>
      </c>
      <c r="J16" s="99"/>
      <c r="K16" s="197" t="s">
        <v>8</v>
      </c>
      <c r="L16" s="198">
        <v>5493</v>
      </c>
      <c r="M16" s="198">
        <v>697942.32799999998</v>
      </c>
      <c r="N16" s="198">
        <v>106881</v>
      </c>
      <c r="O16" s="200">
        <f t="shared" si="2"/>
        <v>53.168992539596552</v>
      </c>
      <c r="P16" s="106"/>
      <c r="Q16" s="58"/>
    </row>
    <row r="17" spans="1:17" ht="17.100000000000001" customHeight="1">
      <c r="A17" s="58"/>
      <c r="B17" s="282"/>
      <c r="C17" s="196" t="s">
        <v>262</v>
      </c>
      <c r="D17" s="214">
        <v>478056</v>
      </c>
      <c r="E17" s="214">
        <v>523506</v>
      </c>
      <c r="F17" s="208">
        <f t="shared" si="0"/>
        <v>9.5072543802399814</v>
      </c>
      <c r="G17" s="272">
        <v>10808.3</v>
      </c>
      <c r="H17" s="273">
        <v>15346.8</v>
      </c>
      <c r="I17" s="211">
        <f t="shared" si="1"/>
        <v>41.990877381271808</v>
      </c>
      <c r="J17" s="99"/>
      <c r="K17" s="197" t="s">
        <v>6</v>
      </c>
      <c r="L17" s="198">
        <v>1720</v>
      </c>
      <c r="M17" s="198">
        <v>54996.951000000001</v>
      </c>
      <c r="N17" s="198">
        <v>9529</v>
      </c>
      <c r="O17" s="200">
        <f t="shared" si="2"/>
        <v>20.422203171881698</v>
      </c>
      <c r="P17" s="106"/>
      <c r="Q17" s="58"/>
    </row>
    <row r="18" spans="1:17" ht="17.100000000000001" customHeight="1" thickBot="1">
      <c r="A18" s="58"/>
      <c r="B18" s="282"/>
      <c r="C18" s="196" t="s">
        <v>263</v>
      </c>
      <c r="D18" s="214">
        <v>170634</v>
      </c>
      <c r="E18" s="214">
        <v>183076</v>
      </c>
      <c r="F18" s="208">
        <f t="shared" si="0"/>
        <v>7.291630038562058</v>
      </c>
      <c r="G18" s="272">
        <v>4232.8999999999996</v>
      </c>
      <c r="H18" s="273">
        <v>6907.6</v>
      </c>
      <c r="I18" s="211">
        <f t="shared" si="1"/>
        <v>63.188357863403354</v>
      </c>
      <c r="J18" s="99"/>
      <c r="K18" s="201" t="s">
        <v>14</v>
      </c>
      <c r="L18" s="202">
        <v>15</v>
      </c>
      <c r="M18" s="202">
        <v>2006</v>
      </c>
      <c r="N18" s="202">
        <v>359</v>
      </c>
      <c r="O18" s="324">
        <f t="shared" si="2"/>
        <v>2.7835930836628675</v>
      </c>
      <c r="P18" s="106"/>
      <c r="Q18" s="58"/>
    </row>
    <row r="19" spans="1:17" ht="17.100000000000001" customHeight="1" thickBot="1">
      <c r="A19" s="58"/>
      <c r="B19" s="282"/>
      <c r="C19" s="196" t="s">
        <v>264</v>
      </c>
      <c r="D19" s="214">
        <v>287340</v>
      </c>
      <c r="E19" s="214">
        <v>269398</v>
      </c>
      <c r="F19" s="208">
        <f t="shared" si="0"/>
        <v>-6.2441706688939895</v>
      </c>
      <c r="G19" s="272">
        <v>6609.5</v>
      </c>
      <c r="H19" s="273">
        <v>6079.2</v>
      </c>
      <c r="I19" s="211">
        <f t="shared" si="1"/>
        <v>-8.0232997957485512</v>
      </c>
      <c r="J19" s="99"/>
      <c r="K19" s="203" t="s">
        <v>115</v>
      </c>
      <c r="L19" s="215">
        <f>L8+L9+L10+L11+L12+L13+L14+L15+L16+L17+L18</f>
        <v>92488</v>
      </c>
      <c r="M19" s="215">
        <f>M8+M9+M10+M11+M12+M13+M14+M15+M16+M17+M18</f>
        <v>5400327.9019999998</v>
      </c>
      <c r="N19" s="215">
        <f>SUM(N8:N18)</f>
        <v>860142</v>
      </c>
      <c r="O19" s="212">
        <f t="shared" si="2"/>
        <v>44.111748614388958</v>
      </c>
      <c r="P19" s="106"/>
      <c r="Q19" s="58"/>
    </row>
    <row r="20" spans="1:17" ht="17.100000000000001" customHeight="1" thickBot="1">
      <c r="A20" s="58"/>
      <c r="B20" s="282"/>
      <c r="C20" s="196" t="s">
        <v>265</v>
      </c>
      <c r="D20" s="214">
        <v>32842</v>
      </c>
      <c r="E20" s="214">
        <v>32487</v>
      </c>
      <c r="F20" s="208">
        <f t="shared" si="0"/>
        <v>-1.08093295170818</v>
      </c>
      <c r="G20" s="272">
        <v>652.20000000000005</v>
      </c>
      <c r="H20" s="273">
        <v>603</v>
      </c>
      <c r="I20" s="211">
        <f t="shared" si="1"/>
        <v>-7.5436982520699196</v>
      </c>
      <c r="J20" s="99"/>
      <c r="K20" s="802"/>
      <c r="L20" s="803"/>
      <c r="M20" s="803"/>
      <c r="N20" s="804"/>
      <c r="O20" s="805"/>
      <c r="P20" s="106"/>
      <c r="Q20" s="58"/>
    </row>
    <row r="21" spans="1:17" ht="21" customHeight="1" thickBot="1">
      <c r="A21" s="58"/>
      <c r="B21" s="282"/>
      <c r="C21" s="197" t="s">
        <v>29</v>
      </c>
      <c r="D21" s="198">
        <v>433242</v>
      </c>
      <c r="E21" s="198">
        <v>410057</v>
      </c>
      <c r="F21" s="206">
        <f t="shared" si="0"/>
        <v>-5.3515125495681382</v>
      </c>
      <c r="G21" s="319">
        <v>10700</v>
      </c>
      <c r="H21" s="315">
        <v>9148</v>
      </c>
      <c r="I21" s="323">
        <f t="shared" si="1"/>
        <v>-14.504672897196258</v>
      </c>
      <c r="J21" s="99"/>
      <c r="K21" s="1316" t="s">
        <v>455</v>
      </c>
      <c r="L21" s="1317"/>
      <c r="M21" s="812" t="s">
        <v>266</v>
      </c>
      <c r="N21" s="820" t="s">
        <v>463</v>
      </c>
      <c r="O21" s="806" t="s">
        <v>12</v>
      </c>
      <c r="P21" s="106"/>
      <c r="Q21" s="58"/>
    </row>
    <row r="22" spans="1:17" ht="17.100000000000001" customHeight="1">
      <c r="A22" s="58"/>
      <c r="B22" s="282"/>
      <c r="C22" s="197" t="s">
        <v>30</v>
      </c>
      <c r="D22" s="198">
        <v>12538</v>
      </c>
      <c r="E22" s="198">
        <v>13058</v>
      </c>
      <c r="F22" s="206">
        <f t="shared" si="0"/>
        <v>4.1473919285372363</v>
      </c>
      <c r="G22" s="319">
        <v>309.60000000000002</v>
      </c>
      <c r="H22" s="315">
        <v>350.8</v>
      </c>
      <c r="I22" s="323">
        <f t="shared" si="1"/>
        <v>13.307493540051674</v>
      </c>
      <c r="J22" s="99"/>
      <c r="K22" s="800" t="s">
        <v>456</v>
      </c>
      <c r="L22" s="535"/>
      <c r="M22" s="813">
        <v>10715</v>
      </c>
      <c r="N22" s="816">
        <v>1018023200.2299998</v>
      </c>
      <c r="O22" s="801">
        <f>(N22/N26)*100</f>
        <v>18.851135669274957</v>
      </c>
      <c r="P22" s="106"/>
      <c r="Q22" s="58"/>
    </row>
    <row r="23" spans="1:17" ht="17.100000000000001" customHeight="1">
      <c r="A23" s="58"/>
      <c r="B23" s="282"/>
      <c r="C23" s="197" t="s">
        <v>8</v>
      </c>
      <c r="D23" s="198">
        <v>198971</v>
      </c>
      <c r="E23" s="198">
        <v>201021.3</v>
      </c>
      <c r="F23" s="206">
        <f t="shared" si="0"/>
        <v>1.0304516738620206</v>
      </c>
      <c r="G23" s="319">
        <v>4063.9</v>
      </c>
      <c r="H23" s="315">
        <v>5899.9</v>
      </c>
      <c r="I23" s="323">
        <f t="shared" si="1"/>
        <v>45.178277024533074</v>
      </c>
      <c r="J23" s="99"/>
      <c r="K23" s="800" t="s">
        <v>457</v>
      </c>
      <c r="L23" s="535"/>
      <c r="M23" s="814">
        <v>41338</v>
      </c>
      <c r="N23" s="792">
        <v>785097821.05999982</v>
      </c>
      <c r="O23" s="801">
        <f>(N23/N26)*100</f>
        <v>14.53796488637045</v>
      </c>
      <c r="P23" s="106"/>
      <c r="Q23" s="58"/>
    </row>
    <row r="24" spans="1:17" ht="17.100000000000001" customHeight="1">
      <c r="A24" s="58"/>
      <c r="B24" s="282"/>
      <c r="C24" s="197" t="s">
        <v>6</v>
      </c>
      <c r="D24" s="198">
        <v>44500</v>
      </c>
      <c r="E24" s="198">
        <v>46660</v>
      </c>
      <c r="F24" s="206">
        <f t="shared" si="0"/>
        <v>4.8539325842696712</v>
      </c>
      <c r="G24" s="319">
        <v>1290</v>
      </c>
      <c r="H24" s="315">
        <v>1050</v>
      </c>
      <c r="I24" s="323">
        <f t="shared" si="1"/>
        <v>-18.604651162790699</v>
      </c>
      <c r="J24" s="99"/>
      <c r="K24" s="800" t="s">
        <v>458</v>
      </c>
      <c r="L24" s="810"/>
      <c r="M24" s="792">
        <v>11983</v>
      </c>
      <c r="N24" s="792">
        <v>765784766.35000002</v>
      </c>
      <c r="O24" s="801">
        <f>(N24/N26)*100</f>
        <v>14.180337462512052</v>
      </c>
      <c r="P24" s="106"/>
      <c r="Q24" s="58"/>
    </row>
    <row r="25" spans="1:17" s="5" customFormat="1" ht="18" customHeight="1" thickBot="1">
      <c r="A25" s="58"/>
      <c r="B25" s="282"/>
      <c r="C25" s="201" t="s">
        <v>209</v>
      </c>
      <c r="D25" s="202">
        <v>10009</v>
      </c>
      <c r="E25" s="202">
        <v>12897</v>
      </c>
      <c r="F25" s="207">
        <f t="shared" si="0"/>
        <v>28.854031371765409</v>
      </c>
      <c r="G25" s="320">
        <v>128.30000000000001</v>
      </c>
      <c r="H25" s="316">
        <v>171.1</v>
      </c>
      <c r="I25" s="324">
        <f t="shared" si="1"/>
        <v>33.359314107560387</v>
      </c>
      <c r="J25" s="99"/>
      <c r="K25" s="808" t="s">
        <v>459</v>
      </c>
      <c r="L25" s="811"/>
      <c r="M25" s="815">
        <v>28452</v>
      </c>
      <c r="N25" s="815">
        <v>2831422437.0899992</v>
      </c>
      <c r="O25" s="807">
        <f>(N25/N26)*100</f>
        <v>52.430561981842551</v>
      </c>
      <c r="P25" s="106"/>
      <c r="Q25" s="58"/>
    </row>
    <row r="26" spans="1:17" ht="17.25" customHeight="1" thickBot="1">
      <c r="A26" s="58"/>
      <c r="B26" s="282"/>
      <c r="C26" s="203" t="s">
        <v>115</v>
      </c>
      <c r="D26" s="204">
        <f>D8+D9+D10+D14+D15+D16+D21+D22+D23+D24+D25</f>
        <v>1922074</v>
      </c>
      <c r="E26" s="204">
        <f>E8+E9+E10+E14+E15+E16+E21+E22+E23+E24+E25</f>
        <v>1949915.9000000001</v>
      </c>
      <c r="F26" s="210">
        <f t="shared" si="0"/>
        <v>1.4485342395766265</v>
      </c>
      <c r="G26" s="321">
        <f>G8+G9+G10+G14+G15+G16+G21+G22+G23+G24+G25</f>
        <v>43235</v>
      </c>
      <c r="H26" s="317">
        <f>H8+H9+H10+H14+H15+H16+H21+H22+H23+H24+H25</f>
        <v>49640</v>
      </c>
      <c r="I26" s="212">
        <f t="shared" si="1"/>
        <v>14.814386492425125</v>
      </c>
      <c r="J26" s="99"/>
      <c r="K26" s="809" t="s">
        <v>460</v>
      </c>
      <c r="L26" s="817"/>
      <c r="M26" s="332">
        <f>SUM(M22:M25)</f>
        <v>92488</v>
      </c>
      <c r="N26" s="818">
        <f>SUM(N22:N25)</f>
        <v>5400328224.7299986</v>
      </c>
      <c r="O26" s="819">
        <f>(N26/N26)*100</f>
        <v>100</v>
      </c>
      <c r="P26" s="106"/>
      <c r="Q26" s="57"/>
    </row>
    <row r="27" spans="1:17" ht="15.75">
      <c r="A27" s="57"/>
      <c r="B27" s="283"/>
      <c r="C27" s="493" t="s">
        <v>599</v>
      </c>
      <c r="D27" s="281"/>
      <c r="E27" s="281"/>
      <c r="F27" s="281"/>
      <c r="G27" s="281"/>
      <c r="H27" s="281"/>
      <c r="I27" s="281"/>
      <c r="J27" s="281"/>
      <c r="K27" s="493" t="s">
        <v>454</v>
      </c>
      <c r="L27" s="281"/>
      <c r="M27" s="281"/>
      <c r="N27" s="281"/>
      <c r="O27" s="216">
        <f ca="1">NOW()</f>
        <v>42653.424638310185</v>
      </c>
      <c r="P27" s="130"/>
      <c r="Q27" s="57"/>
    </row>
    <row r="28" spans="1:17" ht="15" customHeight="1">
      <c r="A28" s="57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58"/>
      <c r="Q28" s="57"/>
    </row>
  </sheetData>
  <mergeCells count="6">
    <mergeCell ref="A1:Q1"/>
    <mergeCell ref="K21:L21"/>
    <mergeCell ref="B3:P3"/>
    <mergeCell ref="D6:F6"/>
    <mergeCell ref="G6:I6"/>
    <mergeCell ref="O6:O7"/>
  </mergeCells>
  <phoneticPr fontId="13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O37"/>
  <sheetViews>
    <sheetView workbookViewId="0">
      <selection activeCell="Q27" sqref="Q27"/>
    </sheetView>
  </sheetViews>
  <sheetFormatPr defaultRowHeight="12.75"/>
  <cols>
    <col min="1" max="1" width="2.7109375" customWidth="1"/>
    <col min="2" max="2" width="11.7109375" customWidth="1"/>
    <col min="3" max="3" width="12.28515625" customWidth="1"/>
    <col min="4" max="4" width="13.7109375" customWidth="1"/>
    <col min="5" max="13" width="9.28515625" customWidth="1"/>
    <col min="14" max="14" width="9.7109375" customWidth="1"/>
    <col min="15" max="15" width="2.7109375" customWidth="1"/>
  </cols>
  <sheetData>
    <row r="1" spans="1:15" ht="15" customHeight="1">
      <c r="A1" s="1566" t="s">
        <v>404</v>
      </c>
      <c r="B1" s="1566"/>
      <c r="C1" s="1566"/>
      <c r="D1" s="1566"/>
      <c r="E1" s="1566"/>
      <c r="F1" s="1566"/>
      <c r="G1" s="1566"/>
      <c r="H1" s="1566"/>
      <c r="I1" s="1566"/>
      <c r="J1" s="1566"/>
      <c r="K1" s="1566"/>
      <c r="L1" s="1566"/>
      <c r="M1" s="1566"/>
      <c r="N1" s="1566"/>
      <c r="O1" s="1566"/>
    </row>
    <row r="2" spans="1:15" ht="23.25" customHeight="1">
      <c r="A2" s="60"/>
      <c r="B2" s="1325" t="s">
        <v>35</v>
      </c>
      <c r="C2" s="1326"/>
      <c r="D2" s="1326"/>
      <c r="E2" s="1326"/>
      <c r="F2" s="1326"/>
      <c r="G2" s="1326"/>
      <c r="H2" s="1326"/>
      <c r="I2" s="1326"/>
      <c r="J2" s="1326"/>
      <c r="K2" s="1326"/>
      <c r="L2" s="1326"/>
      <c r="M2" s="1326"/>
      <c r="N2" s="1327"/>
      <c r="O2" s="145"/>
    </row>
    <row r="3" spans="1:15" ht="13.5" customHeight="1">
      <c r="A3" s="60"/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8"/>
      <c r="O3" s="57"/>
    </row>
    <row r="4" spans="1:15" ht="18" customHeight="1">
      <c r="A4" s="60"/>
      <c r="B4" s="1328" t="s">
        <v>215</v>
      </c>
      <c r="C4" s="1329"/>
      <c r="D4" s="1330"/>
      <c r="E4" s="146">
        <v>2007</v>
      </c>
      <c r="F4" s="146">
        <v>2008</v>
      </c>
      <c r="G4" s="146">
        <v>2009</v>
      </c>
      <c r="H4" s="146">
        <v>2010</v>
      </c>
      <c r="I4" s="146">
        <v>2011</v>
      </c>
      <c r="J4" s="146">
        <v>2012</v>
      </c>
      <c r="K4" s="146">
        <v>2013</v>
      </c>
      <c r="L4" s="146">
        <v>2014</v>
      </c>
      <c r="M4" s="146">
        <v>2015</v>
      </c>
      <c r="N4" s="146">
        <v>2016</v>
      </c>
      <c r="O4" s="58"/>
    </row>
    <row r="5" spans="1:15" ht="18" customHeight="1">
      <c r="A5" s="58"/>
      <c r="B5" s="147" t="s">
        <v>299</v>
      </c>
      <c r="C5" s="148"/>
      <c r="D5" s="170"/>
      <c r="E5" s="149">
        <v>36.07</v>
      </c>
      <c r="F5" s="149">
        <v>45.991999999999997</v>
      </c>
      <c r="G5" s="149">
        <v>39.47</v>
      </c>
      <c r="H5" s="149">
        <v>48.094999999999999</v>
      </c>
      <c r="I5" s="149">
        <v>43.484000000000002</v>
      </c>
      <c r="J5" s="149">
        <v>50.826000000000001</v>
      </c>
      <c r="K5" s="149">
        <v>49.152000000000001</v>
      </c>
      <c r="L5" s="149">
        <v>45.639000000000003</v>
      </c>
      <c r="M5" s="755">
        <v>43.2</v>
      </c>
      <c r="N5" s="755" t="s">
        <v>616</v>
      </c>
      <c r="O5" s="58"/>
    </row>
    <row r="6" spans="1:15" ht="18" customHeight="1">
      <c r="A6" s="58"/>
      <c r="B6" s="150" t="s">
        <v>36</v>
      </c>
      <c r="C6" s="299"/>
      <c r="D6" s="300"/>
      <c r="E6" s="151">
        <v>2.1760000000000002</v>
      </c>
      <c r="F6" s="151">
        <v>2.169</v>
      </c>
      <c r="G6" s="151">
        <v>2.0920000000000001</v>
      </c>
      <c r="H6" s="151">
        <v>2.0760000000000001</v>
      </c>
      <c r="I6" s="151">
        <v>2.056</v>
      </c>
      <c r="J6" s="151">
        <v>2.0489999999999999</v>
      </c>
      <c r="K6" s="151">
        <v>2.016</v>
      </c>
      <c r="L6" s="798">
        <v>1.946</v>
      </c>
      <c r="M6" s="797">
        <v>1.9219999999999999</v>
      </c>
      <c r="N6" s="797">
        <v>1.9490000000000001</v>
      </c>
      <c r="O6" s="58"/>
    </row>
    <row r="7" spans="1:15" ht="18" customHeight="1">
      <c r="A7" s="58"/>
      <c r="B7" s="150" t="s">
        <v>37</v>
      </c>
      <c r="C7" s="299"/>
      <c r="D7" s="300"/>
      <c r="E7" s="151">
        <v>16.57</v>
      </c>
      <c r="F7" s="152">
        <v>21.2</v>
      </c>
      <c r="G7" s="151">
        <v>18.86</v>
      </c>
      <c r="H7" s="151">
        <v>23.16</v>
      </c>
      <c r="I7" s="151">
        <v>21.15</v>
      </c>
      <c r="J7" s="151">
        <v>24.8</v>
      </c>
      <c r="K7" s="151">
        <v>24.31</v>
      </c>
      <c r="L7" s="151">
        <v>23.3</v>
      </c>
      <c r="M7" s="757">
        <v>22.5</v>
      </c>
      <c r="N7" s="757">
        <v>25.46</v>
      </c>
      <c r="O7" s="58"/>
    </row>
    <row r="8" spans="1:15" ht="12" customHeight="1">
      <c r="A8" s="58"/>
      <c r="B8" s="135"/>
      <c r="C8" s="136"/>
      <c r="D8" s="138"/>
      <c r="E8" s="142"/>
      <c r="F8" s="142"/>
      <c r="G8" s="142"/>
      <c r="H8" s="142"/>
      <c r="I8" s="142"/>
      <c r="J8" s="142"/>
      <c r="K8" s="142"/>
      <c r="L8" s="142"/>
      <c r="M8" s="507"/>
      <c r="N8" s="507"/>
      <c r="O8" s="58"/>
    </row>
    <row r="9" spans="1:15" ht="18" customHeight="1">
      <c r="A9" s="58"/>
      <c r="B9" s="155" t="s">
        <v>300</v>
      </c>
      <c r="C9" s="154"/>
      <c r="D9" s="167"/>
      <c r="E9" s="156">
        <v>28.398</v>
      </c>
      <c r="F9" s="156">
        <v>29.727</v>
      </c>
      <c r="G9" s="156">
        <v>30.481000000000002</v>
      </c>
      <c r="H9" s="156">
        <v>33.493000000000002</v>
      </c>
      <c r="I9" s="156">
        <v>33.61</v>
      </c>
      <c r="J9" s="156">
        <v>28.734999999999999</v>
      </c>
      <c r="K9" s="156">
        <v>32.01</v>
      </c>
      <c r="L9" s="156">
        <v>36.734999999999999</v>
      </c>
      <c r="M9" s="766">
        <v>37.1</v>
      </c>
      <c r="N9" s="766">
        <v>24.481999999999999</v>
      </c>
      <c r="O9" s="58"/>
    </row>
    <row r="10" spans="1:15" ht="18" customHeight="1">
      <c r="A10" s="58"/>
      <c r="B10" s="157" t="s">
        <v>216</v>
      </c>
      <c r="C10" s="299"/>
      <c r="D10" s="300"/>
      <c r="E10" s="158">
        <v>3.891</v>
      </c>
      <c r="F10" s="158">
        <v>4.7619999999999996</v>
      </c>
      <c r="G10" s="158">
        <v>4.2789999999999999</v>
      </c>
      <c r="H10" s="158">
        <v>5.7640000000000002</v>
      </c>
      <c r="I10" s="158">
        <v>8.7330000000000005</v>
      </c>
      <c r="J10" s="158">
        <v>6.4619999999999997</v>
      </c>
      <c r="K10" s="158">
        <v>5.2750000000000004</v>
      </c>
      <c r="L10" s="158">
        <v>6.6609999999999996</v>
      </c>
      <c r="M10" s="756">
        <v>6.2</v>
      </c>
      <c r="N10" s="756">
        <v>3.7090000000000001</v>
      </c>
      <c r="O10" s="58"/>
    </row>
    <row r="11" spans="1:15" ht="18" customHeight="1">
      <c r="A11" s="58"/>
      <c r="B11" s="159" t="s">
        <v>217</v>
      </c>
      <c r="C11" s="299"/>
      <c r="D11" s="300"/>
      <c r="E11" s="160">
        <v>137.03</v>
      </c>
      <c r="F11" s="160">
        <v>160.19999999999999</v>
      </c>
      <c r="G11" s="160">
        <v>140.38</v>
      </c>
      <c r="H11" s="160">
        <v>172.11</v>
      </c>
      <c r="I11" s="160">
        <v>259.83</v>
      </c>
      <c r="J11" s="160">
        <v>224.9</v>
      </c>
      <c r="K11" s="160">
        <v>164.81</v>
      </c>
      <c r="L11" s="160">
        <v>181.35</v>
      </c>
      <c r="M11" s="757">
        <v>165.92</v>
      </c>
      <c r="N11" s="757">
        <v>151.49</v>
      </c>
      <c r="O11" s="58"/>
    </row>
    <row r="12" spans="1:15" ht="12" customHeight="1">
      <c r="A12" s="58"/>
      <c r="B12" s="135"/>
      <c r="C12" s="136"/>
      <c r="D12" s="138"/>
      <c r="E12" s="142"/>
      <c r="F12" s="142"/>
      <c r="G12" s="142"/>
      <c r="H12" s="142"/>
      <c r="I12" s="142"/>
      <c r="J12" s="142"/>
      <c r="K12" s="142"/>
      <c r="L12" s="142"/>
      <c r="M12" s="508"/>
      <c r="N12" s="508"/>
      <c r="O12" s="58"/>
    </row>
    <row r="13" spans="1:15" ht="18" customHeight="1">
      <c r="A13" s="58"/>
      <c r="B13" s="161" t="s">
        <v>341</v>
      </c>
      <c r="C13" s="154"/>
      <c r="D13" s="167"/>
      <c r="E13" s="153">
        <v>17.12</v>
      </c>
      <c r="F13" s="153">
        <v>17.66</v>
      </c>
      <c r="G13" s="153">
        <v>18.388999999999999</v>
      </c>
      <c r="H13" s="153">
        <v>19.13</v>
      </c>
      <c r="I13" s="153">
        <v>19.72</v>
      </c>
      <c r="J13" s="153">
        <v>20.329999999999998</v>
      </c>
      <c r="K13" s="153">
        <v>20.079999999999998</v>
      </c>
      <c r="L13" s="153">
        <v>20.3</v>
      </c>
      <c r="M13" s="766">
        <v>20.5</v>
      </c>
      <c r="N13" s="766" t="s">
        <v>617</v>
      </c>
      <c r="O13" s="58"/>
    </row>
    <row r="14" spans="1:15" ht="18" customHeight="1">
      <c r="A14" s="58"/>
      <c r="B14" s="150" t="s">
        <v>218</v>
      </c>
      <c r="C14" s="299"/>
      <c r="D14" s="300"/>
      <c r="E14" s="151">
        <v>5.53</v>
      </c>
      <c r="F14" s="151">
        <v>5.64</v>
      </c>
      <c r="G14" s="151">
        <v>5.81</v>
      </c>
      <c r="H14" s="151">
        <v>6.02</v>
      </c>
      <c r="I14" s="151">
        <v>6.1</v>
      </c>
      <c r="J14" s="151">
        <v>6.23</v>
      </c>
      <c r="K14" s="151">
        <v>6.43</v>
      </c>
      <c r="L14" s="151">
        <v>6.43</v>
      </c>
      <c r="M14" s="757">
        <v>6.2</v>
      </c>
      <c r="N14" s="757">
        <v>6.2</v>
      </c>
      <c r="O14" s="58"/>
    </row>
    <row r="15" spans="1:15" ht="12" customHeight="1">
      <c r="A15" s="58"/>
      <c r="B15" s="135"/>
      <c r="C15" s="136"/>
      <c r="D15" s="138"/>
      <c r="E15" s="142"/>
      <c r="F15" s="142"/>
      <c r="G15" s="142"/>
      <c r="H15" s="142"/>
      <c r="I15" s="142"/>
      <c r="J15" s="142"/>
      <c r="K15" s="142"/>
      <c r="L15" s="142"/>
      <c r="M15" s="508"/>
      <c r="N15" s="508"/>
      <c r="O15" s="58"/>
    </row>
    <row r="16" spans="1:15" ht="18" customHeight="1">
      <c r="A16" s="58"/>
      <c r="B16" s="161" t="s">
        <v>219</v>
      </c>
      <c r="C16" s="154"/>
      <c r="D16" s="167"/>
      <c r="E16" s="163">
        <v>18.47</v>
      </c>
      <c r="F16" s="163">
        <v>13.202</v>
      </c>
      <c r="G16" s="163">
        <v>15.766</v>
      </c>
      <c r="H16" s="163">
        <v>11.098000000000001</v>
      </c>
      <c r="I16" s="163">
        <v>11.34</v>
      </c>
      <c r="J16" s="163">
        <v>10.063000000000001</v>
      </c>
      <c r="K16" s="163">
        <v>15.590999999999999</v>
      </c>
      <c r="L16" s="163">
        <v>16.870999999999999</v>
      </c>
      <c r="M16" s="767">
        <v>15.94</v>
      </c>
      <c r="N16" s="767" t="s">
        <v>618</v>
      </c>
      <c r="O16" s="57"/>
    </row>
    <row r="17" spans="1:15" ht="12" customHeight="1">
      <c r="A17" s="58"/>
      <c r="B17" s="135"/>
      <c r="C17" s="136"/>
      <c r="D17" s="138"/>
      <c r="E17" s="142"/>
      <c r="F17" s="142"/>
      <c r="G17" s="142"/>
      <c r="H17" s="142"/>
      <c r="I17" s="142"/>
      <c r="J17" s="142"/>
      <c r="K17" s="142"/>
      <c r="L17" s="142"/>
      <c r="M17" s="508"/>
      <c r="N17" s="508"/>
      <c r="O17" s="57"/>
    </row>
    <row r="18" spans="1:15" ht="18" customHeight="1">
      <c r="A18" s="58"/>
      <c r="B18" s="161" t="s">
        <v>220</v>
      </c>
      <c r="C18" s="154"/>
      <c r="D18" s="167"/>
      <c r="E18" s="164">
        <v>2147</v>
      </c>
      <c r="F18" s="164">
        <v>2561</v>
      </c>
      <c r="G18" s="164">
        <v>2843</v>
      </c>
      <c r="H18" s="164">
        <v>2846</v>
      </c>
      <c r="I18" s="164">
        <v>2714</v>
      </c>
      <c r="J18" s="164">
        <v>2894</v>
      </c>
      <c r="K18" s="164">
        <v>3357</v>
      </c>
      <c r="L18" s="164">
        <v>4008</v>
      </c>
      <c r="M18" s="768">
        <f>M19+M20+M21</f>
        <v>4146.1000000000004</v>
      </c>
      <c r="N18" s="768">
        <f>N19+N20+N21</f>
        <v>4644.2000000000007</v>
      </c>
      <c r="O18" s="57"/>
    </row>
    <row r="19" spans="1:15" ht="18" customHeight="1">
      <c r="A19" s="58"/>
      <c r="B19" s="150" t="s">
        <v>38</v>
      </c>
      <c r="C19" s="299"/>
      <c r="D19" s="300"/>
      <c r="E19" s="162">
        <v>2026</v>
      </c>
      <c r="F19" s="162">
        <v>2441</v>
      </c>
      <c r="G19" s="162">
        <v>2673</v>
      </c>
      <c r="H19" s="162">
        <v>2673</v>
      </c>
      <c r="I19" s="162">
        <v>2539</v>
      </c>
      <c r="J19" s="162">
        <v>2734</v>
      </c>
      <c r="K19" s="162">
        <v>3180</v>
      </c>
      <c r="L19" s="162">
        <v>3825</v>
      </c>
      <c r="M19" s="769">
        <v>4136</v>
      </c>
      <c r="N19" s="769">
        <v>4632</v>
      </c>
      <c r="O19" s="57"/>
    </row>
    <row r="20" spans="1:15" ht="18" customHeight="1">
      <c r="A20" s="58"/>
      <c r="B20" s="150" t="s">
        <v>221</v>
      </c>
      <c r="C20" s="299"/>
      <c r="D20" s="300"/>
      <c r="E20" s="151">
        <v>13</v>
      </c>
      <c r="F20" s="151">
        <v>13</v>
      </c>
      <c r="G20" s="151">
        <v>15</v>
      </c>
      <c r="H20" s="151">
        <v>15</v>
      </c>
      <c r="I20" s="151">
        <v>14</v>
      </c>
      <c r="J20" s="151">
        <v>8</v>
      </c>
      <c r="K20" s="151">
        <v>2.5</v>
      </c>
      <c r="L20" s="151">
        <v>4</v>
      </c>
      <c r="M20" s="757">
        <v>4.5</v>
      </c>
      <c r="N20" s="757">
        <v>1.6</v>
      </c>
      <c r="O20" s="57"/>
    </row>
    <row r="21" spans="1:15" ht="18" customHeight="1">
      <c r="A21" s="58"/>
      <c r="B21" s="150" t="s">
        <v>39</v>
      </c>
      <c r="C21" s="299"/>
      <c r="D21" s="300"/>
      <c r="E21" s="151">
        <v>12</v>
      </c>
      <c r="F21" s="151">
        <v>12</v>
      </c>
      <c r="G21" s="151">
        <v>15.3</v>
      </c>
      <c r="H21" s="151">
        <v>15.3</v>
      </c>
      <c r="I21" s="151">
        <v>15</v>
      </c>
      <c r="J21" s="151">
        <v>12</v>
      </c>
      <c r="K21" s="151">
        <v>0</v>
      </c>
      <c r="L21" s="151">
        <v>6.5</v>
      </c>
      <c r="M21" s="757">
        <v>5.6</v>
      </c>
      <c r="N21" s="757">
        <v>10.6</v>
      </c>
      <c r="O21" s="57"/>
    </row>
    <row r="22" spans="1:15" ht="12" customHeight="1">
      <c r="A22" s="58"/>
      <c r="B22" s="135"/>
      <c r="C22" s="136"/>
      <c r="D22" s="138"/>
      <c r="E22" s="142"/>
      <c r="F22" s="142"/>
      <c r="G22" s="142"/>
      <c r="H22" s="142"/>
      <c r="I22" s="142"/>
      <c r="J22" s="142"/>
      <c r="K22" s="142"/>
      <c r="L22" s="142"/>
      <c r="M22" s="508"/>
      <c r="N22" s="508"/>
      <c r="O22" s="57"/>
    </row>
    <row r="23" spans="1:15" ht="18" customHeight="1">
      <c r="A23" s="58"/>
      <c r="B23" s="161" t="s">
        <v>401</v>
      </c>
      <c r="C23" s="154"/>
      <c r="D23" s="167"/>
      <c r="E23" s="165">
        <v>29.5</v>
      </c>
      <c r="F23" s="165">
        <v>30.46</v>
      </c>
      <c r="G23" s="165">
        <v>31.65</v>
      </c>
      <c r="H23" s="165">
        <v>34.56</v>
      </c>
      <c r="I23" s="165">
        <v>32.14</v>
      </c>
      <c r="J23" s="165">
        <v>25.39</v>
      </c>
      <c r="K23" s="165">
        <v>29.41</v>
      </c>
      <c r="L23" s="165">
        <v>32.22</v>
      </c>
      <c r="M23" s="770">
        <v>30.1</v>
      </c>
      <c r="N23" s="770" t="s">
        <v>619</v>
      </c>
      <c r="O23" s="57"/>
    </row>
    <row r="24" spans="1:15" ht="12" customHeight="1">
      <c r="A24" s="57"/>
      <c r="B24" s="139"/>
      <c r="C24" s="140"/>
      <c r="D24" s="141"/>
      <c r="E24" s="143"/>
      <c r="F24" s="143"/>
      <c r="G24" s="143"/>
      <c r="H24" s="143"/>
      <c r="I24" s="143"/>
      <c r="J24" s="143"/>
      <c r="K24" s="143"/>
      <c r="L24" s="143"/>
      <c r="M24" s="508"/>
      <c r="N24" s="508"/>
      <c r="O24" s="57"/>
    </row>
    <row r="25" spans="1:15" ht="15" customHeight="1">
      <c r="A25" s="57"/>
      <c r="B25" s="161" t="s">
        <v>301</v>
      </c>
      <c r="C25" s="166"/>
      <c r="D25" s="168"/>
      <c r="E25" s="165">
        <v>6.6</v>
      </c>
      <c r="F25" s="165">
        <v>6.59</v>
      </c>
      <c r="G25" s="165">
        <v>6.61</v>
      </c>
      <c r="H25" s="165">
        <v>7.54</v>
      </c>
      <c r="I25" s="165">
        <v>9.23</v>
      </c>
      <c r="J25" s="165">
        <v>6.74</v>
      </c>
      <c r="K25" s="165">
        <v>5.28</v>
      </c>
      <c r="L25" s="165">
        <v>6.89</v>
      </c>
      <c r="M25" s="796">
        <v>7</v>
      </c>
      <c r="N25" s="1307">
        <v>5.5</v>
      </c>
      <c r="O25" s="57"/>
    </row>
    <row r="26" spans="1:15" ht="12" customHeight="1">
      <c r="A26" s="57"/>
      <c r="B26" s="139"/>
      <c r="C26" s="140"/>
      <c r="D26" s="141"/>
      <c r="E26" s="143"/>
      <c r="F26" s="143"/>
      <c r="G26" s="143"/>
      <c r="H26" s="143"/>
      <c r="I26" s="143"/>
      <c r="J26" s="143"/>
      <c r="K26" s="143"/>
      <c r="L26" s="143"/>
      <c r="M26" s="509"/>
      <c r="N26" s="509"/>
      <c r="O26" s="57"/>
    </row>
    <row r="27" spans="1:15" ht="12.75" customHeight="1">
      <c r="A27" s="57"/>
      <c r="B27" s="1331" t="s">
        <v>342</v>
      </c>
      <c r="C27" s="1332"/>
      <c r="D27" s="1333"/>
      <c r="E27" s="1337">
        <v>252.43</v>
      </c>
      <c r="F27" s="1323">
        <v>260.37</v>
      </c>
      <c r="G27" s="1323">
        <v>263.2</v>
      </c>
      <c r="H27" s="1323">
        <v>310.91000000000003</v>
      </c>
      <c r="I27" s="1323">
        <v>494.95</v>
      </c>
      <c r="J27" s="1323">
        <v>390.03</v>
      </c>
      <c r="K27" s="1323">
        <v>288.93</v>
      </c>
      <c r="L27" s="1323">
        <v>418.61</v>
      </c>
      <c r="M27" s="1339">
        <v>454.04</v>
      </c>
      <c r="N27" s="1339" t="s">
        <v>622</v>
      </c>
      <c r="O27" s="57"/>
    </row>
    <row r="28" spans="1:15" ht="15" customHeight="1">
      <c r="A28" s="57"/>
      <c r="B28" s="1334"/>
      <c r="C28" s="1335"/>
      <c r="D28" s="1336"/>
      <c r="E28" s="1338"/>
      <c r="F28" s="1324"/>
      <c r="G28" s="1324"/>
      <c r="H28" s="1324"/>
      <c r="I28" s="1324"/>
      <c r="J28" s="1324"/>
      <c r="K28" s="1324"/>
      <c r="L28" s="1324"/>
      <c r="M28" s="1340"/>
      <c r="N28" s="1340"/>
      <c r="O28" s="57"/>
    </row>
    <row r="29" spans="1:15" ht="15" customHeight="1">
      <c r="A29" s="57"/>
      <c r="B29" s="169" t="s">
        <v>40</v>
      </c>
      <c r="C29" s="144"/>
      <c r="D29" s="144"/>
      <c r="E29" s="144"/>
      <c r="F29" s="144"/>
      <c r="G29" s="144"/>
      <c r="H29" s="520" t="s">
        <v>621</v>
      </c>
      <c r="I29" s="144"/>
      <c r="J29" s="144"/>
      <c r="K29" s="520" t="s">
        <v>453</v>
      </c>
      <c r="L29" s="144"/>
      <c r="M29" s="144"/>
      <c r="N29" s="144"/>
      <c r="O29" s="57"/>
    </row>
    <row r="30" spans="1:15" ht="12.75" customHeight="1">
      <c r="A30" s="57"/>
      <c r="B30" s="748" t="s">
        <v>620</v>
      </c>
      <c r="C30" s="57"/>
      <c r="D30" s="57"/>
      <c r="E30" s="57"/>
      <c r="F30" s="57"/>
      <c r="G30" s="57"/>
      <c r="H30" s="748" t="s">
        <v>452</v>
      </c>
      <c r="I30" s="57"/>
      <c r="J30" s="57"/>
      <c r="K30" s="520" t="s">
        <v>623</v>
      </c>
      <c r="L30" s="57"/>
      <c r="M30" s="57"/>
      <c r="N30" s="57"/>
      <c r="O30" s="57"/>
    </row>
    <row r="31" spans="1:15" ht="13.5" customHeight="1"/>
    <row r="33" ht="12.75" customHeight="1"/>
    <row r="34" ht="12.75" customHeight="1"/>
    <row r="36" ht="12.75" customHeight="1"/>
    <row r="37" ht="13.5" customHeight="1"/>
  </sheetData>
  <mergeCells count="14">
    <mergeCell ref="A1:O1"/>
    <mergeCell ref="K27:K28"/>
    <mergeCell ref="L27:L28"/>
    <mergeCell ref="B2:N2"/>
    <mergeCell ref="B4:D4"/>
    <mergeCell ref="B27:D28"/>
    <mergeCell ref="E27:E28"/>
    <mergeCell ref="F27:F28"/>
    <mergeCell ref="G27:G28"/>
    <mergeCell ref="H27:H28"/>
    <mergeCell ref="M27:M28"/>
    <mergeCell ref="I27:I28"/>
    <mergeCell ref="J27:J28"/>
    <mergeCell ref="N27:N2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N22" sqref="N22"/>
    </sheetView>
  </sheetViews>
  <sheetFormatPr defaultColWidth="9.140625" defaultRowHeight="12.75"/>
  <cols>
    <col min="1" max="1" width="2.7109375" customWidth="1"/>
    <col min="2" max="2" width="7.7109375" customWidth="1"/>
    <col min="3" max="3" width="12.7109375" customWidth="1"/>
    <col min="4" max="10" width="14.7109375" customWidth="1"/>
    <col min="11" max="11" width="7.7109375" customWidth="1"/>
    <col min="12" max="12" width="2.7109375" customWidth="1"/>
  </cols>
  <sheetData>
    <row r="1" spans="1:14" ht="18" customHeight="1">
      <c r="A1" s="1566" t="s">
        <v>405</v>
      </c>
      <c r="B1" s="1566"/>
      <c r="C1" s="1566"/>
      <c r="D1" s="1566"/>
      <c r="E1" s="1566"/>
      <c r="F1" s="1566"/>
      <c r="G1" s="1566"/>
      <c r="H1" s="1566"/>
      <c r="I1" s="1566"/>
      <c r="J1" s="1566"/>
      <c r="K1" s="1566"/>
      <c r="L1" s="1566"/>
    </row>
    <row r="2" spans="1:14" ht="27" customHeight="1">
      <c r="A2" s="60"/>
      <c r="B2" s="1325"/>
      <c r="C2" s="1326"/>
      <c r="D2" s="1326"/>
      <c r="E2" s="1326"/>
      <c r="F2" s="1326"/>
      <c r="G2" s="1326"/>
      <c r="H2" s="1326"/>
      <c r="I2" s="1326"/>
      <c r="J2" s="1326"/>
      <c r="K2" s="1327"/>
      <c r="L2" s="57"/>
    </row>
    <row r="3" spans="1:14" ht="20.100000000000001" customHeight="1">
      <c r="A3" s="60"/>
      <c r="B3" s="98"/>
      <c r="C3" s="1348" t="s">
        <v>41</v>
      </c>
      <c r="D3" s="1348"/>
      <c r="E3" s="1348"/>
      <c r="F3" s="1348"/>
      <c r="G3" s="1348"/>
      <c r="H3" s="1348"/>
      <c r="I3" s="1348"/>
      <c r="J3" s="1348"/>
      <c r="K3" s="106"/>
      <c r="L3" s="58"/>
    </row>
    <row r="4" spans="1:14" ht="20.100000000000001" customHeight="1">
      <c r="A4" s="60"/>
      <c r="B4" s="98"/>
      <c r="C4" s="354"/>
      <c r="D4" s="354"/>
      <c r="E4" s="354"/>
      <c r="F4" s="354"/>
      <c r="G4" s="354"/>
      <c r="H4" s="354"/>
      <c r="I4" s="354"/>
      <c r="J4" s="354"/>
      <c r="K4" s="106"/>
      <c r="L4" s="58"/>
    </row>
    <row r="5" spans="1:14" ht="20.100000000000001" customHeight="1">
      <c r="A5" s="60"/>
      <c r="B5" s="98"/>
      <c r="C5" s="1349" t="s">
        <v>42</v>
      </c>
      <c r="D5" s="1349"/>
      <c r="E5" s="1349"/>
      <c r="F5" s="1349"/>
      <c r="G5" s="1349"/>
      <c r="H5" s="1349"/>
      <c r="I5" s="1349"/>
      <c r="J5" s="1349"/>
      <c r="K5" s="106"/>
      <c r="L5" s="58"/>
    </row>
    <row r="6" spans="1:14" ht="21" customHeight="1">
      <c r="A6" s="60"/>
      <c r="B6" s="99"/>
      <c r="C6" s="1341" t="s">
        <v>43</v>
      </c>
      <c r="D6" s="1343" t="s">
        <v>44</v>
      </c>
      <c r="E6" s="1344"/>
      <c r="F6" s="1345"/>
      <c r="G6" s="1343" t="s">
        <v>45</v>
      </c>
      <c r="H6" s="1344"/>
      <c r="I6" s="1345"/>
      <c r="J6" s="1346" t="s">
        <v>46</v>
      </c>
      <c r="K6" s="103"/>
      <c r="L6" s="58"/>
    </row>
    <row r="7" spans="1:14" ht="21" customHeight="1">
      <c r="A7" s="60"/>
      <c r="B7" s="99"/>
      <c r="C7" s="1342"/>
      <c r="D7" s="290" t="s">
        <v>47</v>
      </c>
      <c r="E7" s="290" t="s">
        <v>48</v>
      </c>
      <c r="F7" s="290" t="s">
        <v>2</v>
      </c>
      <c r="G7" s="290" t="s">
        <v>49</v>
      </c>
      <c r="H7" s="290" t="s">
        <v>50</v>
      </c>
      <c r="I7" s="290" t="s">
        <v>2</v>
      </c>
      <c r="J7" s="1347"/>
      <c r="K7" s="103"/>
      <c r="L7" s="58"/>
    </row>
    <row r="8" spans="1:14" ht="20.100000000000001" customHeight="1">
      <c r="A8" s="60"/>
      <c r="B8" s="99"/>
      <c r="C8" s="289">
        <v>2004</v>
      </c>
      <c r="D8" s="7">
        <v>7723</v>
      </c>
      <c r="E8" s="7">
        <v>783</v>
      </c>
      <c r="F8" s="7">
        <f t="shared" ref="F8:F20" si="0">SUM(D8:E8)</f>
        <v>8506</v>
      </c>
      <c r="G8" s="7">
        <v>4290</v>
      </c>
      <c r="H8" s="7">
        <v>454</v>
      </c>
      <c r="I8" s="7">
        <f t="shared" ref="I8:I20" si="1">SUM(G8:H8)</f>
        <v>4744</v>
      </c>
      <c r="J8" s="8">
        <f t="shared" ref="J8:J20" si="2">F8+I8</f>
        <v>13250</v>
      </c>
      <c r="K8" s="103"/>
      <c r="L8" s="58"/>
      <c r="N8" s="1208"/>
    </row>
    <row r="9" spans="1:14" ht="20.100000000000001" customHeight="1">
      <c r="A9" s="60"/>
      <c r="B9" s="99"/>
      <c r="C9" s="291">
        <v>2005</v>
      </c>
      <c r="D9" s="7">
        <v>10872</v>
      </c>
      <c r="E9" s="7">
        <v>1172</v>
      </c>
      <c r="F9" s="7">
        <f t="shared" si="0"/>
        <v>12044</v>
      </c>
      <c r="G9" s="7">
        <v>3191</v>
      </c>
      <c r="H9" s="7">
        <v>182</v>
      </c>
      <c r="I9" s="7">
        <f t="shared" si="1"/>
        <v>3373</v>
      </c>
      <c r="J9" s="8">
        <f t="shared" si="2"/>
        <v>15417</v>
      </c>
      <c r="K9" s="103"/>
      <c r="L9" s="58"/>
    </row>
    <row r="10" spans="1:14" ht="20.100000000000001" customHeight="1">
      <c r="A10" s="60"/>
      <c r="B10" s="99"/>
      <c r="C10" s="291">
        <v>2006</v>
      </c>
      <c r="D10" s="7">
        <f>9278</f>
        <v>9278</v>
      </c>
      <c r="E10" s="7">
        <v>446</v>
      </c>
      <c r="F10" s="7">
        <f t="shared" si="0"/>
        <v>9724</v>
      </c>
      <c r="G10" s="7">
        <v>1949</v>
      </c>
      <c r="H10" s="7">
        <v>182</v>
      </c>
      <c r="I10" s="7">
        <f t="shared" si="1"/>
        <v>2131</v>
      </c>
      <c r="J10" s="8">
        <f t="shared" si="2"/>
        <v>11855</v>
      </c>
      <c r="K10" s="103"/>
      <c r="L10" s="58"/>
    </row>
    <row r="11" spans="1:14" ht="20.100000000000001" customHeight="1">
      <c r="A11" s="60"/>
      <c r="B11" s="99"/>
      <c r="C11" s="291">
        <v>2007</v>
      </c>
      <c r="D11" s="7">
        <f>16781</f>
        <v>16781</v>
      </c>
      <c r="E11" s="7">
        <v>803</v>
      </c>
      <c r="F11" s="7">
        <f t="shared" si="0"/>
        <v>17584</v>
      </c>
      <c r="G11" s="7">
        <v>704</v>
      </c>
      <c r="H11" s="7">
        <v>182</v>
      </c>
      <c r="I11" s="7">
        <f t="shared" si="1"/>
        <v>886</v>
      </c>
      <c r="J11" s="8">
        <f t="shared" si="2"/>
        <v>18470</v>
      </c>
      <c r="K11" s="103"/>
      <c r="L11" s="58"/>
    </row>
    <row r="12" spans="1:14" ht="20.100000000000001" customHeight="1">
      <c r="A12" s="60"/>
      <c r="B12" s="99"/>
      <c r="C12" s="291">
        <v>2008</v>
      </c>
      <c r="D12" s="7">
        <v>11490</v>
      </c>
      <c r="E12" s="7">
        <v>1013</v>
      </c>
      <c r="F12" s="7">
        <f t="shared" si="0"/>
        <v>12503</v>
      </c>
      <c r="G12" s="7">
        <v>521</v>
      </c>
      <c r="H12" s="7">
        <v>178</v>
      </c>
      <c r="I12" s="7">
        <f t="shared" si="1"/>
        <v>699</v>
      </c>
      <c r="J12" s="8">
        <f t="shared" si="2"/>
        <v>13202</v>
      </c>
      <c r="K12" s="103"/>
      <c r="L12" s="58"/>
    </row>
    <row r="13" spans="1:14" ht="20.100000000000001" customHeight="1">
      <c r="A13" s="60"/>
      <c r="B13" s="99"/>
      <c r="C13" s="291">
        <v>2009</v>
      </c>
      <c r="D13" s="7">
        <v>14005</v>
      </c>
      <c r="E13" s="7">
        <v>651</v>
      </c>
      <c r="F13" s="7">
        <f t="shared" si="0"/>
        <v>14656</v>
      </c>
      <c r="G13" s="7">
        <v>494</v>
      </c>
      <c r="H13" s="7">
        <v>616</v>
      </c>
      <c r="I13" s="7">
        <f t="shared" si="1"/>
        <v>1110</v>
      </c>
      <c r="J13" s="8">
        <f t="shared" si="2"/>
        <v>15766</v>
      </c>
      <c r="K13" s="103"/>
      <c r="L13" s="58"/>
    </row>
    <row r="14" spans="1:14" ht="20.100000000000001" customHeight="1">
      <c r="A14" s="60"/>
      <c r="B14" s="99"/>
      <c r="C14" s="291">
        <v>2010</v>
      </c>
      <c r="D14" s="7">
        <v>8245</v>
      </c>
      <c r="E14" s="7">
        <v>699</v>
      </c>
      <c r="F14" s="7">
        <f t="shared" si="0"/>
        <v>8944</v>
      </c>
      <c r="G14" s="7">
        <v>506</v>
      </c>
      <c r="H14" s="7">
        <v>1648</v>
      </c>
      <c r="I14" s="7">
        <f t="shared" si="1"/>
        <v>2154</v>
      </c>
      <c r="J14" s="8">
        <f t="shared" si="2"/>
        <v>11098</v>
      </c>
      <c r="K14" s="103"/>
      <c r="L14" s="58"/>
    </row>
    <row r="15" spans="1:14" ht="20.100000000000001" customHeight="1">
      <c r="A15" s="60"/>
      <c r="B15" s="99"/>
      <c r="C15" s="291">
        <v>2011</v>
      </c>
      <c r="D15" s="7">
        <v>8233</v>
      </c>
      <c r="E15" s="7">
        <v>1005</v>
      </c>
      <c r="F15" s="7">
        <f t="shared" si="0"/>
        <v>9238</v>
      </c>
      <c r="G15" s="7">
        <v>487</v>
      </c>
      <c r="H15" s="7">
        <v>1615</v>
      </c>
      <c r="I15" s="7">
        <f t="shared" si="1"/>
        <v>2102</v>
      </c>
      <c r="J15" s="8">
        <f t="shared" si="2"/>
        <v>11340</v>
      </c>
      <c r="K15" s="103"/>
      <c r="L15" s="58"/>
    </row>
    <row r="16" spans="1:14" ht="20.100000000000001" customHeight="1">
      <c r="A16" s="60"/>
      <c r="B16" s="99"/>
      <c r="C16" s="291">
        <v>2012</v>
      </c>
      <c r="D16" s="7">
        <v>7722</v>
      </c>
      <c r="E16" s="7">
        <v>693</v>
      </c>
      <c r="F16" s="7">
        <f t="shared" si="0"/>
        <v>8415</v>
      </c>
      <c r="G16" s="7">
        <v>33.418999999999997</v>
      </c>
      <c r="H16" s="7">
        <v>1614.56</v>
      </c>
      <c r="I16" s="7">
        <f t="shared" si="1"/>
        <v>1647.979</v>
      </c>
      <c r="J16" s="8">
        <f t="shared" si="2"/>
        <v>10062.978999999999</v>
      </c>
      <c r="K16" s="103"/>
      <c r="L16" s="57"/>
    </row>
    <row r="17" spans="1:12" ht="20.100000000000001" customHeight="1">
      <c r="A17" s="60"/>
      <c r="B17" s="99"/>
      <c r="C17" s="291">
        <v>2013</v>
      </c>
      <c r="D17" s="7">
        <v>12366</v>
      </c>
      <c r="E17" s="7">
        <v>1572</v>
      </c>
      <c r="F17" s="7">
        <f t="shared" si="0"/>
        <v>13938</v>
      </c>
      <c r="G17" s="7">
        <v>33.418999999999997</v>
      </c>
      <c r="H17" s="9">
        <v>1619.6645166666665</v>
      </c>
      <c r="I17" s="7">
        <f t="shared" si="1"/>
        <v>1653.0835166666666</v>
      </c>
      <c r="J17" s="8">
        <f t="shared" si="2"/>
        <v>15591.083516666666</v>
      </c>
      <c r="K17" s="103"/>
      <c r="L17" s="57"/>
    </row>
    <row r="18" spans="1:12" ht="20.100000000000001" customHeight="1">
      <c r="A18" s="60"/>
      <c r="B18" s="99"/>
      <c r="C18" s="291">
        <v>2014</v>
      </c>
      <c r="D18" s="9">
        <v>14163</v>
      </c>
      <c r="E18" s="9">
        <v>1055</v>
      </c>
      <c r="F18" s="7">
        <f t="shared" si="0"/>
        <v>15218</v>
      </c>
      <c r="G18" s="7">
        <v>33.418999999999997</v>
      </c>
      <c r="H18" s="9">
        <v>1619.6645166666665</v>
      </c>
      <c r="I18" s="7">
        <f t="shared" si="1"/>
        <v>1653.0835166666666</v>
      </c>
      <c r="J18" s="8">
        <f t="shared" si="2"/>
        <v>16871.083516666666</v>
      </c>
      <c r="K18" s="103"/>
      <c r="L18" s="57"/>
    </row>
    <row r="19" spans="1:12" ht="20.100000000000001" customHeight="1">
      <c r="A19" s="60"/>
      <c r="B19" s="99"/>
      <c r="C19" s="291">
        <v>2015</v>
      </c>
      <c r="D19" s="9">
        <v>12983</v>
      </c>
      <c r="E19" s="9">
        <v>1386.03</v>
      </c>
      <c r="F19" s="7">
        <f t="shared" si="0"/>
        <v>14369.03</v>
      </c>
      <c r="G19" s="7">
        <v>0</v>
      </c>
      <c r="H19" s="9">
        <v>1546.817</v>
      </c>
      <c r="I19" s="7">
        <f t="shared" si="1"/>
        <v>1546.817</v>
      </c>
      <c r="J19" s="8">
        <f t="shared" si="2"/>
        <v>15915.847000000002</v>
      </c>
      <c r="K19" s="103"/>
      <c r="L19" s="57"/>
    </row>
    <row r="20" spans="1:12" ht="20.100000000000001" customHeight="1">
      <c r="A20" s="60"/>
      <c r="B20" s="99"/>
      <c r="C20" s="291">
        <v>2016</v>
      </c>
      <c r="D20" s="9">
        <v>12469.826999999999</v>
      </c>
      <c r="E20" s="9">
        <v>1119.2080000000001</v>
      </c>
      <c r="F20" s="7">
        <f t="shared" si="0"/>
        <v>13589.035</v>
      </c>
      <c r="G20" s="7">
        <v>0</v>
      </c>
      <c r="H20" s="1194">
        <v>984.85699999999997</v>
      </c>
      <c r="I20" s="7">
        <f t="shared" si="1"/>
        <v>984.85699999999997</v>
      </c>
      <c r="J20" s="8">
        <f t="shared" si="2"/>
        <v>14573.892</v>
      </c>
      <c r="K20" s="103"/>
      <c r="L20" s="57"/>
    </row>
    <row r="21" spans="1:12" ht="20.100000000000001" customHeight="1">
      <c r="A21" s="60"/>
      <c r="B21" s="99"/>
      <c r="C21" s="126" t="s">
        <v>51</v>
      </c>
      <c r="D21" s="127"/>
      <c r="E21" s="127"/>
      <c r="F21" s="127"/>
      <c r="G21" s="127"/>
      <c r="H21" s="127"/>
      <c r="I21" s="127"/>
      <c r="J21" s="127"/>
      <c r="K21" s="103"/>
      <c r="L21" s="57"/>
    </row>
    <row r="22" spans="1:12" ht="20.100000000000001" customHeight="1">
      <c r="A22" s="60"/>
      <c r="B22" s="116"/>
      <c r="C22" s="1189" t="s">
        <v>607</v>
      </c>
      <c r="D22" s="110"/>
      <c r="E22" s="117"/>
      <c r="F22" s="110"/>
      <c r="G22" s="117"/>
      <c r="H22" s="110"/>
      <c r="I22" s="110"/>
      <c r="J22" s="110"/>
      <c r="K22" s="128"/>
      <c r="L22" s="57"/>
    </row>
    <row r="23" spans="1:12" ht="20.100000000000001" customHeight="1">
      <c r="A23" s="60"/>
      <c r="B23" s="112"/>
      <c r="C23" s="173"/>
      <c r="D23" s="113"/>
      <c r="E23" s="113"/>
      <c r="F23" s="113"/>
      <c r="G23" s="113"/>
      <c r="H23" s="113"/>
      <c r="I23" s="113"/>
      <c r="J23" s="113"/>
      <c r="K23" s="130"/>
      <c r="L23" s="57"/>
    </row>
    <row r="24" spans="1:12" ht="18" customHeight="1">
      <c r="A24" s="57"/>
      <c r="B24" s="57"/>
      <c r="C24" s="174"/>
      <c r="D24" s="57"/>
      <c r="E24" s="57"/>
      <c r="F24" s="57"/>
      <c r="G24" s="57"/>
      <c r="H24" s="57"/>
      <c r="I24" s="57"/>
      <c r="J24" s="57"/>
      <c r="K24" s="57"/>
      <c r="L24" s="57"/>
    </row>
    <row r="25" spans="1:12">
      <c r="C25" s="4"/>
    </row>
  </sheetData>
  <mergeCells count="8">
    <mergeCell ref="A1:L1"/>
    <mergeCell ref="B2:K2"/>
    <mergeCell ref="C6:C7"/>
    <mergeCell ref="D6:F6"/>
    <mergeCell ref="G6:I6"/>
    <mergeCell ref="J6:J7"/>
    <mergeCell ref="C3:J3"/>
    <mergeCell ref="C5:J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activeCell="Q21" sqref="Q21"/>
    </sheetView>
  </sheetViews>
  <sheetFormatPr defaultRowHeight="12.75"/>
  <cols>
    <col min="1" max="1" width="2.7109375" customWidth="1"/>
    <col min="2" max="2" width="13.28515625" customWidth="1"/>
    <col min="3" max="3" width="8.28515625" customWidth="1"/>
    <col min="4" max="4" width="8.140625" customWidth="1"/>
    <col min="5" max="5" width="8.28515625" customWidth="1"/>
    <col min="6" max="6" width="8.140625" customWidth="1"/>
    <col min="7" max="7" width="8.28515625" customWidth="1"/>
    <col min="8" max="8" width="12.7109375" customWidth="1"/>
    <col min="9" max="9" width="10.28515625" customWidth="1"/>
    <col min="10" max="10" width="8.42578125" customWidth="1"/>
    <col min="11" max="11" width="11.42578125" bestFit="1" customWidth="1"/>
    <col min="12" max="12" width="14" customWidth="1"/>
    <col min="13" max="13" width="9.28515625" customWidth="1"/>
    <col min="14" max="14" width="10.140625" bestFit="1" customWidth="1"/>
    <col min="15" max="15" width="2.7109375" customWidth="1"/>
    <col min="250" max="250" width="3.28515625" customWidth="1"/>
    <col min="251" max="251" width="13.28515625" customWidth="1"/>
    <col min="252" max="252" width="8.28515625" customWidth="1"/>
    <col min="253" max="253" width="8.140625" customWidth="1"/>
    <col min="254" max="254" width="8.28515625" customWidth="1"/>
    <col min="255" max="255" width="8.140625" customWidth="1"/>
    <col min="256" max="257" width="8.28515625" customWidth="1"/>
    <col min="258" max="258" width="12.7109375" customWidth="1"/>
    <col min="259" max="259" width="10.28515625" customWidth="1"/>
    <col min="260" max="260" width="8.42578125" customWidth="1"/>
    <col min="261" max="261" width="11.42578125" bestFit="1" customWidth="1"/>
    <col min="262" max="262" width="14" customWidth="1"/>
    <col min="263" max="263" width="11" bestFit="1" customWidth="1"/>
    <col min="264" max="264" width="10.140625" bestFit="1" customWidth="1"/>
    <col min="265" max="265" width="3.28515625" customWidth="1"/>
    <col min="266" max="266" width="8.85546875" bestFit="1" customWidth="1"/>
    <col min="506" max="506" width="3.28515625" customWidth="1"/>
    <col min="507" max="507" width="13.28515625" customWidth="1"/>
    <col min="508" max="508" width="8.28515625" customWidth="1"/>
    <col min="509" max="509" width="8.140625" customWidth="1"/>
    <col min="510" max="510" width="8.28515625" customWidth="1"/>
    <col min="511" max="511" width="8.140625" customWidth="1"/>
    <col min="512" max="513" width="8.28515625" customWidth="1"/>
    <col min="514" max="514" width="12.7109375" customWidth="1"/>
    <col min="515" max="515" width="10.28515625" customWidth="1"/>
    <col min="516" max="516" width="8.42578125" customWidth="1"/>
    <col min="517" max="517" width="11.42578125" bestFit="1" customWidth="1"/>
    <col min="518" max="518" width="14" customWidth="1"/>
    <col min="519" max="519" width="11" bestFit="1" customWidth="1"/>
    <col min="520" max="520" width="10.140625" bestFit="1" customWidth="1"/>
    <col min="521" max="521" width="3.28515625" customWidth="1"/>
    <col min="522" max="522" width="8.85546875" bestFit="1" customWidth="1"/>
    <col min="762" max="762" width="3.28515625" customWidth="1"/>
    <col min="763" max="763" width="13.28515625" customWidth="1"/>
    <col min="764" max="764" width="8.28515625" customWidth="1"/>
    <col min="765" max="765" width="8.140625" customWidth="1"/>
    <col min="766" max="766" width="8.28515625" customWidth="1"/>
    <col min="767" max="767" width="8.140625" customWidth="1"/>
    <col min="768" max="769" width="8.28515625" customWidth="1"/>
    <col min="770" max="770" width="12.7109375" customWidth="1"/>
    <col min="771" max="771" width="10.28515625" customWidth="1"/>
    <col min="772" max="772" width="8.42578125" customWidth="1"/>
    <col min="773" max="773" width="11.42578125" bestFit="1" customWidth="1"/>
    <col min="774" max="774" width="14" customWidth="1"/>
    <col min="775" max="775" width="11" bestFit="1" customWidth="1"/>
    <col min="776" max="776" width="10.140625" bestFit="1" customWidth="1"/>
    <col min="777" max="777" width="3.28515625" customWidth="1"/>
    <col min="778" max="778" width="8.85546875" bestFit="1" customWidth="1"/>
    <col min="1018" max="1018" width="3.28515625" customWidth="1"/>
    <col min="1019" max="1019" width="13.28515625" customWidth="1"/>
    <col min="1020" max="1020" width="8.28515625" customWidth="1"/>
    <col min="1021" max="1021" width="8.140625" customWidth="1"/>
    <col min="1022" max="1022" width="8.28515625" customWidth="1"/>
    <col min="1023" max="1023" width="8.140625" customWidth="1"/>
    <col min="1024" max="1025" width="8.28515625" customWidth="1"/>
    <col min="1026" max="1026" width="12.7109375" customWidth="1"/>
    <col min="1027" max="1027" width="10.28515625" customWidth="1"/>
    <col min="1028" max="1028" width="8.42578125" customWidth="1"/>
    <col min="1029" max="1029" width="11.42578125" bestFit="1" customWidth="1"/>
    <col min="1030" max="1030" width="14" customWidth="1"/>
    <col min="1031" max="1031" width="11" bestFit="1" customWidth="1"/>
    <col min="1032" max="1032" width="10.140625" bestFit="1" customWidth="1"/>
    <col min="1033" max="1033" width="3.28515625" customWidth="1"/>
    <col min="1034" max="1034" width="8.85546875" bestFit="1" customWidth="1"/>
    <col min="1274" max="1274" width="3.28515625" customWidth="1"/>
    <col min="1275" max="1275" width="13.28515625" customWidth="1"/>
    <col min="1276" max="1276" width="8.28515625" customWidth="1"/>
    <col min="1277" max="1277" width="8.140625" customWidth="1"/>
    <col min="1278" max="1278" width="8.28515625" customWidth="1"/>
    <col min="1279" max="1279" width="8.140625" customWidth="1"/>
    <col min="1280" max="1281" width="8.28515625" customWidth="1"/>
    <col min="1282" max="1282" width="12.7109375" customWidth="1"/>
    <col min="1283" max="1283" width="10.28515625" customWidth="1"/>
    <col min="1284" max="1284" width="8.42578125" customWidth="1"/>
    <col min="1285" max="1285" width="11.42578125" bestFit="1" customWidth="1"/>
    <col min="1286" max="1286" width="14" customWidth="1"/>
    <col min="1287" max="1287" width="11" bestFit="1" customWidth="1"/>
    <col min="1288" max="1288" width="10.140625" bestFit="1" customWidth="1"/>
    <col min="1289" max="1289" width="3.28515625" customWidth="1"/>
    <col min="1290" max="1290" width="8.85546875" bestFit="1" customWidth="1"/>
    <col min="1530" max="1530" width="3.28515625" customWidth="1"/>
    <col min="1531" max="1531" width="13.28515625" customWidth="1"/>
    <col min="1532" max="1532" width="8.28515625" customWidth="1"/>
    <col min="1533" max="1533" width="8.140625" customWidth="1"/>
    <col min="1534" max="1534" width="8.28515625" customWidth="1"/>
    <col min="1535" max="1535" width="8.140625" customWidth="1"/>
    <col min="1536" max="1537" width="8.28515625" customWidth="1"/>
    <col min="1538" max="1538" width="12.7109375" customWidth="1"/>
    <col min="1539" max="1539" width="10.28515625" customWidth="1"/>
    <col min="1540" max="1540" width="8.42578125" customWidth="1"/>
    <col min="1541" max="1541" width="11.42578125" bestFit="1" customWidth="1"/>
    <col min="1542" max="1542" width="14" customWidth="1"/>
    <col min="1543" max="1543" width="11" bestFit="1" customWidth="1"/>
    <col min="1544" max="1544" width="10.140625" bestFit="1" customWidth="1"/>
    <col min="1545" max="1545" width="3.28515625" customWidth="1"/>
    <col min="1546" max="1546" width="8.85546875" bestFit="1" customWidth="1"/>
    <col min="1786" max="1786" width="3.28515625" customWidth="1"/>
    <col min="1787" max="1787" width="13.28515625" customWidth="1"/>
    <col min="1788" max="1788" width="8.28515625" customWidth="1"/>
    <col min="1789" max="1789" width="8.140625" customWidth="1"/>
    <col min="1790" max="1790" width="8.28515625" customWidth="1"/>
    <col min="1791" max="1791" width="8.140625" customWidth="1"/>
    <col min="1792" max="1793" width="8.28515625" customWidth="1"/>
    <col min="1794" max="1794" width="12.7109375" customWidth="1"/>
    <col min="1795" max="1795" width="10.28515625" customWidth="1"/>
    <col min="1796" max="1796" width="8.42578125" customWidth="1"/>
    <col min="1797" max="1797" width="11.42578125" bestFit="1" customWidth="1"/>
    <col min="1798" max="1798" width="14" customWidth="1"/>
    <col min="1799" max="1799" width="11" bestFit="1" customWidth="1"/>
    <col min="1800" max="1800" width="10.140625" bestFit="1" customWidth="1"/>
    <col min="1801" max="1801" width="3.28515625" customWidth="1"/>
    <col min="1802" max="1802" width="8.85546875" bestFit="1" customWidth="1"/>
    <col min="2042" max="2042" width="3.28515625" customWidth="1"/>
    <col min="2043" max="2043" width="13.28515625" customWidth="1"/>
    <col min="2044" max="2044" width="8.28515625" customWidth="1"/>
    <col min="2045" max="2045" width="8.140625" customWidth="1"/>
    <col min="2046" max="2046" width="8.28515625" customWidth="1"/>
    <col min="2047" max="2047" width="8.140625" customWidth="1"/>
    <col min="2048" max="2049" width="8.28515625" customWidth="1"/>
    <col min="2050" max="2050" width="12.7109375" customWidth="1"/>
    <col min="2051" max="2051" width="10.28515625" customWidth="1"/>
    <col min="2052" max="2052" width="8.42578125" customWidth="1"/>
    <col min="2053" max="2053" width="11.42578125" bestFit="1" customWidth="1"/>
    <col min="2054" max="2054" width="14" customWidth="1"/>
    <col min="2055" max="2055" width="11" bestFit="1" customWidth="1"/>
    <col min="2056" max="2056" width="10.140625" bestFit="1" customWidth="1"/>
    <col min="2057" max="2057" width="3.28515625" customWidth="1"/>
    <col min="2058" max="2058" width="8.85546875" bestFit="1" customWidth="1"/>
    <col min="2298" max="2298" width="3.28515625" customWidth="1"/>
    <col min="2299" max="2299" width="13.28515625" customWidth="1"/>
    <col min="2300" max="2300" width="8.28515625" customWidth="1"/>
    <col min="2301" max="2301" width="8.140625" customWidth="1"/>
    <col min="2302" max="2302" width="8.28515625" customWidth="1"/>
    <col min="2303" max="2303" width="8.140625" customWidth="1"/>
    <col min="2304" max="2305" width="8.28515625" customWidth="1"/>
    <col min="2306" max="2306" width="12.7109375" customWidth="1"/>
    <col min="2307" max="2307" width="10.28515625" customWidth="1"/>
    <col min="2308" max="2308" width="8.42578125" customWidth="1"/>
    <col min="2309" max="2309" width="11.42578125" bestFit="1" customWidth="1"/>
    <col min="2310" max="2310" width="14" customWidth="1"/>
    <col min="2311" max="2311" width="11" bestFit="1" customWidth="1"/>
    <col min="2312" max="2312" width="10.140625" bestFit="1" customWidth="1"/>
    <col min="2313" max="2313" width="3.28515625" customWidth="1"/>
    <col min="2314" max="2314" width="8.85546875" bestFit="1" customWidth="1"/>
    <col min="2554" max="2554" width="3.28515625" customWidth="1"/>
    <col min="2555" max="2555" width="13.28515625" customWidth="1"/>
    <col min="2556" max="2556" width="8.28515625" customWidth="1"/>
    <col min="2557" max="2557" width="8.140625" customWidth="1"/>
    <col min="2558" max="2558" width="8.28515625" customWidth="1"/>
    <col min="2559" max="2559" width="8.140625" customWidth="1"/>
    <col min="2560" max="2561" width="8.28515625" customWidth="1"/>
    <col min="2562" max="2562" width="12.7109375" customWidth="1"/>
    <col min="2563" max="2563" width="10.28515625" customWidth="1"/>
    <col min="2564" max="2564" width="8.42578125" customWidth="1"/>
    <col min="2565" max="2565" width="11.42578125" bestFit="1" customWidth="1"/>
    <col min="2566" max="2566" width="14" customWidth="1"/>
    <col min="2567" max="2567" width="11" bestFit="1" customWidth="1"/>
    <col min="2568" max="2568" width="10.140625" bestFit="1" customWidth="1"/>
    <col min="2569" max="2569" width="3.28515625" customWidth="1"/>
    <col min="2570" max="2570" width="8.85546875" bestFit="1" customWidth="1"/>
    <col min="2810" max="2810" width="3.28515625" customWidth="1"/>
    <col min="2811" max="2811" width="13.28515625" customWidth="1"/>
    <col min="2812" max="2812" width="8.28515625" customWidth="1"/>
    <col min="2813" max="2813" width="8.140625" customWidth="1"/>
    <col min="2814" max="2814" width="8.28515625" customWidth="1"/>
    <col min="2815" max="2815" width="8.140625" customWidth="1"/>
    <col min="2816" max="2817" width="8.28515625" customWidth="1"/>
    <col min="2818" max="2818" width="12.7109375" customWidth="1"/>
    <col min="2819" max="2819" width="10.28515625" customWidth="1"/>
    <col min="2820" max="2820" width="8.42578125" customWidth="1"/>
    <col min="2821" max="2821" width="11.42578125" bestFit="1" customWidth="1"/>
    <col min="2822" max="2822" width="14" customWidth="1"/>
    <col min="2823" max="2823" width="11" bestFit="1" customWidth="1"/>
    <col min="2824" max="2824" width="10.140625" bestFit="1" customWidth="1"/>
    <col min="2825" max="2825" width="3.28515625" customWidth="1"/>
    <col min="2826" max="2826" width="8.85546875" bestFit="1" customWidth="1"/>
    <col min="3066" max="3066" width="3.28515625" customWidth="1"/>
    <col min="3067" max="3067" width="13.28515625" customWidth="1"/>
    <col min="3068" max="3068" width="8.28515625" customWidth="1"/>
    <col min="3069" max="3069" width="8.140625" customWidth="1"/>
    <col min="3070" max="3070" width="8.28515625" customWidth="1"/>
    <col min="3071" max="3071" width="8.140625" customWidth="1"/>
    <col min="3072" max="3073" width="8.28515625" customWidth="1"/>
    <col min="3074" max="3074" width="12.7109375" customWidth="1"/>
    <col min="3075" max="3075" width="10.28515625" customWidth="1"/>
    <col min="3076" max="3076" width="8.42578125" customWidth="1"/>
    <col min="3077" max="3077" width="11.42578125" bestFit="1" customWidth="1"/>
    <col min="3078" max="3078" width="14" customWidth="1"/>
    <col min="3079" max="3079" width="11" bestFit="1" customWidth="1"/>
    <col min="3080" max="3080" width="10.140625" bestFit="1" customWidth="1"/>
    <col min="3081" max="3081" width="3.28515625" customWidth="1"/>
    <col min="3082" max="3082" width="8.85546875" bestFit="1" customWidth="1"/>
    <col min="3322" max="3322" width="3.28515625" customWidth="1"/>
    <col min="3323" max="3323" width="13.28515625" customWidth="1"/>
    <col min="3324" max="3324" width="8.28515625" customWidth="1"/>
    <col min="3325" max="3325" width="8.140625" customWidth="1"/>
    <col min="3326" max="3326" width="8.28515625" customWidth="1"/>
    <col min="3327" max="3327" width="8.140625" customWidth="1"/>
    <col min="3328" max="3329" width="8.28515625" customWidth="1"/>
    <col min="3330" max="3330" width="12.7109375" customWidth="1"/>
    <col min="3331" max="3331" width="10.28515625" customWidth="1"/>
    <col min="3332" max="3332" width="8.42578125" customWidth="1"/>
    <col min="3333" max="3333" width="11.42578125" bestFit="1" customWidth="1"/>
    <col min="3334" max="3334" width="14" customWidth="1"/>
    <col min="3335" max="3335" width="11" bestFit="1" customWidth="1"/>
    <col min="3336" max="3336" width="10.140625" bestFit="1" customWidth="1"/>
    <col min="3337" max="3337" width="3.28515625" customWidth="1"/>
    <col min="3338" max="3338" width="8.85546875" bestFit="1" customWidth="1"/>
    <col min="3578" max="3578" width="3.28515625" customWidth="1"/>
    <col min="3579" max="3579" width="13.28515625" customWidth="1"/>
    <col min="3580" max="3580" width="8.28515625" customWidth="1"/>
    <col min="3581" max="3581" width="8.140625" customWidth="1"/>
    <col min="3582" max="3582" width="8.28515625" customWidth="1"/>
    <col min="3583" max="3583" width="8.140625" customWidth="1"/>
    <col min="3584" max="3585" width="8.28515625" customWidth="1"/>
    <col min="3586" max="3586" width="12.7109375" customWidth="1"/>
    <col min="3587" max="3587" width="10.28515625" customWidth="1"/>
    <col min="3588" max="3588" width="8.42578125" customWidth="1"/>
    <col min="3589" max="3589" width="11.42578125" bestFit="1" customWidth="1"/>
    <col min="3590" max="3590" width="14" customWidth="1"/>
    <col min="3591" max="3591" width="11" bestFit="1" customWidth="1"/>
    <col min="3592" max="3592" width="10.140625" bestFit="1" customWidth="1"/>
    <col min="3593" max="3593" width="3.28515625" customWidth="1"/>
    <col min="3594" max="3594" width="8.85546875" bestFit="1" customWidth="1"/>
    <col min="3834" max="3834" width="3.28515625" customWidth="1"/>
    <col min="3835" max="3835" width="13.28515625" customWidth="1"/>
    <col min="3836" max="3836" width="8.28515625" customWidth="1"/>
    <col min="3837" max="3837" width="8.140625" customWidth="1"/>
    <col min="3838" max="3838" width="8.28515625" customWidth="1"/>
    <col min="3839" max="3839" width="8.140625" customWidth="1"/>
    <col min="3840" max="3841" width="8.28515625" customWidth="1"/>
    <col min="3842" max="3842" width="12.7109375" customWidth="1"/>
    <col min="3843" max="3843" width="10.28515625" customWidth="1"/>
    <col min="3844" max="3844" width="8.42578125" customWidth="1"/>
    <col min="3845" max="3845" width="11.42578125" bestFit="1" customWidth="1"/>
    <col min="3846" max="3846" width="14" customWidth="1"/>
    <col min="3847" max="3847" width="11" bestFit="1" customWidth="1"/>
    <col min="3848" max="3848" width="10.140625" bestFit="1" customWidth="1"/>
    <col min="3849" max="3849" width="3.28515625" customWidth="1"/>
    <col min="3850" max="3850" width="8.85546875" bestFit="1" customWidth="1"/>
    <col min="4090" max="4090" width="3.28515625" customWidth="1"/>
    <col min="4091" max="4091" width="13.28515625" customWidth="1"/>
    <col min="4092" max="4092" width="8.28515625" customWidth="1"/>
    <col min="4093" max="4093" width="8.140625" customWidth="1"/>
    <col min="4094" max="4094" width="8.28515625" customWidth="1"/>
    <col min="4095" max="4095" width="8.140625" customWidth="1"/>
    <col min="4096" max="4097" width="8.28515625" customWidth="1"/>
    <col min="4098" max="4098" width="12.7109375" customWidth="1"/>
    <col min="4099" max="4099" width="10.28515625" customWidth="1"/>
    <col min="4100" max="4100" width="8.42578125" customWidth="1"/>
    <col min="4101" max="4101" width="11.42578125" bestFit="1" customWidth="1"/>
    <col min="4102" max="4102" width="14" customWidth="1"/>
    <col min="4103" max="4103" width="11" bestFit="1" customWidth="1"/>
    <col min="4104" max="4104" width="10.140625" bestFit="1" customWidth="1"/>
    <col min="4105" max="4105" width="3.28515625" customWidth="1"/>
    <col min="4106" max="4106" width="8.85546875" bestFit="1" customWidth="1"/>
    <col min="4346" max="4346" width="3.28515625" customWidth="1"/>
    <col min="4347" max="4347" width="13.28515625" customWidth="1"/>
    <col min="4348" max="4348" width="8.28515625" customWidth="1"/>
    <col min="4349" max="4349" width="8.140625" customWidth="1"/>
    <col min="4350" max="4350" width="8.28515625" customWidth="1"/>
    <col min="4351" max="4351" width="8.140625" customWidth="1"/>
    <col min="4352" max="4353" width="8.28515625" customWidth="1"/>
    <col min="4354" max="4354" width="12.7109375" customWidth="1"/>
    <col min="4355" max="4355" width="10.28515625" customWidth="1"/>
    <col min="4356" max="4356" width="8.42578125" customWidth="1"/>
    <col min="4357" max="4357" width="11.42578125" bestFit="1" customWidth="1"/>
    <col min="4358" max="4358" width="14" customWidth="1"/>
    <col min="4359" max="4359" width="11" bestFit="1" customWidth="1"/>
    <col min="4360" max="4360" width="10.140625" bestFit="1" customWidth="1"/>
    <col min="4361" max="4361" width="3.28515625" customWidth="1"/>
    <col min="4362" max="4362" width="8.85546875" bestFit="1" customWidth="1"/>
    <col min="4602" max="4602" width="3.28515625" customWidth="1"/>
    <col min="4603" max="4603" width="13.28515625" customWidth="1"/>
    <col min="4604" max="4604" width="8.28515625" customWidth="1"/>
    <col min="4605" max="4605" width="8.140625" customWidth="1"/>
    <col min="4606" max="4606" width="8.28515625" customWidth="1"/>
    <col min="4607" max="4607" width="8.140625" customWidth="1"/>
    <col min="4608" max="4609" width="8.28515625" customWidth="1"/>
    <col min="4610" max="4610" width="12.7109375" customWidth="1"/>
    <col min="4611" max="4611" width="10.28515625" customWidth="1"/>
    <col min="4612" max="4612" width="8.42578125" customWidth="1"/>
    <col min="4613" max="4613" width="11.42578125" bestFit="1" customWidth="1"/>
    <col min="4614" max="4614" width="14" customWidth="1"/>
    <col min="4615" max="4615" width="11" bestFit="1" customWidth="1"/>
    <col min="4616" max="4616" width="10.140625" bestFit="1" customWidth="1"/>
    <col min="4617" max="4617" width="3.28515625" customWidth="1"/>
    <col min="4618" max="4618" width="8.85546875" bestFit="1" customWidth="1"/>
    <col min="4858" max="4858" width="3.28515625" customWidth="1"/>
    <col min="4859" max="4859" width="13.28515625" customWidth="1"/>
    <col min="4860" max="4860" width="8.28515625" customWidth="1"/>
    <col min="4861" max="4861" width="8.140625" customWidth="1"/>
    <col min="4862" max="4862" width="8.28515625" customWidth="1"/>
    <col min="4863" max="4863" width="8.140625" customWidth="1"/>
    <col min="4864" max="4865" width="8.28515625" customWidth="1"/>
    <col min="4866" max="4866" width="12.7109375" customWidth="1"/>
    <col min="4867" max="4867" width="10.28515625" customWidth="1"/>
    <col min="4868" max="4868" width="8.42578125" customWidth="1"/>
    <col min="4869" max="4869" width="11.42578125" bestFit="1" customWidth="1"/>
    <col min="4870" max="4870" width="14" customWidth="1"/>
    <col min="4871" max="4871" width="11" bestFit="1" customWidth="1"/>
    <col min="4872" max="4872" width="10.140625" bestFit="1" customWidth="1"/>
    <col min="4873" max="4873" width="3.28515625" customWidth="1"/>
    <col min="4874" max="4874" width="8.85546875" bestFit="1" customWidth="1"/>
    <col min="5114" max="5114" width="3.28515625" customWidth="1"/>
    <col min="5115" max="5115" width="13.28515625" customWidth="1"/>
    <col min="5116" max="5116" width="8.28515625" customWidth="1"/>
    <col min="5117" max="5117" width="8.140625" customWidth="1"/>
    <col min="5118" max="5118" width="8.28515625" customWidth="1"/>
    <col min="5119" max="5119" width="8.140625" customWidth="1"/>
    <col min="5120" max="5121" width="8.28515625" customWidth="1"/>
    <col min="5122" max="5122" width="12.7109375" customWidth="1"/>
    <col min="5123" max="5123" width="10.28515625" customWidth="1"/>
    <col min="5124" max="5124" width="8.42578125" customWidth="1"/>
    <col min="5125" max="5125" width="11.42578125" bestFit="1" customWidth="1"/>
    <col min="5126" max="5126" width="14" customWidth="1"/>
    <col min="5127" max="5127" width="11" bestFit="1" customWidth="1"/>
    <col min="5128" max="5128" width="10.140625" bestFit="1" customWidth="1"/>
    <col min="5129" max="5129" width="3.28515625" customWidth="1"/>
    <col min="5130" max="5130" width="8.85546875" bestFit="1" customWidth="1"/>
    <col min="5370" max="5370" width="3.28515625" customWidth="1"/>
    <col min="5371" max="5371" width="13.28515625" customWidth="1"/>
    <col min="5372" max="5372" width="8.28515625" customWidth="1"/>
    <col min="5373" max="5373" width="8.140625" customWidth="1"/>
    <col min="5374" max="5374" width="8.28515625" customWidth="1"/>
    <col min="5375" max="5375" width="8.140625" customWidth="1"/>
    <col min="5376" max="5377" width="8.28515625" customWidth="1"/>
    <col min="5378" max="5378" width="12.7109375" customWidth="1"/>
    <col min="5379" max="5379" width="10.28515625" customWidth="1"/>
    <col min="5380" max="5380" width="8.42578125" customWidth="1"/>
    <col min="5381" max="5381" width="11.42578125" bestFit="1" customWidth="1"/>
    <col min="5382" max="5382" width="14" customWidth="1"/>
    <col min="5383" max="5383" width="11" bestFit="1" customWidth="1"/>
    <col min="5384" max="5384" width="10.140625" bestFit="1" customWidth="1"/>
    <col min="5385" max="5385" width="3.28515625" customWidth="1"/>
    <col min="5386" max="5386" width="8.85546875" bestFit="1" customWidth="1"/>
    <col min="5626" max="5626" width="3.28515625" customWidth="1"/>
    <col min="5627" max="5627" width="13.28515625" customWidth="1"/>
    <col min="5628" max="5628" width="8.28515625" customWidth="1"/>
    <col min="5629" max="5629" width="8.140625" customWidth="1"/>
    <col min="5630" max="5630" width="8.28515625" customWidth="1"/>
    <col min="5631" max="5631" width="8.140625" customWidth="1"/>
    <col min="5632" max="5633" width="8.28515625" customWidth="1"/>
    <col min="5634" max="5634" width="12.7109375" customWidth="1"/>
    <col min="5635" max="5635" width="10.28515625" customWidth="1"/>
    <col min="5636" max="5636" width="8.42578125" customWidth="1"/>
    <col min="5637" max="5637" width="11.42578125" bestFit="1" customWidth="1"/>
    <col min="5638" max="5638" width="14" customWidth="1"/>
    <col min="5639" max="5639" width="11" bestFit="1" customWidth="1"/>
    <col min="5640" max="5640" width="10.140625" bestFit="1" customWidth="1"/>
    <col min="5641" max="5641" width="3.28515625" customWidth="1"/>
    <col min="5642" max="5642" width="8.85546875" bestFit="1" customWidth="1"/>
    <col min="5882" max="5882" width="3.28515625" customWidth="1"/>
    <col min="5883" max="5883" width="13.28515625" customWidth="1"/>
    <col min="5884" max="5884" width="8.28515625" customWidth="1"/>
    <col min="5885" max="5885" width="8.140625" customWidth="1"/>
    <col min="5886" max="5886" width="8.28515625" customWidth="1"/>
    <col min="5887" max="5887" width="8.140625" customWidth="1"/>
    <col min="5888" max="5889" width="8.28515625" customWidth="1"/>
    <col min="5890" max="5890" width="12.7109375" customWidth="1"/>
    <col min="5891" max="5891" width="10.28515625" customWidth="1"/>
    <col min="5892" max="5892" width="8.42578125" customWidth="1"/>
    <col min="5893" max="5893" width="11.42578125" bestFit="1" customWidth="1"/>
    <col min="5894" max="5894" width="14" customWidth="1"/>
    <col min="5895" max="5895" width="11" bestFit="1" customWidth="1"/>
    <col min="5896" max="5896" width="10.140625" bestFit="1" customWidth="1"/>
    <col min="5897" max="5897" width="3.28515625" customWidth="1"/>
    <col min="5898" max="5898" width="8.85546875" bestFit="1" customWidth="1"/>
    <col min="6138" max="6138" width="3.28515625" customWidth="1"/>
    <col min="6139" max="6139" width="13.28515625" customWidth="1"/>
    <col min="6140" max="6140" width="8.28515625" customWidth="1"/>
    <col min="6141" max="6141" width="8.140625" customWidth="1"/>
    <col min="6142" max="6142" width="8.28515625" customWidth="1"/>
    <col min="6143" max="6143" width="8.140625" customWidth="1"/>
    <col min="6144" max="6145" width="8.28515625" customWidth="1"/>
    <col min="6146" max="6146" width="12.7109375" customWidth="1"/>
    <col min="6147" max="6147" width="10.28515625" customWidth="1"/>
    <col min="6148" max="6148" width="8.42578125" customWidth="1"/>
    <col min="6149" max="6149" width="11.42578125" bestFit="1" customWidth="1"/>
    <col min="6150" max="6150" width="14" customWidth="1"/>
    <col min="6151" max="6151" width="11" bestFit="1" customWidth="1"/>
    <col min="6152" max="6152" width="10.140625" bestFit="1" customWidth="1"/>
    <col min="6153" max="6153" width="3.28515625" customWidth="1"/>
    <col min="6154" max="6154" width="8.85546875" bestFit="1" customWidth="1"/>
    <col min="6394" max="6394" width="3.28515625" customWidth="1"/>
    <col min="6395" max="6395" width="13.28515625" customWidth="1"/>
    <col min="6396" max="6396" width="8.28515625" customWidth="1"/>
    <col min="6397" max="6397" width="8.140625" customWidth="1"/>
    <col min="6398" max="6398" width="8.28515625" customWidth="1"/>
    <col min="6399" max="6399" width="8.140625" customWidth="1"/>
    <col min="6400" max="6401" width="8.28515625" customWidth="1"/>
    <col min="6402" max="6402" width="12.7109375" customWidth="1"/>
    <col min="6403" max="6403" width="10.28515625" customWidth="1"/>
    <col min="6404" max="6404" width="8.42578125" customWidth="1"/>
    <col min="6405" max="6405" width="11.42578125" bestFit="1" customWidth="1"/>
    <col min="6406" max="6406" width="14" customWidth="1"/>
    <col min="6407" max="6407" width="11" bestFit="1" customWidth="1"/>
    <col min="6408" max="6408" width="10.140625" bestFit="1" customWidth="1"/>
    <col min="6409" max="6409" width="3.28515625" customWidth="1"/>
    <col min="6410" max="6410" width="8.85546875" bestFit="1" customWidth="1"/>
    <col min="6650" max="6650" width="3.28515625" customWidth="1"/>
    <col min="6651" max="6651" width="13.28515625" customWidth="1"/>
    <col min="6652" max="6652" width="8.28515625" customWidth="1"/>
    <col min="6653" max="6653" width="8.140625" customWidth="1"/>
    <col min="6654" max="6654" width="8.28515625" customWidth="1"/>
    <col min="6655" max="6655" width="8.140625" customWidth="1"/>
    <col min="6656" max="6657" width="8.28515625" customWidth="1"/>
    <col min="6658" max="6658" width="12.7109375" customWidth="1"/>
    <col min="6659" max="6659" width="10.28515625" customWidth="1"/>
    <col min="6660" max="6660" width="8.42578125" customWidth="1"/>
    <col min="6661" max="6661" width="11.42578125" bestFit="1" customWidth="1"/>
    <col min="6662" max="6662" width="14" customWidth="1"/>
    <col min="6663" max="6663" width="11" bestFit="1" customWidth="1"/>
    <col min="6664" max="6664" width="10.140625" bestFit="1" customWidth="1"/>
    <col min="6665" max="6665" width="3.28515625" customWidth="1"/>
    <col min="6666" max="6666" width="8.85546875" bestFit="1" customWidth="1"/>
    <col min="6906" max="6906" width="3.28515625" customWidth="1"/>
    <col min="6907" max="6907" width="13.28515625" customWidth="1"/>
    <col min="6908" max="6908" width="8.28515625" customWidth="1"/>
    <col min="6909" max="6909" width="8.140625" customWidth="1"/>
    <col min="6910" max="6910" width="8.28515625" customWidth="1"/>
    <col min="6911" max="6911" width="8.140625" customWidth="1"/>
    <col min="6912" max="6913" width="8.28515625" customWidth="1"/>
    <col min="6914" max="6914" width="12.7109375" customWidth="1"/>
    <col min="6915" max="6915" width="10.28515625" customWidth="1"/>
    <col min="6916" max="6916" width="8.42578125" customWidth="1"/>
    <col min="6917" max="6917" width="11.42578125" bestFit="1" customWidth="1"/>
    <col min="6918" max="6918" width="14" customWidth="1"/>
    <col min="6919" max="6919" width="11" bestFit="1" customWidth="1"/>
    <col min="6920" max="6920" width="10.140625" bestFit="1" customWidth="1"/>
    <col min="6921" max="6921" width="3.28515625" customWidth="1"/>
    <col min="6922" max="6922" width="8.85546875" bestFit="1" customWidth="1"/>
    <col min="7162" max="7162" width="3.28515625" customWidth="1"/>
    <col min="7163" max="7163" width="13.28515625" customWidth="1"/>
    <col min="7164" max="7164" width="8.28515625" customWidth="1"/>
    <col min="7165" max="7165" width="8.140625" customWidth="1"/>
    <col min="7166" max="7166" width="8.28515625" customWidth="1"/>
    <col min="7167" max="7167" width="8.140625" customWidth="1"/>
    <col min="7168" max="7169" width="8.28515625" customWidth="1"/>
    <col min="7170" max="7170" width="12.7109375" customWidth="1"/>
    <col min="7171" max="7171" width="10.28515625" customWidth="1"/>
    <col min="7172" max="7172" width="8.42578125" customWidth="1"/>
    <col min="7173" max="7173" width="11.42578125" bestFit="1" customWidth="1"/>
    <col min="7174" max="7174" width="14" customWidth="1"/>
    <col min="7175" max="7175" width="11" bestFit="1" customWidth="1"/>
    <col min="7176" max="7176" width="10.140625" bestFit="1" customWidth="1"/>
    <col min="7177" max="7177" width="3.28515625" customWidth="1"/>
    <col min="7178" max="7178" width="8.85546875" bestFit="1" customWidth="1"/>
    <col min="7418" max="7418" width="3.28515625" customWidth="1"/>
    <col min="7419" max="7419" width="13.28515625" customWidth="1"/>
    <col min="7420" max="7420" width="8.28515625" customWidth="1"/>
    <col min="7421" max="7421" width="8.140625" customWidth="1"/>
    <col min="7422" max="7422" width="8.28515625" customWidth="1"/>
    <col min="7423" max="7423" width="8.140625" customWidth="1"/>
    <col min="7424" max="7425" width="8.28515625" customWidth="1"/>
    <col min="7426" max="7426" width="12.7109375" customWidth="1"/>
    <col min="7427" max="7427" width="10.28515625" customWidth="1"/>
    <col min="7428" max="7428" width="8.42578125" customWidth="1"/>
    <col min="7429" max="7429" width="11.42578125" bestFit="1" customWidth="1"/>
    <col min="7430" max="7430" width="14" customWidth="1"/>
    <col min="7431" max="7431" width="11" bestFit="1" customWidth="1"/>
    <col min="7432" max="7432" width="10.140625" bestFit="1" customWidth="1"/>
    <col min="7433" max="7433" width="3.28515625" customWidth="1"/>
    <col min="7434" max="7434" width="8.85546875" bestFit="1" customWidth="1"/>
    <col min="7674" max="7674" width="3.28515625" customWidth="1"/>
    <col min="7675" max="7675" width="13.28515625" customWidth="1"/>
    <col min="7676" max="7676" width="8.28515625" customWidth="1"/>
    <col min="7677" max="7677" width="8.140625" customWidth="1"/>
    <col min="7678" max="7678" width="8.28515625" customWidth="1"/>
    <col min="7679" max="7679" width="8.140625" customWidth="1"/>
    <col min="7680" max="7681" width="8.28515625" customWidth="1"/>
    <col min="7682" max="7682" width="12.7109375" customWidth="1"/>
    <col min="7683" max="7683" width="10.28515625" customWidth="1"/>
    <col min="7684" max="7684" width="8.42578125" customWidth="1"/>
    <col min="7685" max="7685" width="11.42578125" bestFit="1" customWidth="1"/>
    <col min="7686" max="7686" width="14" customWidth="1"/>
    <col min="7687" max="7687" width="11" bestFit="1" customWidth="1"/>
    <col min="7688" max="7688" width="10.140625" bestFit="1" customWidth="1"/>
    <col min="7689" max="7689" width="3.28515625" customWidth="1"/>
    <col min="7690" max="7690" width="8.85546875" bestFit="1" customWidth="1"/>
    <col min="7930" max="7930" width="3.28515625" customWidth="1"/>
    <col min="7931" max="7931" width="13.28515625" customWidth="1"/>
    <col min="7932" max="7932" width="8.28515625" customWidth="1"/>
    <col min="7933" max="7933" width="8.140625" customWidth="1"/>
    <col min="7934" max="7934" width="8.28515625" customWidth="1"/>
    <col min="7935" max="7935" width="8.140625" customWidth="1"/>
    <col min="7936" max="7937" width="8.28515625" customWidth="1"/>
    <col min="7938" max="7938" width="12.7109375" customWidth="1"/>
    <col min="7939" max="7939" width="10.28515625" customWidth="1"/>
    <col min="7940" max="7940" width="8.42578125" customWidth="1"/>
    <col min="7941" max="7941" width="11.42578125" bestFit="1" customWidth="1"/>
    <col min="7942" max="7942" width="14" customWidth="1"/>
    <col min="7943" max="7943" width="11" bestFit="1" customWidth="1"/>
    <col min="7944" max="7944" width="10.140625" bestFit="1" customWidth="1"/>
    <col min="7945" max="7945" width="3.28515625" customWidth="1"/>
    <col min="7946" max="7946" width="8.85546875" bestFit="1" customWidth="1"/>
    <col min="8186" max="8186" width="3.28515625" customWidth="1"/>
    <col min="8187" max="8187" width="13.28515625" customWidth="1"/>
    <col min="8188" max="8188" width="8.28515625" customWidth="1"/>
    <col min="8189" max="8189" width="8.140625" customWidth="1"/>
    <col min="8190" max="8190" width="8.28515625" customWidth="1"/>
    <col min="8191" max="8191" width="8.140625" customWidth="1"/>
    <col min="8192" max="8193" width="8.28515625" customWidth="1"/>
    <col min="8194" max="8194" width="12.7109375" customWidth="1"/>
    <col min="8195" max="8195" width="10.28515625" customWidth="1"/>
    <col min="8196" max="8196" width="8.42578125" customWidth="1"/>
    <col min="8197" max="8197" width="11.42578125" bestFit="1" customWidth="1"/>
    <col min="8198" max="8198" width="14" customWidth="1"/>
    <col min="8199" max="8199" width="11" bestFit="1" customWidth="1"/>
    <col min="8200" max="8200" width="10.140625" bestFit="1" customWidth="1"/>
    <col min="8201" max="8201" width="3.28515625" customWidth="1"/>
    <col min="8202" max="8202" width="8.85546875" bestFit="1" customWidth="1"/>
    <col min="8442" max="8442" width="3.28515625" customWidth="1"/>
    <col min="8443" max="8443" width="13.28515625" customWidth="1"/>
    <col min="8444" max="8444" width="8.28515625" customWidth="1"/>
    <col min="8445" max="8445" width="8.140625" customWidth="1"/>
    <col min="8446" max="8446" width="8.28515625" customWidth="1"/>
    <col min="8447" max="8447" width="8.140625" customWidth="1"/>
    <col min="8448" max="8449" width="8.28515625" customWidth="1"/>
    <col min="8450" max="8450" width="12.7109375" customWidth="1"/>
    <col min="8451" max="8451" width="10.28515625" customWidth="1"/>
    <col min="8452" max="8452" width="8.42578125" customWidth="1"/>
    <col min="8453" max="8453" width="11.42578125" bestFit="1" customWidth="1"/>
    <col min="8454" max="8454" width="14" customWidth="1"/>
    <col min="8455" max="8455" width="11" bestFit="1" customWidth="1"/>
    <col min="8456" max="8456" width="10.140625" bestFit="1" customWidth="1"/>
    <col min="8457" max="8457" width="3.28515625" customWidth="1"/>
    <col min="8458" max="8458" width="8.85546875" bestFit="1" customWidth="1"/>
    <col min="8698" max="8698" width="3.28515625" customWidth="1"/>
    <col min="8699" max="8699" width="13.28515625" customWidth="1"/>
    <col min="8700" max="8700" width="8.28515625" customWidth="1"/>
    <col min="8701" max="8701" width="8.140625" customWidth="1"/>
    <col min="8702" max="8702" width="8.28515625" customWidth="1"/>
    <col min="8703" max="8703" width="8.140625" customWidth="1"/>
    <col min="8704" max="8705" width="8.28515625" customWidth="1"/>
    <col min="8706" max="8706" width="12.7109375" customWidth="1"/>
    <col min="8707" max="8707" width="10.28515625" customWidth="1"/>
    <col min="8708" max="8708" width="8.42578125" customWidth="1"/>
    <col min="8709" max="8709" width="11.42578125" bestFit="1" customWidth="1"/>
    <col min="8710" max="8710" width="14" customWidth="1"/>
    <col min="8711" max="8711" width="11" bestFit="1" customWidth="1"/>
    <col min="8712" max="8712" width="10.140625" bestFit="1" customWidth="1"/>
    <col min="8713" max="8713" width="3.28515625" customWidth="1"/>
    <col min="8714" max="8714" width="8.85546875" bestFit="1" customWidth="1"/>
    <col min="8954" max="8954" width="3.28515625" customWidth="1"/>
    <col min="8955" max="8955" width="13.28515625" customWidth="1"/>
    <col min="8956" max="8956" width="8.28515625" customWidth="1"/>
    <col min="8957" max="8957" width="8.140625" customWidth="1"/>
    <col min="8958" max="8958" width="8.28515625" customWidth="1"/>
    <col min="8959" max="8959" width="8.140625" customWidth="1"/>
    <col min="8960" max="8961" width="8.28515625" customWidth="1"/>
    <col min="8962" max="8962" width="12.7109375" customWidth="1"/>
    <col min="8963" max="8963" width="10.28515625" customWidth="1"/>
    <col min="8964" max="8964" width="8.42578125" customWidth="1"/>
    <col min="8965" max="8965" width="11.42578125" bestFit="1" customWidth="1"/>
    <col min="8966" max="8966" width="14" customWidth="1"/>
    <col min="8967" max="8967" width="11" bestFit="1" customWidth="1"/>
    <col min="8968" max="8968" width="10.140625" bestFit="1" customWidth="1"/>
    <col min="8969" max="8969" width="3.28515625" customWidth="1"/>
    <col min="8970" max="8970" width="8.85546875" bestFit="1" customWidth="1"/>
    <col min="9210" max="9210" width="3.28515625" customWidth="1"/>
    <col min="9211" max="9211" width="13.28515625" customWidth="1"/>
    <col min="9212" max="9212" width="8.28515625" customWidth="1"/>
    <col min="9213" max="9213" width="8.140625" customWidth="1"/>
    <col min="9214" max="9214" width="8.28515625" customWidth="1"/>
    <col min="9215" max="9215" width="8.140625" customWidth="1"/>
    <col min="9216" max="9217" width="8.28515625" customWidth="1"/>
    <col min="9218" max="9218" width="12.7109375" customWidth="1"/>
    <col min="9219" max="9219" width="10.28515625" customWidth="1"/>
    <col min="9220" max="9220" width="8.42578125" customWidth="1"/>
    <col min="9221" max="9221" width="11.42578125" bestFit="1" customWidth="1"/>
    <col min="9222" max="9222" width="14" customWidth="1"/>
    <col min="9223" max="9223" width="11" bestFit="1" customWidth="1"/>
    <col min="9224" max="9224" width="10.140625" bestFit="1" customWidth="1"/>
    <col min="9225" max="9225" width="3.28515625" customWidth="1"/>
    <col min="9226" max="9226" width="8.85546875" bestFit="1" customWidth="1"/>
    <col min="9466" max="9466" width="3.28515625" customWidth="1"/>
    <col min="9467" max="9467" width="13.28515625" customWidth="1"/>
    <col min="9468" max="9468" width="8.28515625" customWidth="1"/>
    <col min="9469" max="9469" width="8.140625" customWidth="1"/>
    <col min="9470" max="9470" width="8.28515625" customWidth="1"/>
    <col min="9471" max="9471" width="8.140625" customWidth="1"/>
    <col min="9472" max="9473" width="8.28515625" customWidth="1"/>
    <col min="9474" max="9474" width="12.7109375" customWidth="1"/>
    <col min="9475" max="9475" width="10.28515625" customWidth="1"/>
    <col min="9476" max="9476" width="8.42578125" customWidth="1"/>
    <col min="9477" max="9477" width="11.42578125" bestFit="1" customWidth="1"/>
    <col min="9478" max="9478" width="14" customWidth="1"/>
    <col min="9479" max="9479" width="11" bestFit="1" customWidth="1"/>
    <col min="9480" max="9480" width="10.140625" bestFit="1" customWidth="1"/>
    <col min="9481" max="9481" width="3.28515625" customWidth="1"/>
    <col min="9482" max="9482" width="8.85546875" bestFit="1" customWidth="1"/>
    <col min="9722" max="9722" width="3.28515625" customWidth="1"/>
    <col min="9723" max="9723" width="13.28515625" customWidth="1"/>
    <col min="9724" max="9724" width="8.28515625" customWidth="1"/>
    <col min="9725" max="9725" width="8.140625" customWidth="1"/>
    <col min="9726" max="9726" width="8.28515625" customWidth="1"/>
    <col min="9727" max="9727" width="8.140625" customWidth="1"/>
    <col min="9728" max="9729" width="8.28515625" customWidth="1"/>
    <col min="9730" max="9730" width="12.7109375" customWidth="1"/>
    <col min="9731" max="9731" width="10.28515625" customWidth="1"/>
    <col min="9732" max="9732" width="8.42578125" customWidth="1"/>
    <col min="9733" max="9733" width="11.42578125" bestFit="1" customWidth="1"/>
    <col min="9734" max="9734" width="14" customWidth="1"/>
    <col min="9735" max="9735" width="11" bestFit="1" customWidth="1"/>
    <col min="9736" max="9736" width="10.140625" bestFit="1" customWidth="1"/>
    <col min="9737" max="9737" width="3.28515625" customWidth="1"/>
    <col min="9738" max="9738" width="8.85546875" bestFit="1" customWidth="1"/>
    <col min="9978" max="9978" width="3.28515625" customWidth="1"/>
    <col min="9979" max="9979" width="13.28515625" customWidth="1"/>
    <col min="9980" max="9980" width="8.28515625" customWidth="1"/>
    <col min="9981" max="9981" width="8.140625" customWidth="1"/>
    <col min="9982" max="9982" width="8.28515625" customWidth="1"/>
    <col min="9983" max="9983" width="8.140625" customWidth="1"/>
    <col min="9984" max="9985" width="8.28515625" customWidth="1"/>
    <col min="9986" max="9986" width="12.7109375" customWidth="1"/>
    <col min="9987" max="9987" width="10.28515625" customWidth="1"/>
    <col min="9988" max="9988" width="8.42578125" customWidth="1"/>
    <col min="9989" max="9989" width="11.42578125" bestFit="1" customWidth="1"/>
    <col min="9990" max="9990" width="14" customWidth="1"/>
    <col min="9991" max="9991" width="11" bestFit="1" customWidth="1"/>
    <col min="9992" max="9992" width="10.140625" bestFit="1" customWidth="1"/>
    <col min="9993" max="9993" width="3.28515625" customWidth="1"/>
    <col min="9994" max="9994" width="8.85546875" bestFit="1" customWidth="1"/>
    <col min="10234" max="10234" width="3.28515625" customWidth="1"/>
    <col min="10235" max="10235" width="13.28515625" customWidth="1"/>
    <col min="10236" max="10236" width="8.28515625" customWidth="1"/>
    <col min="10237" max="10237" width="8.140625" customWidth="1"/>
    <col min="10238" max="10238" width="8.28515625" customWidth="1"/>
    <col min="10239" max="10239" width="8.140625" customWidth="1"/>
    <col min="10240" max="10241" width="8.28515625" customWidth="1"/>
    <col min="10242" max="10242" width="12.7109375" customWidth="1"/>
    <col min="10243" max="10243" width="10.28515625" customWidth="1"/>
    <col min="10244" max="10244" width="8.42578125" customWidth="1"/>
    <col min="10245" max="10245" width="11.42578125" bestFit="1" customWidth="1"/>
    <col min="10246" max="10246" width="14" customWidth="1"/>
    <col min="10247" max="10247" width="11" bestFit="1" customWidth="1"/>
    <col min="10248" max="10248" width="10.140625" bestFit="1" customWidth="1"/>
    <col min="10249" max="10249" width="3.28515625" customWidth="1"/>
    <col min="10250" max="10250" width="8.85546875" bestFit="1" customWidth="1"/>
    <col min="10490" max="10490" width="3.28515625" customWidth="1"/>
    <col min="10491" max="10491" width="13.28515625" customWidth="1"/>
    <col min="10492" max="10492" width="8.28515625" customWidth="1"/>
    <col min="10493" max="10493" width="8.140625" customWidth="1"/>
    <col min="10494" max="10494" width="8.28515625" customWidth="1"/>
    <col min="10495" max="10495" width="8.140625" customWidth="1"/>
    <col min="10496" max="10497" width="8.28515625" customWidth="1"/>
    <col min="10498" max="10498" width="12.7109375" customWidth="1"/>
    <col min="10499" max="10499" width="10.28515625" customWidth="1"/>
    <col min="10500" max="10500" width="8.42578125" customWidth="1"/>
    <col min="10501" max="10501" width="11.42578125" bestFit="1" customWidth="1"/>
    <col min="10502" max="10502" width="14" customWidth="1"/>
    <col min="10503" max="10503" width="11" bestFit="1" customWidth="1"/>
    <col min="10504" max="10504" width="10.140625" bestFit="1" customWidth="1"/>
    <col min="10505" max="10505" width="3.28515625" customWidth="1"/>
    <col min="10506" max="10506" width="8.85546875" bestFit="1" customWidth="1"/>
    <col min="10746" max="10746" width="3.28515625" customWidth="1"/>
    <col min="10747" max="10747" width="13.28515625" customWidth="1"/>
    <col min="10748" max="10748" width="8.28515625" customWidth="1"/>
    <col min="10749" max="10749" width="8.140625" customWidth="1"/>
    <col min="10750" max="10750" width="8.28515625" customWidth="1"/>
    <col min="10751" max="10751" width="8.140625" customWidth="1"/>
    <col min="10752" max="10753" width="8.28515625" customWidth="1"/>
    <col min="10754" max="10754" width="12.7109375" customWidth="1"/>
    <col min="10755" max="10755" width="10.28515625" customWidth="1"/>
    <col min="10756" max="10756" width="8.42578125" customWidth="1"/>
    <col min="10757" max="10757" width="11.42578125" bestFit="1" customWidth="1"/>
    <col min="10758" max="10758" width="14" customWidth="1"/>
    <col min="10759" max="10759" width="11" bestFit="1" customWidth="1"/>
    <col min="10760" max="10760" width="10.140625" bestFit="1" customWidth="1"/>
    <col min="10761" max="10761" width="3.28515625" customWidth="1"/>
    <col min="10762" max="10762" width="8.85546875" bestFit="1" customWidth="1"/>
    <col min="11002" max="11002" width="3.28515625" customWidth="1"/>
    <col min="11003" max="11003" width="13.28515625" customWidth="1"/>
    <col min="11004" max="11004" width="8.28515625" customWidth="1"/>
    <col min="11005" max="11005" width="8.140625" customWidth="1"/>
    <col min="11006" max="11006" width="8.28515625" customWidth="1"/>
    <col min="11007" max="11007" width="8.140625" customWidth="1"/>
    <col min="11008" max="11009" width="8.28515625" customWidth="1"/>
    <col min="11010" max="11010" width="12.7109375" customWidth="1"/>
    <col min="11011" max="11011" width="10.28515625" customWidth="1"/>
    <col min="11012" max="11012" width="8.42578125" customWidth="1"/>
    <col min="11013" max="11013" width="11.42578125" bestFit="1" customWidth="1"/>
    <col min="11014" max="11014" width="14" customWidth="1"/>
    <col min="11015" max="11015" width="11" bestFit="1" customWidth="1"/>
    <col min="11016" max="11016" width="10.140625" bestFit="1" customWidth="1"/>
    <col min="11017" max="11017" width="3.28515625" customWidth="1"/>
    <col min="11018" max="11018" width="8.85546875" bestFit="1" customWidth="1"/>
    <col min="11258" max="11258" width="3.28515625" customWidth="1"/>
    <col min="11259" max="11259" width="13.28515625" customWidth="1"/>
    <col min="11260" max="11260" width="8.28515625" customWidth="1"/>
    <col min="11261" max="11261" width="8.140625" customWidth="1"/>
    <col min="11262" max="11262" width="8.28515625" customWidth="1"/>
    <col min="11263" max="11263" width="8.140625" customWidth="1"/>
    <col min="11264" max="11265" width="8.28515625" customWidth="1"/>
    <col min="11266" max="11266" width="12.7109375" customWidth="1"/>
    <col min="11267" max="11267" width="10.28515625" customWidth="1"/>
    <col min="11268" max="11268" width="8.42578125" customWidth="1"/>
    <col min="11269" max="11269" width="11.42578125" bestFit="1" customWidth="1"/>
    <col min="11270" max="11270" width="14" customWidth="1"/>
    <col min="11271" max="11271" width="11" bestFit="1" customWidth="1"/>
    <col min="11272" max="11272" width="10.140625" bestFit="1" customWidth="1"/>
    <col min="11273" max="11273" width="3.28515625" customWidth="1"/>
    <col min="11274" max="11274" width="8.85546875" bestFit="1" customWidth="1"/>
    <col min="11514" max="11514" width="3.28515625" customWidth="1"/>
    <col min="11515" max="11515" width="13.28515625" customWidth="1"/>
    <col min="11516" max="11516" width="8.28515625" customWidth="1"/>
    <col min="11517" max="11517" width="8.140625" customWidth="1"/>
    <col min="11518" max="11518" width="8.28515625" customWidth="1"/>
    <col min="11519" max="11519" width="8.140625" customWidth="1"/>
    <col min="11520" max="11521" width="8.28515625" customWidth="1"/>
    <col min="11522" max="11522" width="12.7109375" customWidth="1"/>
    <col min="11523" max="11523" width="10.28515625" customWidth="1"/>
    <col min="11524" max="11524" width="8.42578125" customWidth="1"/>
    <col min="11525" max="11525" width="11.42578125" bestFit="1" customWidth="1"/>
    <col min="11526" max="11526" width="14" customWidth="1"/>
    <col min="11527" max="11527" width="11" bestFit="1" customWidth="1"/>
    <col min="11528" max="11528" width="10.140625" bestFit="1" customWidth="1"/>
    <col min="11529" max="11529" width="3.28515625" customWidth="1"/>
    <col min="11530" max="11530" width="8.85546875" bestFit="1" customWidth="1"/>
    <col min="11770" max="11770" width="3.28515625" customWidth="1"/>
    <col min="11771" max="11771" width="13.28515625" customWidth="1"/>
    <col min="11772" max="11772" width="8.28515625" customWidth="1"/>
    <col min="11773" max="11773" width="8.140625" customWidth="1"/>
    <col min="11774" max="11774" width="8.28515625" customWidth="1"/>
    <col min="11775" max="11775" width="8.140625" customWidth="1"/>
    <col min="11776" max="11777" width="8.28515625" customWidth="1"/>
    <col min="11778" max="11778" width="12.7109375" customWidth="1"/>
    <col min="11779" max="11779" width="10.28515625" customWidth="1"/>
    <col min="11780" max="11780" width="8.42578125" customWidth="1"/>
    <col min="11781" max="11781" width="11.42578125" bestFit="1" customWidth="1"/>
    <col min="11782" max="11782" width="14" customWidth="1"/>
    <col min="11783" max="11783" width="11" bestFit="1" customWidth="1"/>
    <col min="11784" max="11784" width="10.140625" bestFit="1" customWidth="1"/>
    <col min="11785" max="11785" width="3.28515625" customWidth="1"/>
    <col min="11786" max="11786" width="8.85546875" bestFit="1" customWidth="1"/>
    <col min="12026" max="12026" width="3.28515625" customWidth="1"/>
    <col min="12027" max="12027" width="13.28515625" customWidth="1"/>
    <col min="12028" max="12028" width="8.28515625" customWidth="1"/>
    <col min="12029" max="12029" width="8.140625" customWidth="1"/>
    <col min="12030" max="12030" width="8.28515625" customWidth="1"/>
    <col min="12031" max="12031" width="8.140625" customWidth="1"/>
    <col min="12032" max="12033" width="8.28515625" customWidth="1"/>
    <col min="12034" max="12034" width="12.7109375" customWidth="1"/>
    <col min="12035" max="12035" width="10.28515625" customWidth="1"/>
    <col min="12036" max="12036" width="8.42578125" customWidth="1"/>
    <col min="12037" max="12037" width="11.42578125" bestFit="1" customWidth="1"/>
    <col min="12038" max="12038" width="14" customWidth="1"/>
    <col min="12039" max="12039" width="11" bestFit="1" customWidth="1"/>
    <col min="12040" max="12040" width="10.140625" bestFit="1" customWidth="1"/>
    <col min="12041" max="12041" width="3.28515625" customWidth="1"/>
    <col min="12042" max="12042" width="8.85546875" bestFit="1" customWidth="1"/>
    <col min="12282" max="12282" width="3.28515625" customWidth="1"/>
    <col min="12283" max="12283" width="13.28515625" customWidth="1"/>
    <col min="12284" max="12284" width="8.28515625" customWidth="1"/>
    <col min="12285" max="12285" width="8.140625" customWidth="1"/>
    <col min="12286" max="12286" width="8.28515625" customWidth="1"/>
    <col min="12287" max="12287" width="8.140625" customWidth="1"/>
    <col min="12288" max="12289" width="8.28515625" customWidth="1"/>
    <col min="12290" max="12290" width="12.7109375" customWidth="1"/>
    <col min="12291" max="12291" width="10.28515625" customWidth="1"/>
    <col min="12292" max="12292" width="8.42578125" customWidth="1"/>
    <col min="12293" max="12293" width="11.42578125" bestFit="1" customWidth="1"/>
    <col min="12294" max="12294" width="14" customWidth="1"/>
    <col min="12295" max="12295" width="11" bestFit="1" customWidth="1"/>
    <col min="12296" max="12296" width="10.140625" bestFit="1" customWidth="1"/>
    <col min="12297" max="12297" width="3.28515625" customWidth="1"/>
    <col min="12298" max="12298" width="8.85546875" bestFit="1" customWidth="1"/>
    <col min="12538" max="12538" width="3.28515625" customWidth="1"/>
    <col min="12539" max="12539" width="13.28515625" customWidth="1"/>
    <col min="12540" max="12540" width="8.28515625" customWidth="1"/>
    <col min="12541" max="12541" width="8.140625" customWidth="1"/>
    <col min="12542" max="12542" width="8.28515625" customWidth="1"/>
    <col min="12543" max="12543" width="8.140625" customWidth="1"/>
    <col min="12544" max="12545" width="8.28515625" customWidth="1"/>
    <col min="12546" max="12546" width="12.7109375" customWidth="1"/>
    <col min="12547" max="12547" width="10.28515625" customWidth="1"/>
    <col min="12548" max="12548" width="8.42578125" customWidth="1"/>
    <col min="12549" max="12549" width="11.42578125" bestFit="1" customWidth="1"/>
    <col min="12550" max="12550" width="14" customWidth="1"/>
    <col min="12551" max="12551" width="11" bestFit="1" customWidth="1"/>
    <col min="12552" max="12552" width="10.140625" bestFit="1" customWidth="1"/>
    <col min="12553" max="12553" width="3.28515625" customWidth="1"/>
    <col min="12554" max="12554" width="8.85546875" bestFit="1" customWidth="1"/>
    <col min="12794" max="12794" width="3.28515625" customWidth="1"/>
    <col min="12795" max="12795" width="13.28515625" customWidth="1"/>
    <col min="12796" max="12796" width="8.28515625" customWidth="1"/>
    <col min="12797" max="12797" width="8.140625" customWidth="1"/>
    <col min="12798" max="12798" width="8.28515625" customWidth="1"/>
    <col min="12799" max="12799" width="8.140625" customWidth="1"/>
    <col min="12800" max="12801" width="8.28515625" customWidth="1"/>
    <col min="12802" max="12802" width="12.7109375" customWidth="1"/>
    <col min="12803" max="12803" width="10.28515625" customWidth="1"/>
    <col min="12804" max="12804" width="8.42578125" customWidth="1"/>
    <col min="12805" max="12805" width="11.42578125" bestFit="1" customWidth="1"/>
    <col min="12806" max="12806" width="14" customWidth="1"/>
    <col min="12807" max="12807" width="11" bestFit="1" customWidth="1"/>
    <col min="12808" max="12808" width="10.140625" bestFit="1" customWidth="1"/>
    <col min="12809" max="12809" width="3.28515625" customWidth="1"/>
    <col min="12810" max="12810" width="8.85546875" bestFit="1" customWidth="1"/>
    <col min="13050" max="13050" width="3.28515625" customWidth="1"/>
    <col min="13051" max="13051" width="13.28515625" customWidth="1"/>
    <col min="13052" max="13052" width="8.28515625" customWidth="1"/>
    <col min="13053" max="13053" width="8.140625" customWidth="1"/>
    <col min="13054" max="13054" width="8.28515625" customWidth="1"/>
    <col min="13055" max="13055" width="8.140625" customWidth="1"/>
    <col min="13056" max="13057" width="8.28515625" customWidth="1"/>
    <col min="13058" max="13058" width="12.7109375" customWidth="1"/>
    <col min="13059" max="13059" width="10.28515625" customWidth="1"/>
    <col min="13060" max="13060" width="8.42578125" customWidth="1"/>
    <col min="13061" max="13061" width="11.42578125" bestFit="1" customWidth="1"/>
    <col min="13062" max="13062" width="14" customWidth="1"/>
    <col min="13063" max="13063" width="11" bestFit="1" customWidth="1"/>
    <col min="13064" max="13064" width="10.140625" bestFit="1" customWidth="1"/>
    <col min="13065" max="13065" width="3.28515625" customWidth="1"/>
    <col min="13066" max="13066" width="8.85546875" bestFit="1" customWidth="1"/>
    <col min="13306" max="13306" width="3.28515625" customWidth="1"/>
    <col min="13307" max="13307" width="13.28515625" customWidth="1"/>
    <col min="13308" max="13308" width="8.28515625" customWidth="1"/>
    <col min="13309" max="13309" width="8.140625" customWidth="1"/>
    <col min="13310" max="13310" width="8.28515625" customWidth="1"/>
    <col min="13311" max="13311" width="8.140625" customWidth="1"/>
    <col min="13312" max="13313" width="8.28515625" customWidth="1"/>
    <col min="13314" max="13314" width="12.7109375" customWidth="1"/>
    <col min="13315" max="13315" width="10.28515625" customWidth="1"/>
    <col min="13316" max="13316" width="8.42578125" customWidth="1"/>
    <col min="13317" max="13317" width="11.42578125" bestFit="1" customWidth="1"/>
    <col min="13318" max="13318" width="14" customWidth="1"/>
    <col min="13319" max="13319" width="11" bestFit="1" customWidth="1"/>
    <col min="13320" max="13320" width="10.140625" bestFit="1" customWidth="1"/>
    <col min="13321" max="13321" width="3.28515625" customWidth="1"/>
    <col min="13322" max="13322" width="8.85546875" bestFit="1" customWidth="1"/>
    <col min="13562" max="13562" width="3.28515625" customWidth="1"/>
    <col min="13563" max="13563" width="13.28515625" customWidth="1"/>
    <col min="13564" max="13564" width="8.28515625" customWidth="1"/>
    <col min="13565" max="13565" width="8.140625" customWidth="1"/>
    <col min="13566" max="13566" width="8.28515625" customWidth="1"/>
    <col min="13567" max="13567" width="8.140625" customWidth="1"/>
    <col min="13568" max="13569" width="8.28515625" customWidth="1"/>
    <col min="13570" max="13570" width="12.7109375" customWidth="1"/>
    <col min="13571" max="13571" width="10.28515625" customWidth="1"/>
    <col min="13572" max="13572" width="8.42578125" customWidth="1"/>
    <col min="13573" max="13573" width="11.42578125" bestFit="1" customWidth="1"/>
    <col min="13574" max="13574" width="14" customWidth="1"/>
    <col min="13575" max="13575" width="11" bestFit="1" customWidth="1"/>
    <col min="13576" max="13576" width="10.140625" bestFit="1" customWidth="1"/>
    <col min="13577" max="13577" width="3.28515625" customWidth="1"/>
    <col min="13578" max="13578" width="8.85546875" bestFit="1" customWidth="1"/>
    <col min="13818" max="13818" width="3.28515625" customWidth="1"/>
    <col min="13819" max="13819" width="13.28515625" customWidth="1"/>
    <col min="13820" max="13820" width="8.28515625" customWidth="1"/>
    <col min="13821" max="13821" width="8.140625" customWidth="1"/>
    <col min="13822" max="13822" width="8.28515625" customWidth="1"/>
    <col min="13823" max="13823" width="8.140625" customWidth="1"/>
    <col min="13824" max="13825" width="8.28515625" customWidth="1"/>
    <col min="13826" max="13826" width="12.7109375" customWidth="1"/>
    <col min="13827" max="13827" width="10.28515625" customWidth="1"/>
    <col min="13828" max="13828" width="8.42578125" customWidth="1"/>
    <col min="13829" max="13829" width="11.42578125" bestFit="1" customWidth="1"/>
    <col min="13830" max="13830" width="14" customWidth="1"/>
    <col min="13831" max="13831" width="11" bestFit="1" customWidth="1"/>
    <col min="13832" max="13832" width="10.140625" bestFit="1" customWidth="1"/>
    <col min="13833" max="13833" width="3.28515625" customWidth="1"/>
    <col min="13834" max="13834" width="8.85546875" bestFit="1" customWidth="1"/>
    <col min="14074" max="14074" width="3.28515625" customWidth="1"/>
    <col min="14075" max="14075" width="13.28515625" customWidth="1"/>
    <col min="14076" max="14076" width="8.28515625" customWidth="1"/>
    <col min="14077" max="14077" width="8.140625" customWidth="1"/>
    <col min="14078" max="14078" width="8.28515625" customWidth="1"/>
    <col min="14079" max="14079" width="8.140625" customWidth="1"/>
    <col min="14080" max="14081" width="8.28515625" customWidth="1"/>
    <col min="14082" max="14082" width="12.7109375" customWidth="1"/>
    <col min="14083" max="14083" width="10.28515625" customWidth="1"/>
    <col min="14084" max="14084" width="8.42578125" customWidth="1"/>
    <col min="14085" max="14085" width="11.42578125" bestFit="1" customWidth="1"/>
    <col min="14086" max="14086" width="14" customWidth="1"/>
    <col min="14087" max="14087" width="11" bestFit="1" customWidth="1"/>
    <col min="14088" max="14088" width="10.140625" bestFit="1" customWidth="1"/>
    <col min="14089" max="14089" width="3.28515625" customWidth="1"/>
    <col min="14090" max="14090" width="8.85546875" bestFit="1" customWidth="1"/>
    <col min="14330" max="14330" width="3.28515625" customWidth="1"/>
    <col min="14331" max="14331" width="13.28515625" customWidth="1"/>
    <col min="14332" max="14332" width="8.28515625" customWidth="1"/>
    <col min="14333" max="14333" width="8.140625" customWidth="1"/>
    <col min="14334" max="14334" width="8.28515625" customWidth="1"/>
    <col min="14335" max="14335" width="8.140625" customWidth="1"/>
    <col min="14336" max="14337" width="8.28515625" customWidth="1"/>
    <col min="14338" max="14338" width="12.7109375" customWidth="1"/>
    <col min="14339" max="14339" width="10.28515625" customWidth="1"/>
    <col min="14340" max="14340" width="8.42578125" customWidth="1"/>
    <col min="14341" max="14341" width="11.42578125" bestFit="1" customWidth="1"/>
    <col min="14342" max="14342" width="14" customWidth="1"/>
    <col min="14343" max="14343" width="11" bestFit="1" customWidth="1"/>
    <col min="14344" max="14344" width="10.140625" bestFit="1" customWidth="1"/>
    <col min="14345" max="14345" width="3.28515625" customWidth="1"/>
    <col min="14346" max="14346" width="8.85546875" bestFit="1" customWidth="1"/>
    <col min="14586" max="14586" width="3.28515625" customWidth="1"/>
    <col min="14587" max="14587" width="13.28515625" customWidth="1"/>
    <col min="14588" max="14588" width="8.28515625" customWidth="1"/>
    <col min="14589" max="14589" width="8.140625" customWidth="1"/>
    <col min="14590" max="14590" width="8.28515625" customWidth="1"/>
    <col min="14591" max="14591" width="8.140625" customWidth="1"/>
    <col min="14592" max="14593" width="8.28515625" customWidth="1"/>
    <col min="14594" max="14594" width="12.7109375" customWidth="1"/>
    <col min="14595" max="14595" width="10.28515625" customWidth="1"/>
    <col min="14596" max="14596" width="8.42578125" customWidth="1"/>
    <col min="14597" max="14597" width="11.42578125" bestFit="1" customWidth="1"/>
    <col min="14598" max="14598" width="14" customWidth="1"/>
    <col min="14599" max="14599" width="11" bestFit="1" customWidth="1"/>
    <col min="14600" max="14600" width="10.140625" bestFit="1" customWidth="1"/>
    <col min="14601" max="14601" width="3.28515625" customWidth="1"/>
    <col min="14602" max="14602" width="8.85546875" bestFit="1" customWidth="1"/>
    <col min="14842" max="14842" width="3.28515625" customWidth="1"/>
    <col min="14843" max="14843" width="13.28515625" customWidth="1"/>
    <col min="14844" max="14844" width="8.28515625" customWidth="1"/>
    <col min="14845" max="14845" width="8.140625" customWidth="1"/>
    <col min="14846" max="14846" width="8.28515625" customWidth="1"/>
    <col min="14847" max="14847" width="8.140625" customWidth="1"/>
    <col min="14848" max="14849" width="8.28515625" customWidth="1"/>
    <col min="14850" max="14850" width="12.7109375" customWidth="1"/>
    <col min="14851" max="14851" width="10.28515625" customWidth="1"/>
    <col min="14852" max="14852" width="8.42578125" customWidth="1"/>
    <col min="14853" max="14853" width="11.42578125" bestFit="1" customWidth="1"/>
    <col min="14854" max="14854" width="14" customWidth="1"/>
    <col min="14855" max="14855" width="11" bestFit="1" customWidth="1"/>
    <col min="14856" max="14856" width="10.140625" bestFit="1" customWidth="1"/>
    <col min="14857" max="14857" width="3.28515625" customWidth="1"/>
    <col min="14858" max="14858" width="8.85546875" bestFit="1" customWidth="1"/>
    <col min="15098" max="15098" width="3.28515625" customWidth="1"/>
    <col min="15099" max="15099" width="13.28515625" customWidth="1"/>
    <col min="15100" max="15100" width="8.28515625" customWidth="1"/>
    <col min="15101" max="15101" width="8.140625" customWidth="1"/>
    <col min="15102" max="15102" width="8.28515625" customWidth="1"/>
    <col min="15103" max="15103" width="8.140625" customWidth="1"/>
    <col min="15104" max="15105" width="8.28515625" customWidth="1"/>
    <col min="15106" max="15106" width="12.7109375" customWidth="1"/>
    <col min="15107" max="15107" width="10.28515625" customWidth="1"/>
    <col min="15108" max="15108" width="8.42578125" customWidth="1"/>
    <col min="15109" max="15109" width="11.42578125" bestFit="1" customWidth="1"/>
    <col min="15110" max="15110" width="14" customWidth="1"/>
    <col min="15111" max="15111" width="11" bestFit="1" customWidth="1"/>
    <col min="15112" max="15112" width="10.140625" bestFit="1" customWidth="1"/>
    <col min="15113" max="15113" width="3.28515625" customWidth="1"/>
    <col min="15114" max="15114" width="8.85546875" bestFit="1" customWidth="1"/>
    <col min="15354" max="15354" width="3.28515625" customWidth="1"/>
    <col min="15355" max="15355" width="13.28515625" customWidth="1"/>
    <col min="15356" max="15356" width="8.28515625" customWidth="1"/>
    <col min="15357" max="15357" width="8.140625" customWidth="1"/>
    <col min="15358" max="15358" width="8.28515625" customWidth="1"/>
    <col min="15359" max="15359" width="8.140625" customWidth="1"/>
    <col min="15360" max="15361" width="8.28515625" customWidth="1"/>
    <col min="15362" max="15362" width="12.7109375" customWidth="1"/>
    <col min="15363" max="15363" width="10.28515625" customWidth="1"/>
    <col min="15364" max="15364" width="8.42578125" customWidth="1"/>
    <col min="15365" max="15365" width="11.42578125" bestFit="1" customWidth="1"/>
    <col min="15366" max="15366" width="14" customWidth="1"/>
    <col min="15367" max="15367" width="11" bestFit="1" customWidth="1"/>
    <col min="15368" max="15368" width="10.140625" bestFit="1" customWidth="1"/>
    <col min="15369" max="15369" width="3.28515625" customWidth="1"/>
    <col min="15370" max="15370" width="8.85546875" bestFit="1" customWidth="1"/>
    <col min="15610" max="15610" width="3.28515625" customWidth="1"/>
    <col min="15611" max="15611" width="13.28515625" customWidth="1"/>
    <col min="15612" max="15612" width="8.28515625" customWidth="1"/>
    <col min="15613" max="15613" width="8.140625" customWidth="1"/>
    <col min="15614" max="15614" width="8.28515625" customWidth="1"/>
    <col min="15615" max="15615" width="8.140625" customWidth="1"/>
    <col min="15616" max="15617" width="8.28515625" customWidth="1"/>
    <col min="15618" max="15618" width="12.7109375" customWidth="1"/>
    <col min="15619" max="15619" width="10.28515625" customWidth="1"/>
    <col min="15620" max="15620" width="8.42578125" customWidth="1"/>
    <col min="15621" max="15621" width="11.42578125" bestFit="1" customWidth="1"/>
    <col min="15622" max="15622" width="14" customWidth="1"/>
    <col min="15623" max="15623" width="11" bestFit="1" customWidth="1"/>
    <col min="15624" max="15624" width="10.140625" bestFit="1" customWidth="1"/>
    <col min="15625" max="15625" width="3.28515625" customWidth="1"/>
    <col min="15626" max="15626" width="8.85546875" bestFit="1" customWidth="1"/>
    <col min="15866" max="15866" width="3.28515625" customWidth="1"/>
    <col min="15867" max="15867" width="13.28515625" customWidth="1"/>
    <col min="15868" max="15868" width="8.28515625" customWidth="1"/>
    <col min="15869" max="15869" width="8.140625" customWidth="1"/>
    <col min="15870" max="15870" width="8.28515625" customWidth="1"/>
    <col min="15871" max="15871" width="8.140625" customWidth="1"/>
    <col min="15872" max="15873" width="8.28515625" customWidth="1"/>
    <col min="15874" max="15874" width="12.7109375" customWidth="1"/>
    <col min="15875" max="15875" width="10.28515625" customWidth="1"/>
    <col min="15876" max="15876" width="8.42578125" customWidth="1"/>
    <col min="15877" max="15877" width="11.42578125" bestFit="1" customWidth="1"/>
    <col min="15878" max="15878" width="14" customWidth="1"/>
    <col min="15879" max="15879" width="11" bestFit="1" customWidth="1"/>
    <col min="15880" max="15880" width="10.140625" bestFit="1" customWidth="1"/>
    <col min="15881" max="15881" width="3.28515625" customWidth="1"/>
    <col min="15882" max="15882" width="8.85546875" bestFit="1" customWidth="1"/>
    <col min="16122" max="16122" width="3.28515625" customWidth="1"/>
    <col min="16123" max="16123" width="13.28515625" customWidth="1"/>
    <col min="16124" max="16124" width="8.28515625" customWidth="1"/>
    <col min="16125" max="16125" width="8.140625" customWidth="1"/>
    <col min="16126" max="16126" width="8.28515625" customWidth="1"/>
    <col min="16127" max="16127" width="8.140625" customWidth="1"/>
    <col min="16128" max="16129" width="8.28515625" customWidth="1"/>
    <col min="16130" max="16130" width="12.7109375" customWidth="1"/>
    <col min="16131" max="16131" width="10.28515625" customWidth="1"/>
    <col min="16132" max="16132" width="8.42578125" customWidth="1"/>
    <col min="16133" max="16133" width="11.42578125" bestFit="1" customWidth="1"/>
    <col min="16134" max="16134" width="14" customWidth="1"/>
    <col min="16135" max="16135" width="11" bestFit="1" customWidth="1"/>
    <col min="16136" max="16136" width="10.140625" bestFit="1" customWidth="1"/>
    <col min="16137" max="16137" width="3.28515625" customWidth="1"/>
    <col min="16138" max="16138" width="8.85546875" bestFit="1" customWidth="1"/>
  </cols>
  <sheetData>
    <row r="1" spans="1:15" ht="18" customHeight="1">
      <c r="A1" s="1566" t="s">
        <v>406</v>
      </c>
      <c r="B1" s="1566"/>
      <c r="C1" s="1566"/>
      <c r="D1" s="1566"/>
      <c r="E1" s="1566"/>
      <c r="F1" s="1566"/>
      <c r="G1" s="1566"/>
      <c r="H1" s="1566"/>
      <c r="I1" s="1566"/>
      <c r="J1" s="1566"/>
      <c r="K1" s="1566"/>
      <c r="L1" s="1566"/>
      <c r="M1" s="1566"/>
      <c r="N1" s="1566"/>
      <c r="O1" s="1566"/>
    </row>
    <row r="2" spans="1:15" ht="21" customHeight="1">
      <c r="A2" s="60"/>
      <c r="B2" s="1325"/>
      <c r="C2" s="1326"/>
      <c r="D2" s="1326"/>
      <c r="E2" s="1326"/>
      <c r="F2" s="1326"/>
      <c r="G2" s="1326"/>
      <c r="H2" s="1326"/>
      <c r="I2" s="1326"/>
      <c r="J2" s="1326"/>
      <c r="K2" s="1326"/>
      <c r="L2" s="1326"/>
      <c r="M2" s="1326"/>
      <c r="N2" s="1327"/>
      <c r="O2" s="57"/>
    </row>
    <row r="3" spans="1:15" ht="21" customHeight="1">
      <c r="A3" s="60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6"/>
      <c r="O3" s="57"/>
    </row>
    <row r="4" spans="1:15" ht="21" customHeight="1">
      <c r="A4" s="60"/>
      <c r="B4" s="98"/>
      <c r="C4" s="99"/>
      <c r="D4" s="99"/>
      <c r="E4" s="99"/>
      <c r="F4" s="99"/>
      <c r="G4" s="99"/>
      <c r="H4" s="456"/>
      <c r="I4" s="456"/>
      <c r="J4" s="456"/>
      <c r="K4" s="456"/>
      <c r="L4" s="456"/>
      <c r="M4" s="456"/>
      <c r="N4" s="100"/>
      <c r="O4" s="58"/>
    </row>
    <row r="5" spans="1:15" ht="21" customHeight="1">
      <c r="A5" s="60"/>
      <c r="B5" s="99"/>
      <c r="C5" s="99"/>
      <c r="D5" s="99"/>
      <c r="E5" s="99"/>
      <c r="F5" s="99"/>
      <c r="G5" s="99"/>
      <c r="H5" s="1350"/>
      <c r="I5" s="1350"/>
      <c r="J5" s="1350"/>
      <c r="K5" s="456"/>
      <c r="L5" s="456"/>
      <c r="M5" s="456"/>
      <c r="N5" s="102"/>
      <c r="O5" s="58"/>
    </row>
    <row r="6" spans="1:15" ht="21" customHeight="1">
      <c r="A6" s="60"/>
      <c r="B6" s="457"/>
      <c r="C6" s="1351"/>
      <c r="D6" s="1351"/>
      <c r="E6" s="1350"/>
      <c r="F6" s="1350"/>
      <c r="G6" s="472"/>
      <c r="H6" s="457"/>
      <c r="I6" s="457"/>
      <c r="J6" s="457"/>
      <c r="K6" s="1352"/>
      <c r="L6" s="1352"/>
      <c r="M6" s="1352"/>
      <c r="N6" s="1353"/>
      <c r="O6" s="58"/>
    </row>
    <row r="7" spans="1:15" ht="21" customHeight="1">
      <c r="A7" s="60"/>
      <c r="B7" s="99"/>
      <c r="C7" s="104"/>
      <c r="D7" s="104"/>
      <c r="E7" s="104"/>
      <c r="F7" s="104"/>
      <c r="G7" s="104"/>
      <c r="H7" s="458"/>
      <c r="I7" s="458"/>
      <c r="J7" s="458"/>
      <c r="K7" s="459"/>
      <c r="L7" s="459"/>
      <c r="M7" s="459"/>
      <c r="N7" s="105"/>
      <c r="O7" s="58"/>
    </row>
    <row r="8" spans="1:15" ht="21" customHeight="1">
      <c r="A8" s="60"/>
      <c r="B8" s="99"/>
      <c r="C8" s="104"/>
      <c r="D8" s="104"/>
      <c r="E8" s="460"/>
      <c r="F8" s="104"/>
      <c r="G8" s="460"/>
      <c r="H8" s="458"/>
      <c r="I8" s="458"/>
      <c r="J8" s="458"/>
      <c r="K8" s="461"/>
      <c r="L8" s="461"/>
      <c r="M8" s="461"/>
      <c r="N8" s="107"/>
      <c r="O8" s="58"/>
    </row>
    <row r="9" spans="1:15" ht="21" customHeight="1">
      <c r="A9" s="60"/>
      <c r="B9" s="99"/>
      <c r="C9" s="104"/>
      <c r="D9" s="104"/>
      <c r="E9" s="460"/>
      <c r="F9" s="104"/>
      <c r="G9" s="460"/>
      <c r="H9" s="458"/>
      <c r="I9" s="458"/>
      <c r="J9" s="458"/>
      <c r="K9" s="461"/>
      <c r="L9" s="461"/>
      <c r="M9" s="461"/>
      <c r="N9" s="107"/>
      <c r="O9" s="58"/>
    </row>
    <row r="10" spans="1:15" ht="21" customHeight="1">
      <c r="A10" s="60"/>
      <c r="B10" s="99"/>
      <c r="C10" s="104"/>
      <c r="D10" s="104"/>
      <c r="E10" s="460"/>
      <c r="F10" s="104"/>
      <c r="G10" s="460"/>
      <c r="H10" s="458"/>
      <c r="I10" s="458"/>
      <c r="J10" s="458"/>
      <c r="K10" s="461"/>
      <c r="L10" s="461"/>
      <c r="M10" s="461"/>
      <c r="N10" s="107"/>
      <c r="O10" s="58"/>
    </row>
    <row r="11" spans="1:15" ht="21" customHeight="1">
      <c r="A11" s="60"/>
      <c r="B11" s="99"/>
      <c r="C11" s="104"/>
      <c r="D11" s="104"/>
      <c r="E11" s="460"/>
      <c r="F11" s="104"/>
      <c r="G11" s="460"/>
      <c r="H11" s="458"/>
      <c r="I11" s="458"/>
      <c r="J11" s="458"/>
      <c r="K11" s="461"/>
      <c r="L11" s="461"/>
      <c r="M11" s="461"/>
      <c r="N11" s="107"/>
      <c r="O11" s="58"/>
    </row>
    <row r="12" spans="1:15" ht="21" customHeight="1">
      <c r="A12" s="60"/>
      <c r="B12" s="99"/>
      <c r="C12" s="104"/>
      <c r="D12" s="104"/>
      <c r="E12" s="104"/>
      <c r="F12" s="104"/>
      <c r="G12" s="460"/>
      <c r="H12" s="458"/>
      <c r="I12" s="458"/>
      <c r="J12" s="458"/>
      <c r="K12" s="461"/>
      <c r="L12" s="461"/>
      <c r="M12" s="461"/>
      <c r="N12" s="107"/>
      <c r="O12" s="58"/>
    </row>
    <row r="13" spans="1:15" ht="21" customHeight="1">
      <c r="A13" s="60"/>
      <c r="B13" s="99"/>
      <c r="C13" s="104"/>
      <c r="D13" s="104"/>
      <c r="E13" s="460"/>
      <c r="F13" s="104"/>
      <c r="G13" s="460"/>
      <c r="H13" s="458"/>
      <c r="I13" s="458"/>
      <c r="J13" s="458"/>
      <c r="K13" s="461"/>
      <c r="L13" s="461"/>
      <c r="M13" s="461"/>
      <c r="N13" s="107"/>
      <c r="O13" s="58"/>
    </row>
    <row r="14" spans="1:15" ht="21" customHeight="1">
      <c r="A14" s="60"/>
      <c r="B14" s="99"/>
      <c r="C14" s="104"/>
      <c r="D14" s="104"/>
      <c r="E14" s="104"/>
      <c r="F14" s="104"/>
      <c r="G14" s="104"/>
      <c r="H14" s="458"/>
      <c r="I14" s="458"/>
      <c r="J14" s="458"/>
      <c r="K14" s="462"/>
      <c r="L14" s="461"/>
      <c r="M14" s="461"/>
      <c r="N14" s="107"/>
      <c r="O14" s="58"/>
    </row>
    <row r="15" spans="1:15" ht="21" customHeight="1">
      <c r="A15" s="60"/>
      <c r="B15" s="99"/>
      <c r="C15" s="104"/>
      <c r="D15" s="104"/>
      <c r="E15" s="460"/>
      <c r="F15" s="104"/>
      <c r="G15" s="460"/>
      <c r="H15" s="458"/>
      <c r="I15" s="458"/>
      <c r="J15" s="458"/>
      <c r="K15" s="462"/>
      <c r="L15" s="462"/>
      <c r="M15" s="463"/>
      <c r="N15" s="109"/>
      <c r="O15" s="58"/>
    </row>
    <row r="16" spans="1:15" ht="21" customHeight="1">
      <c r="A16" s="60"/>
      <c r="B16" s="99"/>
      <c r="C16" s="104"/>
      <c r="D16" s="104"/>
      <c r="E16" s="460"/>
      <c r="F16" s="104"/>
      <c r="G16" s="460"/>
      <c r="H16" s="458"/>
      <c r="I16" s="458"/>
      <c r="J16" s="458"/>
      <c r="K16" s="464"/>
      <c r="L16" s="464"/>
      <c r="M16" s="464"/>
      <c r="N16" s="109"/>
      <c r="O16" s="58"/>
    </row>
    <row r="17" spans="1:15" ht="21" customHeight="1">
      <c r="A17" s="60"/>
      <c r="B17" s="99"/>
      <c r="C17" s="104"/>
      <c r="D17" s="104"/>
      <c r="E17" s="460"/>
      <c r="F17" s="104"/>
      <c r="G17" s="460"/>
      <c r="H17" s="458"/>
      <c r="I17" s="458"/>
      <c r="J17" s="458"/>
      <c r="K17" s="456"/>
      <c r="L17" s="465"/>
      <c r="M17" s="465"/>
      <c r="N17" s="100"/>
      <c r="O17" s="57"/>
    </row>
    <row r="18" spans="1:15" ht="21" customHeight="1">
      <c r="A18" s="60"/>
      <c r="B18" s="99"/>
      <c r="C18" s="104"/>
      <c r="D18" s="104"/>
      <c r="E18" s="460"/>
      <c r="F18" s="104"/>
      <c r="G18" s="460"/>
      <c r="H18" s="458"/>
      <c r="I18" s="458"/>
      <c r="J18" s="458"/>
      <c r="K18" s="456"/>
      <c r="L18" s="456"/>
      <c r="M18" s="456"/>
      <c r="N18" s="100"/>
      <c r="O18" s="57"/>
    </row>
    <row r="19" spans="1:15" ht="21" customHeight="1">
      <c r="A19" s="60"/>
      <c r="B19" s="99"/>
      <c r="C19" s="104"/>
      <c r="D19" s="104"/>
      <c r="E19" s="460"/>
      <c r="F19" s="104"/>
      <c r="G19" s="460"/>
      <c r="H19" s="458"/>
      <c r="I19" s="458"/>
      <c r="J19" s="458"/>
      <c r="K19" s="456"/>
      <c r="L19" s="456"/>
      <c r="M19" s="456"/>
      <c r="N19" s="100"/>
      <c r="O19" s="57"/>
    </row>
    <row r="20" spans="1:15" ht="21" customHeight="1">
      <c r="A20" s="60"/>
      <c r="B20" s="99"/>
      <c r="C20" s="104"/>
      <c r="D20" s="104"/>
      <c r="E20" s="104"/>
      <c r="F20" s="104"/>
      <c r="G20" s="104"/>
      <c r="H20" s="458"/>
      <c r="I20" s="458"/>
      <c r="J20" s="458"/>
      <c r="K20" s="456"/>
      <c r="L20" s="456"/>
      <c r="M20" s="456"/>
      <c r="N20" s="100"/>
      <c r="O20" s="57"/>
    </row>
    <row r="21" spans="1:15" ht="21" customHeight="1">
      <c r="A21" s="60"/>
      <c r="B21" s="116"/>
      <c r="C21" s="117"/>
      <c r="D21" s="110"/>
      <c r="E21" s="117"/>
      <c r="F21" s="110"/>
      <c r="G21" s="117"/>
      <c r="H21" s="458"/>
      <c r="I21" s="458"/>
      <c r="J21" s="458"/>
      <c r="K21" s="456"/>
      <c r="L21" s="456"/>
      <c r="M21" s="456"/>
      <c r="N21" s="100"/>
      <c r="O21" s="57"/>
    </row>
    <row r="22" spans="1:15" ht="21" customHeight="1">
      <c r="A22" s="60"/>
      <c r="B22" s="493" t="s">
        <v>500</v>
      </c>
      <c r="C22" s="113"/>
      <c r="D22" s="113"/>
      <c r="E22" s="113"/>
      <c r="F22" s="113"/>
      <c r="G22" s="113"/>
      <c r="H22" s="288"/>
      <c r="I22" s="288"/>
      <c r="J22" s="288"/>
      <c r="K22" s="113"/>
      <c r="L22" s="113"/>
      <c r="M22" s="113"/>
      <c r="N22" s="466">
        <f ca="1">NOW()</f>
        <v>42653.424638310185</v>
      </c>
      <c r="O22" s="57"/>
    </row>
    <row r="23" spans="1:15" ht="18" customHeight="1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</row>
  </sheetData>
  <mergeCells count="7">
    <mergeCell ref="A1:O1"/>
    <mergeCell ref="B2:N2"/>
    <mergeCell ref="H5:J5"/>
    <mergeCell ref="C6:D6"/>
    <mergeCell ref="E6:F6"/>
    <mergeCell ref="K6:L6"/>
    <mergeCell ref="M6:N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33</vt:i4>
      </vt:variant>
      <vt:variant>
        <vt:lpstr>Intervalos nomeados</vt:lpstr>
      </vt:variant>
      <vt:variant>
        <vt:i4>2</vt:i4>
      </vt:variant>
    </vt:vector>
  </HeadingPairs>
  <TitlesOfParts>
    <vt:vector size="35" baseType="lpstr">
      <vt:lpstr>Capa</vt:lpstr>
      <vt:lpstr>CCapa</vt:lpstr>
      <vt:lpstr>Indice</vt:lpstr>
      <vt:lpstr>Resumo</vt:lpstr>
      <vt:lpstr>1.Mundial</vt:lpstr>
      <vt:lpstr>2.Brasil</vt:lpstr>
      <vt:lpstr>3.Indicadores</vt:lpstr>
      <vt:lpstr>4.Estoque</vt:lpstr>
      <vt:lpstr>5.Série Safras</vt:lpstr>
      <vt:lpstr>6.Preços</vt:lpstr>
      <vt:lpstr>7.Gráfico</vt:lpstr>
      <vt:lpstr>8.Cotações</vt:lpstr>
      <vt:lpstr>9.Agro Ano</vt:lpstr>
      <vt:lpstr>10.Agro Mês</vt:lpstr>
      <vt:lpstr>11.Importações</vt:lpstr>
      <vt:lpstr>12.Exportações</vt:lpstr>
      <vt:lpstr>13.Evolução</vt:lpstr>
      <vt:lpstr>14.Exp. Verde</vt:lpstr>
      <vt:lpstr>15.Exp. Solúvel</vt:lpstr>
      <vt:lpstr>16.Exp. Torrado</vt:lpstr>
      <vt:lpstr>17.Exp. Extrato</vt:lpstr>
      <vt:lpstr>18.Total</vt:lpstr>
      <vt:lpstr>19.Destinos</vt:lpstr>
      <vt:lpstr>20.Custos</vt:lpstr>
      <vt:lpstr>21.PM</vt:lpstr>
      <vt:lpstr>22.Safra 16</vt:lpstr>
      <vt:lpstr>23.Safra 15</vt:lpstr>
      <vt:lpstr>24.Safra 14</vt:lpstr>
      <vt:lpstr>25.Ranking</vt:lpstr>
      <vt:lpstr>Plan1</vt:lpstr>
      <vt:lpstr>QS</vt:lpstr>
      <vt:lpstr>Plan3</vt:lpstr>
      <vt:lpstr>Plan2</vt:lpstr>
      <vt:lpstr>'1.Mundial'!Area_de_impressao</vt:lpstr>
      <vt:lpstr>Resumo!OLE_LINK1</vt:lpstr>
    </vt:vector>
  </TitlesOfParts>
  <Company>conab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geame</dc:creator>
  <cp:lastModifiedBy>airton.camargo</cp:lastModifiedBy>
  <cp:lastPrinted>2016-09-28T18:53:59Z</cp:lastPrinted>
  <dcterms:created xsi:type="dcterms:W3CDTF">2001-03-13T14:19:45Z</dcterms:created>
  <dcterms:modified xsi:type="dcterms:W3CDTF">2016-10-10T13:14:56Z</dcterms:modified>
</cp:coreProperties>
</file>