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 de trabalho\Laudos\Laudo Azeite\"/>
    </mc:Choice>
  </mc:AlternateContent>
  <xr:revisionPtr revIDLastSave="0" documentId="13_ncr:1_{BFF232FA-17C7-447A-BE71-E751AEB5ABAE}" xr6:coauthVersionLast="47" xr6:coauthVersionMax="47" xr10:uidLastSave="{00000000-0000-0000-0000-000000000000}"/>
  <bookViews>
    <workbookView xWindow="28680" yWindow="-120" windowWidth="29040" windowHeight="15720" xr2:uid="{216C630F-66E7-4155-8CC0-304C5DF1C448}"/>
  </bookViews>
  <sheets>
    <sheet name="Avaliação do Azeite de Oliva" sheetId="1" r:id="rId1"/>
    <sheet name="Planilha2" sheetId="2" state="hidden" r:id="rId2"/>
  </sheets>
  <definedNames>
    <definedName name="GRUPO">Planilha2!$A$2:$A$6</definedName>
    <definedName name="LISTA_PAÍSES">Planilha2!$T$2:$T$242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G47" i="1" s="1"/>
  <c r="E46" i="1"/>
  <c r="G46" i="1" s="1"/>
  <c r="E45" i="1"/>
  <c r="E44" i="1"/>
  <c r="E43" i="1"/>
  <c r="E42" i="1"/>
  <c r="G42" i="1" s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G13" i="1" s="1"/>
  <c r="G50" i="1"/>
  <c r="G24" i="1"/>
  <c r="G51" i="1" l="1"/>
  <c r="G44" i="1"/>
  <c r="E67" i="1" l="1"/>
  <c r="A1" i="1"/>
  <c r="G19" i="1"/>
  <c r="G53" i="1"/>
  <c r="G52" i="1"/>
  <c r="M66" i="1"/>
  <c r="C66" i="1"/>
  <c r="G59" i="1"/>
  <c r="G58" i="1"/>
  <c r="G57" i="1"/>
  <c r="G56" i="1"/>
  <c r="G55" i="1"/>
  <c r="G54" i="1"/>
  <c r="G45" i="1" l="1"/>
  <c r="G43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18" i="1"/>
  <c r="J1" i="1"/>
  <c r="G20" i="1" l="1"/>
  <c r="G15" i="1" l="1"/>
  <c r="G16" i="1"/>
  <c r="G17" i="1"/>
  <c r="G14" i="1"/>
  <c r="G48" i="1"/>
  <c r="G49" i="1"/>
  <c r="J62" i="1" l="1"/>
  <c r="F22" i="1" s="1"/>
  <c r="F19" i="1" l="1"/>
  <c r="F26" i="1"/>
  <c r="F35" i="1"/>
  <c r="F41" i="1"/>
  <c r="F13" i="1"/>
  <c r="F46" i="1"/>
  <c r="F14" i="1"/>
  <c r="F52" i="1"/>
  <c r="F36" i="1"/>
  <c r="F30" i="1"/>
  <c r="F24" i="1"/>
  <c r="F31" i="1"/>
  <c r="F57" i="1"/>
  <c r="F42" i="1"/>
  <c r="C62" i="1"/>
  <c r="F53" i="1"/>
  <c r="F56" i="1"/>
  <c r="F37" i="1"/>
  <c r="F29" i="1"/>
  <c r="F49" i="1"/>
  <c r="F34" i="1"/>
  <c r="F20" i="1"/>
  <c r="F15" i="1"/>
  <c r="F17" i="1"/>
  <c r="F28" i="1"/>
  <c r="F38" i="1"/>
  <c r="F32" i="1"/>
  <c r="F48" i="1"/>
  <c r="F51" i="1"/>
  <c r="F58" i="1"/>
  <c r="F21" i="1"/>
  <c r="F27" i="1"/>
  <c r="F18" i="1"/>
  <c r="F40" i="1"/>
  <c r="F55" i="1"/>
  <c r="F59" i="1"/>
  <c r="F50" i="1"/>
  <c r="F44" i="1"/>
  <c r="F33" i="1"/>
  <c r="C63" i="1"/>
  <c r="F47" i="1"/>
  <c r="F54" i="1"/>
  <c r="F25" i="1"/>
  <c r="F43" i="1"/>
  <c r="F16" i="1"/>
  <c r="F45" i="1"/>
</calcChain>
</file>

<file path=xl/sharedStrings.xml><?xml version="1.0" encoding="utf-8"?>
<sst xmlns="http://schemas.openxmlformats.org/spreadsheetml/2006/main" count="457" uniqueCount="414">
  <si>
    <t>Nr.:</t>
  </si>
  <si>
    <t>DADOS DA AMOSTRA COLETADA</t>
  </si>
  <si>
    <t>PARÂMETROS LEGAIS</t>
  </si>
  <si>
    <t>GRUPO</t>
  </si>
  <si>
    <t>Azeite_de_Oliva</t>
  </si>
  <si>
    <t>Azeite_de_Oliva_Refinado</t>
  </si>
  <si>
    <t>Azeite_de_Oliva_Virgem</t>
  </si>
  <si>
    <t>Óleo_de_Bagaço_de_Oliva</t>
  </si>
  <si>
    <t>Óleo_de_Bagaço_de_Oliva_Refinado</t>
  </si>
  <si>
    <t>Auto de Coleta de Amostra (ACA):</t>
  </si>
  <si>
    <t>Laudo do laboratório:</t>
  </si>
  <si>
    <t>Responsável pelo Laudo:</t>
  </si>
  <si>
    <t>Lote:</t>
  </si>
  <si>
    <t>Laboratório:</t>
  </si>
  <si>
    <t>Data:</t>
  </si>
  <si>
    <t>Nr. Laudo:</t>
  </si>
  <si>
    <t>Fiscal:</t>
  </si>
  <si>
    <t>Pericial:</t>
  </si>
  <si>
    <t>Importação:</t>
  </si>
  <si>
    <t>X</t>
  </si>
  <si>
    <t>Finalidade da Classificação:</t>
  </si>
  <si>
    <t>País onde o Laudo foi emitido                                           (Classificação na Importação):</t>
  </si>
  <si>
    <t>Afeganistão</t>
  </si>
  <si>
    <t>África do Sul</t>
  </si>
  <si>
    <t>Albânia</t>
  </si>
  <si>
    <t>Alemanha</t>
  </si>
  <si>
    <t>Andorra</t>
  </si>
  <si>
    <t>Angola</t>
  </si>
  <si>
    <t>Anguilla</t>
  </si>
  <si>
    <t>Antígua e Barbuda</t>
  </si>
  <si>
    <t>Arábia Saudita</t>
  </si>
  <si>
    <t>Argélia</t>
  </si>
  <si>
    <t>Argentina</t>
  </si>
  <si>
    <t>Armênia</t>
  </si>
  <si>
    <t>Aruba</t>
  </si>
  <si>
    <t>Austrália</t>
  </si>
  <si>
    <t>Áustria</t>
  </si>
  <si>
    <t>Azerbaijão</t>
  </si>
  <si>
    <t>Bahamas</t>
  </si>
  <si>
    <t>Bangladesh</t>
  </si>
  <si>
    <t>Barbados</t>
  </si>
  <si>
    <t>Barein</t>
  </si>
  <si>
    <t>Bélgica</t>
  </si>
  <si>
    <t>Belize</t>
  </si>
  <si>
    <t>Benin</t>
  </si>
  <si>
    <t>Bermuda</t>
  </si>
  <si>
    <t>Bielorússia</t>
  </si>
  <si>
    <t>Bolívia</t>
  </si>
  <si>
    <t>Bonaire, Santo Eustáquio e Saba</t>
  </si>
  <si>
    <t>Bósnia-Herzegovina</t>
  </si>
  <si>
    <t>Botsuana</t>
  </si>
  <si>
    <t>Brasil</t>
  </si>
  <si>
    <t>Brunei</t>
  </si>
  <si>
    <t>Bulgária</t>
  </si>
  <si>
    <t>Burkina Faso</t>
  </si>
  <si>
    <t>Burundi</t>
  </si>
  <si>
    <t>Butão</t>
  </si>
  <si>
    <t>Cabo Verde</t>
  </si>
  <si>
    <t>Camarões</t>
  </si>
  <si>
    <t>Camboja</t>
  </si>
  <si>
    <t>Canadá</t>
  </si>
  <si>
    <t>Casaquistão</t>
  </si>
  <si>
    <t>Catar</t>
  </si>
  <si>
    <t>Chade</t>
  </si>
  <si>
    <t>Chile</t>
  </si>
  <si>
    <t>China</t>
  </si>
  <si>
    <t>China, Hong Kong</t>
  </si>
  <si>
    <t>China, Macao</t>
  </si>
  <si>
    <t>Chipre</t>
  </si>
  <si>
    <t>Cingapura</t>
  </si>
  <si>
    <t>Colômbia</t>
  </si>
  <si>
    <t>Comores</t>
  </si>
  <si>
    <t>Congo</t>
  </si>
  <si>
    <t>Coréia do Norte</t>
  </si>
  <si>
    <t>Coréia do Sul</t>
  </si>
  <si>
    <t>Costa do Marfim</t>
  </si>
  <si>
    <t>Costa Rica</t>
  </si>
  <si>
    <t>Croácia</t>
  </si>
  <si>
    <t>Cuba</t>
  </si>
  <si>
    <t>Curaçao</t>
  </si>
  <si>
    <t>Dinamarca</t>
  </si>
  <si>
    <t>Djibouti</t>
  </si>
  <si>
    <t>Dominica</t>
  </si>
  <si>
    <t>Egito</t>
  </si>
  <si>
    <t>El Salvador</t>
  </si>
  <si>
    <t>Emirados Árabes Unidos</t>
  </si>
  <si>
    <t>Equador</t>
  </si>
  <si>
    <t>Eritréia</t>
  </si>
  <si>
    <t>Eslováquia</t>
  </si>
  <si>
    <t>Eslovênia</t>
  </si>
  <si>
    <t>Espanha</t>
  </si>
  <si>
    <t>Estados Unidos da América</t>
  </si>
  <si>
    <t>Estônia</t>
  </si>
  <si>
    <t>Etiópia</t>
  </si>
  <si>
    <t>Fiji</t>
  </si>
  <si>
    <t>Filipinas</t>
  </si>
  <si>
    <t>Finlândia</t>
  </si>
  <si>
    <t>França</t>
  </si>
  <si>
    <t>Gabão</t>
  </si>
  <si>
    <t>Gâmbia</t>
  </si>
  <si>
    <t>Gana</t>
  </si>
  <si>
    <t>Geórgia</t>
  </si>
  <si>
    <t>Gibraltar</t>
  </si>
  <si>
    <t>Granada</t>
  </si>
  <si>
    <t>Grécia</t>
  </si>
  <si>
    <t>Groenlândia</t>
  </si>
  <si>
    <t>Guam</t>
  </si>
  <si>
    <t>Guatemala</t>
  </si>
  <si>
    <t>Guernsey</t>
  </si>
  <si>
    <t>Guiana</t>
  </si>
  <si>
    <t>Guiana Francesa</t>
  </si>
  <si>
    <t>Guiné</t>
  </si>
  <si>
    <t>Guiné Equatorial</t>
  </si>
  <si>
    <t>Guiné-Bissau</t>
  </si>
  <si>
    <t>Haiti</t>
  </si>
  <si>
    <t>Holanda</t>
  </si>
  <si>
    <t>Honduras</t>
  </si>
  <si>
    <t>Hungria</t>
  </si>
  <si>
    <t>Iêmen</t>
  </si>
  <si>
    <t>Ilha de Man</t>
  </si>
  <si>
    <t>Ilha Guadalupe</t>
  </si>
  <si>
    <t>Ilha Norfolk</t>
  </si>
  <si>
    <t>Ilha Reunião</t>
  </si>
  <si>
    <t>Ilhas Alanda</t>
  </si>
  <si>
    <t>Ilhas Cayman</t>
  </si>
  <si>
    <t>Ilhas Cook</t>
  </si>
  <si>
    <t>Ilhas do Canal</t>
  </si>
  <si>
    <t>Ilhas Faeroe</t>
  </si>
  <si>
    <t>Ilhas Falkland</t>
  </si>
  <si>
    <t>Ilhas Marianas</t>
  </si>
  <si>
    <t>Ilhas Marshall</t>
  </si>
  <si>
    <t>Ilhas Salomão</t>
  </si>
  <si>
    <t>Ilhas Turks e Caicos</t>
  </si>
  <si>
    <t>Ilhas Virgens</t>
  </si>
  <si>
    <t>Ilhas Virgens Britânicas</t>
  </si>
  <si>
    <t>Ilhas Wallis e Futuna</t>
  </si>
  <si>
    <t>Índia</t>
  </si>
  <si>
    <t>Indonésia</t>
  </si>
  <si>
    <t>Irã</t>
  </si>
  <si>
    <t>Iraque</t>
  </si>
  <si>
    <t>Irlanda</t>
  </si>
  <si>
    <t>Islândia</t>
  </si>
  <si>
    <t>Israel</t>
  </si>
  <si>
    <t>Itália</t>
  </si>
  <si>
    <t>Jamaica</t>
  </si>
  <si>
    <t>Japão</t>
  </si>
  <si>
    <t>Jersey</t>
  </si>
  <si>
    <t>Jordânia</t>
  </si>
  <si>
    <t>Kiribati</t>
  </si>
  <si>
    <t>Kuwait</t>
  </si>
  <si>
    <t>Laos</t>
  </si>
  <si>
    <t>Lesoto</t>
  </si>
  <si>
    <t>Letônia</t>
  </si>
  <si>
    <t>Líbano</t>
  </si>
  <si>
    <t>Libéria</t>
  </si>
  <si>
    <t>Líbia</t>
  </si>
  <si>
    <t>Liechtenstein</t>
  </si>
  <si>
    <t>Lituânia</t>
  </si>
  <si>
    <t>Luxemburgo</t>
  </si>
  <si>
    <t>Macedônia</t>
  </si>
  <si>
    <t>Madagáscar</t>
  </si>
  <si>
    <t>Malásia</t>
  </si>
  <si>
    <t>Malauí</t>
  </si>
  <si>
    <t>Maldivas</t>
  </si>
  <si>
    <t>Mali</t>
  </si>
  <si>
    <t>Malta</t>
  </si>
  <si>
    <t>Marrocos</t>
  </si>
  <si>
    <t>Martinica</t>
  </si>
  <si>
    <t>Maurício</t>
  </si>
  <si>
    <t>Mauritânia</t>
  </si>
  <si>
    <t>Mayotte</t>
  </si>
  <si>
    <t>México</t>
  </si>
  <si>
    <t>Mianma</t>
  </si>
  <si>
    <t>Micronésia</t>
  </si>
  <si>
    <t>Moçambique</t>
  </si>
  <si>
    <t>Moldávia</t>
  </si>
  <si>
    <t>Mônaco</t>
  </si>
  <si>
    <t>Mongólia</t>
  </si>
  <si>
    <t>Montenegro</t>
  </si>
  <si>
    <t>Montserrat</t>
  </si>
  <si>
    <t>Namíbia</t>
  </si>
  <si>
    <t>Nauru</t>
  </si>
  <si>
    <t>Nepal</t>
  </si>
  <si>
    <t>Nicarágua</t>
  </si>
  <si>
    <t>Níger</t>
  </si>
  <si>
    <t>Nigéria</t>
  </si>
  <si>
    <t>Niue</t>
  </si>
  <si>
    <t>Noruega</t>
  </si>
  <si>
    <t>Nova Caledônia</t>
  </si>
  <si>
    <t>Nova Zelândia</t>
  </si>
  <si>
    <t>Omã</t>
  </si>
  <si>
    <t>Palau</t>
  </si>
  <si>
    <t>Palestina</t>
  </si>
  <si>
    <t>Panamá</t>
  </si>
  <si>
    <t>Papua Nova Guiné</t>
  </si>
  <si>
    <t>Paquistão</t>
  </si>
  <si>
    <t>Paraguai</t>
  </si>
  <si>
    <t>Peru</t>
  </si>
  <si>
    <t>Pitcairn</t>
  </si>
  <si>
    <t>Polinésia Francesa</t>
  </si>
  <si>
    <t>Polônia</t>
  </si>
  <si>
    <t>Porto Rico</t>
  </si>
  <si>
    <t>Portugal</t>
  </si>
  <si>
    <t>Quênia</t>
  </si>
  <si>
    <t>Quirguistão</t>
  </si>
  <si>
    <t>Reino Unido</t>
  </si>
  <si>
    <t>República Centro Africana</t>
  </si>
  <si>
    <t>República Democrática do Congo</t>
  </si>
  <si>
    <t>República Dominicana</t>
  </si>
  <si>
    <t>República Tcheca</t>
  </si>
  <si>
    <t>Romênia</t>
  </si>
  <si>
    <t>Ruanda</t>
  </si>
  <si>
    <t>Rússia (Federação Russa)</t>
  </si>
  <si>
    <t>Saara Ocidental</t>
  </si>
  <si>
    <t>Saint Martin (parte francesa)</t>
  </si>
  <si>
    <t>Saint Martin (parte holandesa)</t>
  </si>
  <si>
    <t>Saint Pierre e Miquelon</t>
  </si>
  <si>
    <t>Samoa</t>
  </si>
  <si>
    <t>Samoa Americana</t>
  </si>
  <si>
    <t>San Marino</t>
  </si>
  <si>
    <t>Santa Helena</t>
  </si>
  <si>
    <t>Santa Lúcia</t>
  </si>
  <si>
    <t>São Bartolomeu</t>
  </si>
  <si>
    <t>São Cristóvão e Nevis</t>
  </si>
  <si>
    <t>São Tome e Príncipe</t>
  </si>
  <si>
    <t>São Vicente e Granadinas</t>
  </si>
  <si>
    <t>Sark</t>
  </si>
  <si>
    <t>Seichelles</t>
  </si>
  <si>
    <t>Senegal</t>
  </si>
  <si>
    <t>Serra Leoa</t>
  </si>
  <si>
    <t>Sérvia</t>
  </si>
  <si>
    <t>Síria</t>
  </si>
  <si>
    <t>Somália</t>
  </si>
  <si>
    <t>Sri Lanka</t>
  </si>
  <si>
    <t>Suazilândia</t>
  </si>
  <si>
    <t>Sudão do Sul</t>
  </si>
  <si>
    <t>Sudão</t>
  </si>
  <si>
    <t>Suécia</t>
  </si>
  <si>
    <t>Suíça</t>
  </si>
  <si>
    <t>Suriname</t>
  </si>
  <si>
    <t>Svalbard e Jan Mayen Islands</t>
  </si>
  <si>
    <t>Tadjiquistão</t>
  </si>
  <si>
    <t>Tailândia</t>
  </si>
  <si>
    <t>Tanzânia</t>
  </si>
  <si>
    <t>Timor Leste</t>
  </si>
  <si>
    <t>Togo</t>
  </si>
  <si>
    <t>Tokelau</t>
  </si>
  <si>
    <t>Tonga</t>
  </si>
  <si>
    <t>Trinidad e Tobago</t>
  </si>
  <si>
    <t>Tunísia</t>
  </si>
  <si>
    <t>Turcomenistão</t>
  </si>
  <si>
    <t>Turquia</t>
  </si>
  <si>
    <t>Tuvalu</t>
  </si>
  <si>
    <t>Ucrânia</t>
  </si>
  <si>
    <t>Uganda</t>
  </si>
  <si>
    <t>Uruguai</t>
  </si>
  <si>
    <t>Uzbequistão</t>
  </si>
  <si>
    <t>Vanuatu</t>
  </si>
  <si>
    <t>Vaticano</t>
  </si>
  <si>
    <t>Venezuela</t>
  </si>
  <si>
    <t>Vietnã</t>
  </si>
  <si>
    <t>Zâmbia</t>
  </si>
  <si>
    <t>Zimbábue</t>
  </si>
  <si>
    <t>LISTA_PAÍSES</t>
  </si>
  <si>
    <t>Azeite de Oliva Virgem</t>
  </si>
  <si>
    <t>Azeite de Oliva</t>
  </si>
  <si>
    <t>Azeite de Oliva Refinado</t>
  </si>
  <si>
    <t>Óleo de Bagaço de Oliva</t>
  </si>
  <si>
    <t>Óleo de Bagaço de Oliva Refinado</t>
  </si>
  <si>
    <t>AOV</t>
  </si>
  <si>
    <t>AO</t>
  </si>
  <si>
    <t>AOR</t>
  </si>
  <si>
    <t>OBO</t>
  </si>
  <si>
    <t>OBR</t>
  </si>
  <si>
    <t>Parâmetro Analisado</t>
  </si>
  <si>
    <t>Resultado</t>
  </si>
  <si>
    <t>Incerteza Resultado</t>
  </si>
  <si>
    <t>Resultado Considerado</t>
  </si>
  <si>
    <t>Classificação</t>
  </si>
  <si>
    <t>Grupo</t>
  </si>
  <si>
    <t>Tipo</t>
  </si>
  <si>
    <t>TIPO</t>
  </si>
  <si>
    <t>Extra Virgem</t>
  </si>
  <si>
    <t>Virgem</t>
  </si>
  <si>
    <t>Lampante</t>
  </si>
  <si>
    <t>Único</t>
  </si>
  <si>
    <t>Anexo I</t>
  </si>
  <si>
    <t>Acidez Livre (%)</t>
  </si>
  <si>
    <t>Índice de Peróxidos (mEq/kg)</t>
  </si>
  <si>
    <t>Ext. Específica em UV K270</t>
  </si>
  <si>
    <t>Ext. Específica em UV Delta K</t>
  </si>
  <si>
    <t>Ext. Específica em UV K232</t>
  </si>
  <si>
    <t>≤ 0,80</t>
  </si>
  <si>
    <t>≤ 2,00</t>
  </si>
  <si>
    <t>&gt; 2,00</t>
  </si>
  <si>
    <t>≤ 1,00</t>
  </si>
  <si>
    <t>≤ 0,30</t>
  </si>
  <si>
    <t>≤ 20,0</t>
  </si>
  <si>
    <t>*</t>
  </si>
  <si>
    <t>≤ 15,00</t>
  </si>
  <si>
    <t>≤ 5,00</t>
  </si>
  <si>
    <t>≤ 0,22</t>
  </si>
  <si>
    <t>≤ 0,25</t>
  </si>
  <si>
    <t>≤ 0,90</t>
  </si>
  <si>
    <t>≤ 1,10</t>
  </si>
  <si>
    <t>≤ 1,70</t>
  </si>
  <si>
    <t>≤ 0,01</t>
  </si>
  <si>
    <t>≤ 0,15</t>
  </si>
  <si>
    <t>≤ 0,16</t>
  </si>
  <si>
    <t>≤ 0,18</t>
  </si>
  <si>
    <t>≤ 0,20</t>
  </si>
  <si>
    <t>≤ 2,50</t>
  </si>
  <si>
    <t>≤ 2,60</t>
  </si>
  <si>
    <t>=0</t>
  </si>
  <si>
    <t>&gt;0≤ 3,50</t>
  </si>
  <si>
    <t>&gt;3,50</t>
  </si>
  <si>
    <t>&gt;0</t>
  </si>
  <si>
    <t>Anexo II</t>
  </si>
  <si>
    <t>Mediana do defeito (Md)</t>
  </si>
  <si>
    <t>Mediana do frutado (Mf)</t>
  </si>
  <si>
    <t>Estigmastadienos (mg/kg)</t>
  </si>
  <si>
    <t>Ceras (mg/kg)</t>
  </si>
  <si>
    <t>Diferença do ECN 42</t>
  </si>
  <si>
    <t>≤ 0,50</t>
  </si>
  <si>
    <t>≤ 250</t>
  </si>
  <si>
    <t>≤ 300</t>
  </si>
  <si>
    <t>≤ 350</t>
  </si>
  <si>
    <t>&gt;350</t>
  </si>
  <si>
    <t>≤ 0,2</t>
  </si>
  <si>
    <t>≤ 0,3</t>
  </si>
  <si>
    <t>≤ 0,5</t>
  </si>
  <si>
    <t>18:1t (%) Oléico trans</t>
  </si>
  <si>
    <t>18:2t + 18:3t (%) trans</t>
  </si>
  <si>
    <t>C14:0 (%) Mirístico</t>
  </si>
  <si>
    <t>C16:0 (%) Palmítico</t>
  </si>
  <si>
    <t>C16:1 (%) Palmitoléico</t>
  </si>
  <si>
    <t>C17:0 (%) Margárico</t>
  </si>
  <si>
    <t>C17:1 (%) Cis-Heptadecenóico</t>
  </si>
  <si>
    <t>C18:0 (%) Esteárico</t>
  </si>
  <si>
    <t>C18:1 (%) Oléico</t>
  </si>
  <si>
    <t>C18:2 (%) Linoléico</t>
  </si>
  <si>
    <t>C18:3 (%) Linolênico</t>
  </si>
  <si>
    <t>C20:0 (%) Araquídico</t>
  </si>
  <si>
    <t>C20:1 (%) Gadoléico</t>
  </si>
  <si>
    <t>C22:0 (%) Behênico</t>
  </si>
  <si>
    <t>C24:0 (%) Lignocérico</t>
  </si>
  <si>
    <t>≤ 0,05</t>
  </si>
  <si>
    <t>≤ 0,10</t>
  </si>
  <si>
    <t>≤ 0,40</t>
  </si>
  <si>
    <t>≤ 0,35</t>
  </si>
  <si>
    <t>7,5 a 20,0</t>
  </si>
  <si>
    <t>0,3 a 3,5</t>
  </si>
  <si>
    <t>0,5 a 5,0</t>
  </si>
  <si>
    <t>55,0 a 83,0</t>
  </si>
  <si>
    <t>3,5 a 21,0</t>
  </si>
  <si>
    <t>≤ 1,0</t>
  </si>
  <si>
    <t>≤ 0,6</t>
  </si>
  <si>
    <t>≤ 0,4</t>
  </si>
  <si>
    <t>Composição de esteróis:</t>
  </si>
  <si>
    <t>Colesterol (%)</t>
  </si>
  <si>
    <t>Campesterol  (%)</t>
  </si>
  <si>
    <t>Estigmasterol  (%)</t>
  </si>
  <si>
    <t>Brassicasterol  (%)</t>
  </si>
  <si>
    <t>ß-sitosterol + ∆-5,23-estigmastadienol + Clerosterol + ß-sitotanol + ∆-5-avenasterol + ∆-5,24-estigmastadienol</t>
  </si>
  <si>
    <t>7-estigmastenol  (%)</t>
  </si>
  <si>
    <t>Eritrodiol e Uvaol  (%)</t>
  </si>
  <si>
    <t>Esteróis Totais  (mg/kg)</t>
  </si>
  <si>
    <t>≤ 4,0</t>
  </si>
  <si>
    <t>Menor que o observado para o Campesterol</t>
  </si>
  <si>
    <t>≤ 0,1</t>
  </si>
  <si>
    <t>≥93,0</t>
  </si>
  <si>
    <t>≤ 4,5</t>
  </si>
  <si>
    <t>≥4,5</t>
  </si>
  <si>
    <t>≥1000</t>
  </si>
  <si>
    <t>≥1600</t>
  </si>
  <si>
    <t>≥1800</t>
  </si>
  <si>
    <t>Anexo III</t>
  </si>
  <si>
    <t>∑ EMAG + EEAG (mg/kg)</t>
  </si>
  <si>
    <t>EEAG/EMAG</t>
  </si>
  <si>
    <t>Índice de refração (Raia D a 20oC)</t>
  </si>
  <si>
    <t>Índice de saponificação (mgKOH/g)</t>
  </si>
  <si>
    <t>Umidade e material volátil (%)</t>
  </si>
  <si>
    <t>Material Insaponificável (g/kg)</t>
  </si>
  <si>
    <t>Impurezas Insolúveis</t>
  </si>
  <si>
    <t>Índice de iodo (Wijs)</t>
  </si>
  <si>
    <t>Teor de Arsênio (mg/kg)</t>
  </si>
  <si>
    <t>Teor de Chumbo (mg/kg)</t>
  </si>
  <si>
    <t>Teor de Ferro (mg/kg)</t>
  </si>
  <si>
    <t>Teor de Cobre (mg/kg)</t>
  </si>
  <si>
    <t>≤ 75</t>
  </si>
  <si>
    <t>≤ 1,5</t>
  </si>
  <si>
    <t>1,4677 a 1,4705</t>
  </si>
  <si>
    <t>1,4680 a 1,4707</t>
  </si>
  <si>
    <t>184 a 196</t>
  </si>
  <si>
    <t>182 a 193</t>
  </si>
  <si>
    <t>≤15</t>
  </si>
  <si>
    <t>≤ 30</t>
  </si>
  <si>
    <t>75 a 94</t>
  </si>
  <si>
    <t>75 a 92</t>
  </si>
  <si>
    <t>≤ 3</t>
  </si>
  <si>
    <t>Anexo IV</t>
  </si>
  <si>
    <r>
      <rPr>
        <b/>
        <sz val="10"/>
        <color theme="1"/>
        <rFont val="Calibri"/>
        <family val="2"/>
        <scheme val="minor"/>
      </rPr>
      <t xml:space="preserve">  Legenda:</t>
    </r>
    <r>
      <rPr>
        <sz val="10"/>
        <color theme="1"/>
        <rFont val="Calibri"/>
        <family val="2"/>
        <scheme val="minor"/>
      </rPr>
      <t xml:space="preserve"> ND = não detectado; NQ = não quantificado; NR = não realizado; * = não se aplica.</t>
    </r>
  </si>
  <si>
    <t>Norma Utilizada:</t>
  </si>
  <si>
    <t>Grupo:</t>
  </si>
  <si>
    <t>Conclusão:</t>
  </si>
  <si>
    <t>** Observações:</t>
  </si>
  <si>
    <t>Local de data do Laudo</t>
  </si>
  <si>
    <t>Instrução Normativa 01 de 30 de janeiro de 2012 do Ministério da Agricultura Pecuária e Abastecimento (DOU - Seção 1, nr.23 de 01/02/12).</t>
  </si>
  <si>
    <t>Tipo:</t>
  </si>
  <si>
    <t>Identificação do Classificador:</t>
  </si>
  <si>
    <t>Assinatura:</t>
  </si>
  <si>
    <t>Composição dos ácidos graxos:</t>
  </si>
  <si>
    <t>Nome e Sobrenome</t>
  </si>
  <si>
    <t>Registro como classificador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</si>
</sst>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F800]dddd\,\ mmmm\ dd\,\ yyyy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8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left" vertical="center" wrapText="1"/>
      <protection hidden="1"/>
    </xf>
    <xf numFmtId="0" fontId="6" fillId="2" borderId="12" xfId="0" applyFont="1" applyFill="1" applyBorder="1" applyAlignment="1" applyProtection="1">
      <alignment horizontal="left" vertical="center" wrapText="1"/>
      <protection hidden="1"/>
    </xf>
    <xf numFmtId="0" fontId="6" fillId="2" borderId="5" xfId="0" applyFont="1" applyFill="1" applyBorder="1" applyAlignment="1" applyProtection="1">
      <alignment vertical="center" wrapText="1"/>
      <protection hidden="1"/>
    </xf>
    <xf numFmtId="0" fontId="6" fillId="2" borderId="8" xfId="0" applyFont="1" applyFill="1" applyBorder="1" applyAlignment="1" applyProtection="1">
      <alignment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right" vertical="center" wrapText="1"/>
      <protection hidden="1"/>
    </xf>
    <xf numFmtId="0" fontId="1" fillId="2" borderId="9" xfId="0" applyFont="1" applyFill="1" applyBorder="1" applyAlignment="1" applyProtection="1">
      <alignment horizontal="right" vertical="center" wrapText="1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 applyProtection="1">
      <alignment horizontal="right" vertical="center" wrapText="1"/>
      <protection hidden="1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12" xfId="0" applyFont="1" applyBorder="1" applyAlignment="1" applyProtection="1">
      <alignment horizont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textRotation="255" wrapText="1"/>
      <protection hidden="1"/>
    </xf>
    <xf numFmtId="0" fontId="2" fillId="2" borderId="10" xfId="0" applyFont="1" applyFill="1" applyBorder="1" applyAlignment="1" applyProtection="1">
      <alignment horizontal="center" vertical="center" textRotation="255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0" fontId="10" fillId="2" borderId="6" xfId="0" applyFont="1" applyFill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wrapText="1"/>
      <protection hidden="1"/>
    </xf>
    <xf numFmtId="0" fontId="1" fillId="0" borderId="13" xfId="0" applyFont="1" applyBorder="1" applyAlignment="1" applyProtection="1">
      <alignment horizont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textRotation="255" wrapText="1"/>
      <protection hidden="1"/>
    </xf>
    <xf numFmtId="0" fontId="9" fillId="2" borderId="15" xfId="0" applyFont="1" applyFill="1" applyBorder="1" applyAlignment="1" applyProtection="1">
      <alignment horizontal="center" vertical="center" textRotation="255" wrapText="1"/>
      <protection hidden="1"/>
    </xf>
    <xf numFmtId="0" fontId="6" fillId="2" borderId="7" xfId="0" applyFont="1" applyFill="1" applyBorder="1" applyAlignment="1" applyProtection="1">
      <alignment horizontal="center" vertical="center" textRotation="255" wrapText="1"/>
      <protection hidden="1"/>
    </xf>
    <xf numFmtId="0" fontId="6" fillId="2" borderId="10" xfId="0" applyFont="1" applyFill="1" applyBorder="1" applyAlignment="1" applyProtection="1">
      <alignment horizontal="center" vertical="center" textRotation="255" wrapText="1"/>
      <protection hidden="1"/>
    </xf>
    <xf numFmtId="0" fontId="6" fillId="2" borderId="11" xfId="0" applyFont="1" applyFill="1" applyBorder="1" applyAlignment="1" applyProtection="1">
      <alignment horizontal="center" vertical="center" textRotation="255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 wrapText="1"/>
      <protection hidden="1"/>
    </xf>
    <xf numFmtId="0" fontId="3" fillId="2" borderId="16" xfId="0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2" fillId="2" borderId="8" xfId="0" applyFont="1" applyFill="1" applyBorder="1" applyAlignment="1" applyProtection="1">
      <alignment horizontal="right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0" fontId="1" fillId="2" borderId="1" xfId="0" applyFont="1" applyFill="1" applyBorder="1" applyAlignment="1" applyProtection="1">
      <alignment horizontal="right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1" fillId="0" borderId="1" xfId="0" applyFont="1" applyBorder="1" applyAlignment="1" applyProtection="1">
      <alignment horizontal="left" vertical="center" wrapText="1" indent="1"/>
      <protection hidden="1"/>
    </xf>
    <xf numFmtId="0" fontId="11" fillId="0" borderId="6" xfId="0" applyFont="1" applyBorder="1" applyAlignment="1" applyProtection="1">
      <alignment horizontal="left" vertical="center" wrapText="1" indent="1"/>
      <protection hidden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hidden="1"/>
    </xf>
    <xf numFmtId="0" fontId="11" fillId="0" borderId="21" xfId="0" applyFont="1" applyBorder="1" applyAlignment="1" applyProtection="1">
      <alignment horizontal="right" vertical="center" wrapText="1"/>
      <protection hidden="1"/>
    </xf>
    <xf numFmtId="14" fontId="11" fillId="0" borderId="21" xfId="0" applyNumberFormat="1" applyFont="1" applyBorder="1" applyAlignment="1">
      <alignment horizontal="left" vertical="center" wrapText="1"/>
    </xf>
    <xf numFmtId="14" fontId="11" fillId="0" borderId="22" xfId="0" applyNumberFormat="1" applyFon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  <protection hidden="1"/>
    </xf>
    <xf numFmtId="0" fontId="12" fillId="0" borderId="21" xfId="0" applyFont="1" applyBorder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 vertical="center" wrapText="1"/>
      <protection hidden="1"/>
    </xf>
    <xf numFmtId="0" fontId="4" fillId="2" borderId="14" xfId="0" applyFont="1" applyFill="1" applyBorder="1" applyAlignment="1" applyProtection="1">
      <alignment horizontal="left" vertical="center" wrapText="1"/>
      <protection hidden="1"/>
    </xf>
    <xf numFmtId="0" fontId="4" fillId="2" borderId="8" xfId="0" applyFont="1" applyFill="1" applyBorder="1" applyAlignment="1" applyProtection="1">
      <alignment horizontal="left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6" xfId="0" applyFont="1" applyFill="1" applyBorder="1" applyAlignment="1" applyProtection="1">
      <alignment horizontal="right" vertical="center" wrapText="1"/>
      <protection hidden="1"/>
    </xf>
    <xf numFmtId="0" fontId="3" fillId="2" borderId="12" xfId="0" applyFont="1" applyFill="1" applyBorder="1" applyAlignment="1" applyProtection="1">
      <alignment horizontal="right" vertical="center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21" xfId="0" applyFont="1" applyBorder="1" applyAlignment="1" applyProtection="1">
      <alignment horizontal="right" vertical="center" wrapText="1"/>
      <protection locked="0"/>
    </xf>
    <xf numFmtId="165" fontId="11" fillId="0" borderId="21" xfId="0" applyNumberFormat="1" applyFont="1" applyBorder="1" applyAlignment="1" applyProtection="1">
      <alignment horizontal="left" vertical="center" wrapText="1"/>
      <protection hidden="1"/>
    </xf>
    <xf numFmtId="165" fontId="11" fillId="0" borderId="22" xfId="0" applyNumberFormat="1" applyFont="1" applyBorder="1" applyAlignment="1" applyProtection="1">
      <alignment horizontal="left" vertical="center" wrapText="1"/>
      <protection hidden="1"/>
    </xf>
    <xf numFmtId="0" fontId="11" fillId="2" borderId="15" xfId="0" applyFont="1" applyFill="1" applyBorder="1" applyAlignment="1" applyProtection="1">
      <alignment horizontal="right" vertical="center" wrapText="1"/>
      <protection hidden="1"/>
    </xf>
    <xf numFmtId="0" fontId="11" fillId="2" borderId="12" xfId="0" applyFont="1" applyFill="1" applyBorder="1" applyAlignment="1" applyProtection="1">
      <alignment horizontal="right" vertical="center" wrapText="1"/>
      <protection hidden="1"/>
    </xf>
    <xf numFmtId="0" fontId="11" fillId="0" borderId="25" xfId="0" applyFont="1" applyBorder="1" applyAlignment="1" applyProtection="1">
      <alignment horizontal="center" wrapText="1"/>
      <protection locked="0"/>
    </xf>
    <xf numFmtId="0" fontId="11" fillId="0" borderId="27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8AEE-DAB6-4854-A040-9E2F573354D4}">
  <sheetPr>
    <pageSetUpPr fitToPage="1"/>
  </sheetPr>
  <dimension ref="A1:N69"/>
  <sheetViews>
    <sheetView showGridLines="0" tabSelected="1" view="pageBreakPreview" topLeftCell="A20" zoomScaleNormal="100" zoomScaleSheetLayoutView="100" workbookViewId="0">
      <selection activeCell="C42" sqref="C42"/>
    </sheetView>
  </sheetViews>
  <sheetFormatPr defaultRowHeight="14.4" x14ac:dyDescent="0.3"/>
  <cols>
    <col min="1" max="1" width="4.109375" style="24" customWidth="1"/>
    <col min="2" max="2" width="21.21875" style="24" customWidth="1"/>
    <col min="3" max="3" width="10.5546875" style="24" customWidth="1"/>
    <col min="4" max="4" width="9.77734375" style="24" customWidth="1"/>
    <col min="5" max="5" width="10.109375" style="24" customWidth="1"/>
    <col min="6" max="6" width="8.21875" style="24" customWidth="1"/>
    <col min="7" max="7" width="30.109375" style="24" customWidth="1"/>
    <col min="8" max="8" width="9.44140625" style="24" customWidth="1"/>
    <col min="9" max="16384" width="8.88671875" style="24"/>
  </cols>
  <sheetData>
    <row r="1" spans="1:14" s="23" customFormat="1" ht="15.6" x14ac:dyDescent="0.3">
      <c r="A1" s="78" t="str">
        <f>IF(AND(E8="x",E9="x"),"SELECIONAR UM DOS TIPOS DE CLASSIFICAÇÃO PARA O LAUDO",IF(AND(E8="x",E10="x"),"SELECIONAR UM DOS TIPOS DE CLASSIFICAÇÃO PARA O LAUDO",IF(AND(E9="x",E10="x"),"SELECIONAR UM DOS TIPOS DE CLASSIFICAÇÃO PARA O LAUDO",IF(AND(E8=0,E9=0,E10=0),"PREENCHER SE O TIPO DE CLASSIFICAÇÃO É FISCAL , PERICIAL OU DE IMPORTAÇÃO",IF(OR(E8="x",E8="X"),"LAUDO DE CLASSIFICAÇÃO FISCAL",IF(OR(E9="x",E9="X"),"LAUDO DE CLASSIFICAÇÃO PERICIAL",IF(OR(E10="x",E10="X"),"LAUDO DE CLASSIFICAÇÃO DE IMPORTAÇÃO")))))))</f>
        <v>LAUDO DE CLASSIFICAÇÃO FISCAL</v>
      </c>
      <c r="B1" s="79"/>
      <c r="C1" s="79"/>
      <c r="D1" s="79"/>
      <c r="E1" s="79"/>
      <c r="F1" s="79"/>
      <c r="G1" s="79"/>
      <c r="H1" s="79"/>
      <c r="I1" s="21" t="s">
        <v>0</v>
      </c>
      <c r="J1" s="80">
        <f>F7</f>
        <v>0</v>
      </c>
      <c r="K1" s="80"/>
      <c r="L1" s="80"/>
      <c r="M1" s="80"/>
      <c r="N1" s="22"/>
    </row>
    <row r="2" spans="1:14" s="23" customFormat="1" x14ac:dyDescent="0.3">
      <c r="A2" s="81" t="s">
        <v>1</v>
      </c>
      <c r="B2" s="82"/>
      <c r="C2" s="82"/>
      <c r="D2" s="82"/>
      <c r="E2" s="82"/>
      <c r="F2" s="82"/>
      <c r="G2" s="82"/>
      <c r="H2" s="82" t="s">
        <v>2</v>
      </c>
      <c r="I2" s="82"/>
      <c r="J2" s="82"/>
      <c r="K2" s="82"/>
      <c r="L2" s="82"/>
      <c r="M2" s="82"/>
      <c r="N2" s="83"/>
    </row>
    <row r="3" spans="1:14" x14ac:dyDescent="0.3">
      <c r="A3" s="84" t="s">
        <v>3</v>
      </c>
      <c r="B3" s="85"/>
      <c r="C3" s="86" t="s">
        <v>6</v>
      </c>
      <c r="D3" s="86"/>
      <c r="E3" s="86"/>
      <c r="F3" s="86"/>
      <c r="G3" s="86"/>
      <c r="H3" s="62" t="s">
        <v>3</v>
      </c>
      <c r="I3" s="62"/>
      <c r="J3" s="62"/>
      <c r="K3" s="62"/>
      <c r="L3" s="62"/>
      <c r="M3" s="62"/>
      <c r="N3" s="87"/>
    </row>
    <row r="4" spans="1:14" s="25" customFormat="1" ht="14.4" customHeight="1" x14ac:dyDescent="0.3">
      <c r="A4" s="88" t="s">
        <v>9</v>
      </c>
      <c r="B4" s="89"/>
      <c r="C4" s="77"/>
      <c r="D4" s="77"/>
      <c r="E4" s="77"/>
      <c r="F4" s="77"/>
      <c r="G4" s="77"/>
      <c r="H4" s="74" t="s">
        <v>264</v>
      </c>
      <c r="I4" s="74"/>
      <c r="J4" s="74"/>
      <c r="K4" s="74" t="s">
        <v>265</v>
      </c>
      <c r="L4" s="74" t="s">
        <v>266</v>
      </c>
      <c r="M4" s="74" t="s">
        <v>267</v>
      </c>
      <c r="N4" s="69" t="s">
        <v>268</v>
      </c>
    </row>
    <row r="5" spans="1:14" s="25" customFormat="1" ht="27.6" x14ac:dyDescent="0.3">
      <c r="A5" s="76" t="s">
        <v>10</v>
      </c>
      <c r="B5" s="75"/>
      <c r="C5" s="77"/>
      <c r="D5" s="77"/>
      <c r="E5" s="26" t="s">
        <v>13</v>
      </c>
      <c r="F5" s="77"/>
      <c r="G5" s="77"/>
      <c r="H5" s="74"/>
      <c r="I5" s="74"/>
      <c r="J5" s="74"/>
      <c r="K5" s="74"/>
      <c r="L5" s="74"/>
      <c r="M5" s="74"/>
      <c r="N5" s="69"/>
    </row>
    <row r="6" spans="1:14" s="25" customFormat="1" x14ac:dyDescent="0.3">
      <c r="A6" s="76" t="s">
        <v>11</v>
      </c>
      <c r="B6" s="75"/>
      <c r="C6" s="77"/>
      <c r="D6" s="77"/>
      <c r="E6" s="77"/>
      <c r="F6" s="26" t="s">
        <v>14</v>
      </c>
      <c r="G6" s="27"/>
      <c r="H6" s="74"/>
      <c r="I6" s="74"/>
      <c r="J6" s="74"/>
      <c r="K6" s="74"/>
      <c r="L6" s="74"/>
      <c r="M6" s="74"/>
      <c r="N6" s="69"/>
    </row>
    <row r="7" spans="1:14" s="25" customFormat="1" x14ac:dyDescent="0.3">
      <c r="A7" s="76" t="s">
        <v>12</v>
      </c>
      <c r="B7" s="75"/>
      <c r="C7" s="77"/>
      <c r="D7" s="77"/>
      <c r="E7" s="26" t="s">
        <v>15</v>
      </c>
      <c r="F7" s="77"/>
      <c r="G7" s="77"/>
      <c r="H7" s="74"/>
      <c r="I7" s="74"/>
      <c r="J7" s="74"/>
      <c r="K7" s="74"/>
      <c r="L7" s="74"/>
      <c r="M7" s="74"/>
      <c r="N7" s="69"/>
    </row>
    <row r="8" spans="1:14" x14ac:dyDescent="0.3">
      <c r="A8" s="76" t="s">
        <v>20</v>
      </c>
      <c r="B8" s="75"/>
      <c r="C8" s="75" t="s">
        <v>16</v>
      </c>
      <c r="D8" s="75"/>
      <c r="E8" s="28" t="s">
        <v>19</v>
      </c>
      <c r="F8" s="71" t="s">
        <v>21</v>
      </c>
      <c r="G8" s="71"/>
      <c r="H8" s="74"/>
      <c r="I8" s="74"/>
      <c r="J8" s="74"/>
      <c r="K8" s="74"/>
      <c r="L8" s="74"/>
      <c r="M8" s="74"/>
      <c r="N8" s="69"/>
    </row>
    <row r="9" spans="1:14" x14ac:dyDescent="0.3">
      <c r="A9" s="76"/>
      <c r="B9" s="75"/>
      <c r="C9" s="75" t="s">
        <v>17</v>
      </c>
      <c r="D9" s="75"/>
      <c r="E9" s="28"/>
      <c r="F9" s="71"/>
      <c r="G9" s="71"/>
      <c r="H9" s="74" t="s">
        <v>269</v>
      </c>
      <c r="I9" s="74"/>
      <c r="J9" s="74"/>
      <c r="K9" s="74" t="s">
        <v>270</v>
      </c>
      <c r="L9" s="74" t="s">
        <v>271</v>
      </c>
      <c r="M9" s="74" t="s">
        <v>272</v>
      </c>
      <c r="N9" s="69" t="s">
        <v>273</v>
      </c>
    </row>
    <row r="10" spans="1:14" x14ac:dyDescent="0.3">
      <c r="A10" s="76"/>
      <c r="B10" s="75"/>
      <c r="C10" s="75" t="s">
        <v>18</v>
      </c>
      <c r="D10" s="75"/>
      <c r="E10" s="28"/>
      <c r="F10" s="77"/>
      <c r="G10" s="77"/>
      <c r="H10" s="74"/>
      <c r="I10" s="74"/>
      <c r="J10" s="74"/>
      <c r="K10" s="74"/>
      <c r="L10" s="74"/>
      <c r="M10" s="74"/>
      <c r="N10" s="69"/>
    </row>
    <row r="11" spans="1:14" x14ac:dyDescent="0.3">
      <c r="A11" s="70" t="s">
        <v>274</v>
      </c>
      <c r="B11" s="71"/>
      <c r="C11" s="71" t="s">
        <v>275</v>
      </c>
      <c r="D11" s="71" t="s">
        <v>276</v>
      </c>
      <c r="E11" s="71" t="s">
        <v>277</v>
      </c>
      <c r="F11" s="71" t="s">
        <v>278</v>
      </c>
      <c r="G11" s="71"/>
      <c r="H11" s="74" t="s">
        <v>281</v>
      </c>
      <c r="I11" s="74"/>
      <c r="J11" s="74"/>
      <c r="K11" s="74"/>
      <c r="L11" s="74"/>
      <c r="M11" s="74"/>
      <c r="N11" s="69"/>
    </row>
    <row r="12" spans="1:14" ht="15" thickBot="1" x14ac:dyDescent="0.35">
      <c r="A12" s="72"/>
      <c r="B12" s="73"/>
      <c r="C12" s="73"/>
      <c r="D12" s="73"/>
      <c r="E12" s="73"/>
      <c r="F12" s="4" t="s">
        <v>279</v>
      </c>
      <c r="G12" s="4" t="s">
        <v>280</v>
      </c>
      <c r="H12" s="29" t="s">
        <v>282</v>
      </c>
      <c r="I12" s="29" t="s">
        <v>283</v>
      </c>
      <c r="J12" s="29" t="s">
        <v>284</v>
      </c>
      <c r="K12" s="29" t="s">
        <v>285</v>
      </c>
      <c r="L12" s="29" t="s">
        <v>285</v>
      </c>
      <c r="M12" s="29" t="s">
        <v>285</v>
      </c>
      <c r="N12" s="30" t="s">
        <v>285</v>
      </c>
    </row>
    <row r="13" spans="1:14" ht="16.8" customHeight="1" x14ac:dyDescent="0.3">
      <c r="A13" s="59" t="s">
        <v>286</v>
      </c>
      <c r="B13" s="5" t="s">
        <v>287</v>
      </c>
      <c r="C13" s="9"/>
      <c r="D13" s="9"/>
      <c r="E13" s="39" t="str">
        <f>IF($C$13="","NR",IF($C$13="ND","ND",IF($C$13="NQ","NQ",IF($C$13="NR","NR",IF($C$13-$D$13&lt;0,0,$C$13-$D$13)))))</f>
        <v>NR</v>
      </c>
      <c r="F13" s="13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13" s="14" t="str">
        <f>IF($C$3="","",IF($E$13="NR","",IF(AND($C$3="Azeite_de_Oliva_Virgem",OR($E$13&lt;=0.8,$E$13="ND",$E$13="NQ")),"Extra Virgem",IF(AND($C$3="Azeite_de_Oliva_Virgem",OR(AND($E$13&gt;0.8,$E$13&lt;2),$E$13=2)),"Virgem",IF(AND($C$3="Azeite_de_Oliva_Virgem",$E$13&gt;2),"Lampante",IF(AND($C$3="Azeite_de_Oliva",OR($E$13=1,$E$13&lt;1,$E$13="ND",$E$13="NQ")),"Único",IF(AND($C$3="Azeite_de_Oliva",$E$13&gt;1),"Fora de Tipo",IF(AND($C$3="Azeite_de_Oliva_Refinado",OR($E$13=0.3,$E$13&lt;0.3,$E$13="ND",$E$13="NQ")),"Único",IF(AND($C$3="Azeite_de_Oliva_Refinado",$E$13&gt;0.3),"Fora de Tipo",IF(AND($C$3="Óleo_de_Bagaço_de_Oliva",OR($E$13=1,$E$13&lt;1,$E$13="ND",$E$13="NQ")),"Único",IF(AND($C$3="Óleo_de_Bagaço_de_Oliva",$E$13&gt;1),"Fora de Tipo",IF(AND($C$3="Óleo_de_Bagaço_de_Oliva_Refinado",OR($E$13=0.3,$E$13&lt;0.3,$E$13="ND",$E$13="NQ")),"Único",IF(AND($C$3="Óleo_de_Bagaço_de_Oliva_Refinado",$E$13&gt;0.3),"Fora de Tipo")))))))))))))</f>
        <v/>
      </c>
      <c r="H13" s="31" t="s">
        <v>292</v>
      </c>
      <c r="I13" s="31" t="s">
        <v>293</v>
      </c>
      <c r="J13" s="31" t="s">
        <v>294</v>
      </c>
      <c r="K13" s="31" t="s">
        <v>295</v>
      </c>
      <c r="L13" s="31" t="s">
        <v>296</v>
      </c>
      <c r="M13" s="31" t="s">
        <v>295</v>
      </c>
      <c r="N13" s="32" t="s">
        <v>296</v>
      </c>
    </row>
    <row r="14" spans="1:14" ht="16.8" customHeight="1" x14ac:dyDescent="0.3">
      <c r="A14" s="60"/>
      <c r="B14" s="2" t="s">
        <v>288</v>
      </c>
      <c r="C14" s="9"/>
      <c r="D14" s="9"/>
      <c r="E14" s="40" t="str">
        <f>IF($C$14="","NR",IF($C$14="ND","ND",IF($C$14="NQ","NQ",IF($C$14="NR","NR",IF($C$14-$D$14&lt;0,0,$C$14-$D$14)))))</f>
        <v>NR</v>
      </c>
      <c r="F14" s="15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14" s="16" t="str">
        <f>IF($C$3="","",IF($G$13="Lampante","*",IF($E$14="NR","",IF(AND($C$3="Azeite_de_Oliva_Virgem",OR($E$14=20,$E$14&lt;20,$E$14="ND",$E$14="NQ")),"Extra Virgem/Virgem",IF(AND($C$3="Azeite_de_Oliva_Virgem",$E$14&gt;20),"Fora de Tipo",IF(AND($C$3="Azeite_de_Oliva",OR($E$14=15,$E$14&lt;15,$E$14="ND",$E$14="NQ")),"Único",IF(AND($C$3="Azeite_de_Oliva",$E$14&gt;15),"Fora de Tipo",IF(AND($C$3="Azeite_de_Oliva_Refinado",OR($E$14=5,$E$14&lt;5,$E$14="ND",$E$14="NQ")),"Único",IF(AND($C$3="Azeite_de_Oliva_Refinado",$E$14&gt;5),"Fora de Tipo",IF(AND($C$3="Óleo_de_Bagaço_de_Oliva",OR($E$14=15,$E$14&lt;15,$E$14="ND",$E$14="NQ")),"Único",IF(AND($C$3="Óleo_de_Bagaço_de_Oliva",$E$14&gt;15),"Fora de Tipo",IF(AND($C$3="Óleo_de_Bagaço_de_Oliva_Refinado",OR($E$14=5,$E$14&lt;5,$E$14="ND",$E$14="NQ")),"Único",IF(AND($C$3="Óleo_de_Bagaço_de_Oliva_Refinado",$E$14&gt;5),"Fora de Tipo")))))))))))))</f>
        <v/>
      </c>
      <c r="H14" s="62" t="s">
        <v>297</v>
      </c>
      <c r="I14" s="62"/>
      <c r="J14" s="33" t="s">
        <v>298</v>
      </c>
      <c r="K14" s="33" t="s">
        <v>299</v>
      </c>
      <c r="L14" s="33" t="s">
        <v>300</v>
      </c>
      <c r="M14" s="33" t="s">
        <v>299</v>
      </c>
      <c r="N14" s="34" t="s">
        <v>300</v>
      </c>
    </row>
    <row r="15" spans="1:14" ht="16.8" customHeight="1" x14ac:dyDescent="0.3">
      <c r="A15" s="60"/>
      <c r="B15" s="2" t="s">
        <v>289</v>
      </c>
      <c r="C15" s="9"/>
      <c r="D15" s="9"/>
      <c r="E15" s="40" t="str">
        <f>IF($C$15="","NR",IF($C$15="ND","ND",IF($C$15="NQ","NQ",IF($C$15="NR","NR",IF($C$15-$D$15&lt;0,0,$C$15-$D$15)))))</f>
        <v>NR</v>
      </c>
      <c r="F15" s="15" t="str">
        <f t="shared" ref="F15:F18" si="0"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15" s="16" t="str">
        <f>IF($C$3="","",IF($G$13="Lampante","*",IF($E$15="NR","",IF(AND($C$3="Azeite_de_Oliva_Virgem",OR($E$15=0.22,$E$15&lt;0.22,$E$15="ND",$E$15="NQ")),"Extra Virgem",IF(AND($C$3="Azeite_de_Oliva_Virgem",OR(AND($E$15&gt;0.22,$E$15&lt;0.25),$E$15=0.25)),"Virgem",IF(AND($C$3="Azeite_de_Oliva_Virgem",$E$15&gt;0.25),"Fora de Tipo",IF(AND($C$3="Azeite_de_Oliva",OR($E$15=0.9,$E$15&lt;0.9,$E$15="ND",$E$15="NQ")),"Único",IF(AND($C$3="Azeite_de_Oliva",$E$15&gt;0.9),"Fora de Tipo",IF(AND($C$3="Azeite_de_Oliva_Refinado",OR($E$15=1.1,$E$15&lt;1.1,$E$15="ND",$E$15="NQ")),"Único",IF(AND($C$3="Azeite_de_Oliva_Refinado",$E$15&gt;1.1),"Fora de Tipo",IF(AND($C$3="Óleo_de_Bagaço_de_Oliva",OR($E$15=1.7,$E$15&lt;1.7,$E$15="ND",,$E$15="NQ")),"Único",IF(AND($C$3="Óleo_de_Bagaço_de_Oliva",$E$15&gt;1.7),"Fora de Tipo",IF(AND($C$3="Óleo_de_Bagaço_de_Oliva_Refinado",OR($E$15=2,$E$15&lt;2,$E$15="ND",$E$15="NQ")),"Único",IF(AND($C$3="Óleo_de_Bagaço_de_Oliva_Refinado",$E$15&gt;2),"Fora de Tipo"))))))))))))))</f>
        <v/>
      </c>
      <c r="H15" s="33" t="s">
        <v>301</v>
      </c>
      <c r="I15" s="33" t="s">
        <v>302</v>
      </c>
      <c r="J15" s="33" t="s">
        <v>298</v>
      </c>
      <c r="K15" s="33" t="s">
        <v>303</v>
      </c>
      <c r="L15" s="33" t="s">
        <v>304</v>
      </c>
      <c r="M15" s="33" t="s">
        <v>305</v>
      </c>
      <c r="N15" s="34" t="s">
        <v>293</v>
      </c>
    </row>
    <row r="16" spans="1:14" ht="16.8" customHeight="1" x14ac:dyDescent="0.3">
      <c r="A16" s="60"/>
      <c r="B16" s="2" t="s">
        <v>290</v>
      </c>
      <c r="C16" s="9"/>
      <c r="D16" s="9"/>
      <c r="E16" s="40" t="str">
        <f>IF($C$16="","NR",IF($C$16="ND","ND",IF($C$16="NQ","NQ",IF($C$16="NR","NR",IF($C$16-$D$16&lt;0,0,$C$16-$D$16)))))</f>
        <v>NR</v>
      </c>
      <c r="F16" s="15" t="str">
        <f t="shared" si="0"/>
        <v>AOV</v>
      </c>
      <c r="G16" s="16" t="str">
        <f>IF($C$3="","",IF($G$13="Lampante","*",IF($E$16="NR","",IF(AND($C$3="Azeite_de_Oliva_Virgem",OR($E$16=0.01,$E$16&lt;0.01,$E$16="ND",$E$16="NQ")),"Extra Virgem/Virgem",IF(AND($C$3="Azeite_de_Oliva_Virgem",$E$16&gt;0.01),"Fora de Tipo",IF(AND($C$3="Azeite_de_Oliva",OR($E$16=0.15,$E$16&lt;0.15,$E$16="ND",$E$16="NQ")),"Único",IF(AND($C$3="Azeite_de_Oliva",$E$16&gt;0.15),"Fora de Tipo",IF(AND($C$3="Azeite_de_Oliva_Refinado",OR($E$16=0.16,$E$16&lt;0.16,$E$16="ND",$E$16="NQ")),"Único",IF(AND($C$3="Azeite_de_Oliva_Refinado",$E$16&gt;0.16),"Fora de Tipo",IF(AND($C$3="Óleo_de_Bagaço_de_Oliva",OR($E$16=0.18,$E$16&lt;0.18,$E$16="ND",$E$16="NQ")),"Único",IF(AND($C$3="Óleo_de_Bagaço_de_Oliva",$E$16&gt;0.18),"Fora de Tipo",IF(AND($C$3="Óleo_de_Bagaço_de_Oliva_Refinado",OR($E$16=0.2,$E$16&lt;0.2,$E$16="ND",$E$16="NQ")),"Único",IF(AND($C$3="Óleo_de_Bagaço_de_Oliva_Refinado",$E$16&gt;0.2),"Fora de Tipo")))))))))))))</f>
        <v/>
      </c>
      <c r="H16" s="63" t="s">
        <v>306</v>
      </c>
      <c r="I16" s="64"/>
      <c r="J16" s="33" t="s">
        <v>298</v>
      </c>
      <c r="K16" s="33" t="s">
        <v>307</v>
      </c>
      <c r="L16" s="33" t="s">
        <v>308</v>
      </c>
      <c r="M16" s="33" t="s">
        <v>309</v>
      </c>
      <c r="N16" s="34" t="s">
        <v>310</v>
      </c>
    </row>
    <row r="17" spans="1:14" ht="16.8" customHeight="1" thickBot="1" x14ac:dyDescent="0.35">
      <c r="A17" s="61"/>
      <c r="B17" s="6" t="s">
        <v>291</v>
      </c>
      <c r="C17" s="9"/>
      <c r="D17" s="9"/>
      <c r="E17" s="41" t="str">
        <f>IF($C$17="","NR",IF($C$17="ND","ND",IF($C$17="NQ","NQ",IF($C$17="NR","NR",IF($C$17-$D$17&lt;0,0,$C$17-$D$17)))))</f>
        <v>NR</v>
      </c>
      <c r="F17" s="17" t="str">
        <f t="shared" si="0"/>
        <v>AOV</v>
      </c>
      <c r="G17" s="18" t="str">
        <f>IF($C$3="","",IF($G$13="Lampante","*",IF(OR($C$3="Azeite_de_Oliva",$C$3="Azeite_de_Oliva_Refinado",$C$3="Óleo_de_Bagaço_de_Oliva",$C$3="Óleo_de_Bagaço_de_Oliva_Refinado"),"*",IF($E$17="NR","",IF(AND($C$3="Azeite_de_Oliva_Virgem",OR($E$17=2.5,$E$17&lt;2.5,$E$17="ND",$E$17="NQ")),"Extra Virgem",IF(AND($C$3="Azeite_de_Oliva_Virgem",OR(AND($E$17&gt;2.5,$E$17&lt;2.6),$E$17=2.6)),"Virgem",IF(AND($C$3="Azeite_de_Oliva_Virgem",$E$17&gt;2.6),"Fora de Tipo")))))))</f>
        <v/>
      </c>
      <c r="H17" s="35" t="s">
        <v>311</v>
      </c>
      <c r="I17" s="35" t="s">
        <v>312</v>
      </c>
      <c r="J17" s="35" t="s">
        <v>298</v>
      </c>
      <c r="K17" s="51" t="s">
        <v>298</v>
      </c>
      <c r="L17" s="51"/>
      <c r="M17" s="51"/>
      <c r="N17" s="52"/>
    </row>
    <row r="18" spans="1:14" ht="35.4" customHeight="1" x14ac:dyDescent="0.3">
      <c r="A18" s="57" t="s">
        <v>317</v>
      </c>
      <c r="B18" s="5" t="s">
        <v>318</v>
      </c>
      <c r="C18" s="9"/>
      <c r="D18" s="9"/>
      <c r="E18" s="39" t="str">
        <f>IF($C$18="","NR",IF($C$18="ND","ND",IF($C$18="NQ","NQ",IF($C$18="NR","NR",IF($C$18-$D$18&lt;0,0,$C$18-$D$18)))))</f>
        <v>NR</v>
      </c>
      <c r="F18" s="13" t="str">
        <f t="shared" si="0"/>
        <v>AOV</v>
      </c>
      <c r="G18" s="14" t="str">
        <f>IF($C$3="","",IF(OR($C$3="Azeite_de_Oliva",$C$3="Azeite_de_Oliva_Refinado",$C$3="Óleo_de_Bagaço_de_Oliva",$C$3="Óleo_de_Bagaço_de_Oliva_Refinado"),"*",IF($E$18="NR","",IF(AND($C$3="Azeite_de_Oliva_Virgem",OR($E$18=0,$E$18="ND",$E$18="NQ")),"Extra Virgem",IF(AND($C$3="Azeite_de_Oliva_Virgem",OR(AND($E$18&gt;0,$E$18&lt;3.5),$E$18=3.5)),"Virgem",IF(AND($C$3="Azeite_de_Oliva_Virgem",$E$18&gt;3.5),"Lampante"))))))</f>
        <v/>
      </c>
      <c r="H18" s="12" t="s">
        <v>313</v>
      </c>
      <c r="I18" s="12" t="s">
        <v>314</v>
      </c>
      <c r="J18" s="12" t="s">
        <v>315</v>
      </c>
      <c r="K18" s="53" t="s">
        <v>298</v>
      </c>
      <c r="L18" s="53"/>
      <c r="M18" s="53"/>
      <c r="N18" s="54"/>
    </row>
    <row r="19" spans="1:14" ht="35.4" customHeight="1" thickBot="1" x14ac:dyDescent="0.35">
      <c r="A19" s="58"/>
      <c r="B19" s="6" t="s">
        <v>319</v>
      </c>
      <c r="C19" s="9"/>
      <c r="D19" s="9"/>
      <c r="E19" s="41" t="str">
        <f>IF($C$19="","NR",IF($C$19="ND","ND",IF($C$19="NQ","NQ",IF($C$19="NR","NR",IF($C$19-$D$19&lt;0,0,$C$19-$D$19)))))</f>
        <v>NR</v>
      </c>
      <c r="F19" s="17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19" s="18" t="str">
        <f>IF($C$3="","",IF(OR($C$3="Azeite_de_Oliva",$C$3="Azeite_de_Oliva_Refinado",$C$3="Óleo_de_Bagaço_de_Oliva",$C$3="Óleo_de_Bagaço_de_Oliva_Refinado"),"*",IF($E$19="NR","",IF(AND($C$3="Azeite_de_Oliva_Virgem",OR($E$19&gt;0,$E$19="ND",$E$19="NQ")),"Extra Virgem/Virgem",IF(AND($C$3="Azeite_de_Oliva_Virgem",$E$19=0),"Lampante")))))</f>
        <v/>
      </c>
      <c r="H19" s="55" t="s">
        <v>316</v>
      </c>
      <c r="I19" s="55"/>
      <c r="J19" s="36" t="s">
        <v>313</v>
      </c>
      <c r="K19" s="55" t="s">
        <v>298</v>
      </c>
      <c r="L19" s="55"/>
      <c r="M19" s="55"/>
      <c r="N19" s="56"/>
    </row>
    <row r="20" spans="1:14" x14ac:dyDescent="0.3">
      <c r="A20" s="46" t="s">
        <v>376</v>
      </c>
      <c r="B20" s="8" t="s">
        <v>320</v>
      </c>
      <c r="C20" s="9"/>
      <c r="D20" s="9"/>
      <c r="E20" s="39" t="str">
        <f>IF($C$20="","NR",IF($C$20="ND","ND",IF($C$20="NQ","NQ",IF($C$20="NR","NR",IF($C$20-$D$20&lt;0,0,$C$20-$D$20)))))</f>
        <v>NR</v>
      </c>
      <c r="F20" s="13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20" s="14" t="str">
        <f>IF($C$3="","",IF(OR($C$3="Azeite_de_Oliva",$C$3="Azeite_de_Oliva_Refinado",$C$3="Óleo_de_Bagaço_de_Oliva",$C$3="Óleo_de_Bagaço_de_Oliva_Refinado"),"*",IF($E$20="NR","",IF(AND($C$3="Azeite_de_Oliva_Virgem",OR($E$20=0.15,$E$20&lt;0.15,$E$20="ND",$E$20="NQ")),"Extra Virgem/Virgem",IF(AND($C$3="Azeite_de_Oliva_Virgem",$E$20&gt;0.15,$E$20&lt;=0.5),"Lampante",IF(AND($C$3="Azeite_de_Oliva_Virgem",$E$20&gt;0.5),"Desclassificado"))))))</f>
        <v/>
      </c>
      <c r="H20" s="65" t="s">
        <v>307</v>
      </c>
      <c r="I20" s="66"/>
      <c r="J20" s="12" t="s">
        <v>323</v>
      </c>
      <c r="K20" s="53" t="s">
        <v>298</v>
      </c>
      <c r="L20" s="53"/>
      <c r="M20" s="53"/>
      <c r="N20" s="54"/>
    </row>
    <row r="21" spans="1:14" x14ac:dyDescent="0.3">
      <c r="A21" s="47"/>
      <c r="B21" s="3" t="s">
        <v>321</v>
      </c>
      <c r="C21" s="9"/>
      <c r="D21" s="9"/>
      <c r="E21" s="40" t="str">
        <f>IF($C$21="","NR",IF($C$21="ND","ND",IF($C$21="NQ","NQ",IF($C$21="NR","NR",IF($C$21-$D$21&lt;0,0,IF(OR($C$3="Azeite_de_Oliva_Virgem",$C$3="Azeite_de_Oliva",$C$3="Azeite_de_Oliva_Refinado"),$C$21-$D$21,IF(OR($C$3="Óleo_de_Bagaço_de_Oliva",$C$3="Óleo_de_Bagaço_de_Oliva_Refinado"),$C$21+$D$21)))))))</f>
        <v>NR</v>
      </c>
      <c r="F21" s="15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21" s="16" t="str">
        <f>IF($C$3="","",IF($E$21="NR","",IF(AND($C$3="Azeite_de_Oliva_Virgem",OR($E$21=250,$E$21&lt;250,$E$21="ND",$E$21="NQ")),"Extra Virgem/Virgem",IF(AND($C$3="Azeite_de_Oliva_Virgem",$E$21&gt;250,$E$21&lt;=300),"Lampante",IF(AND($C$3="Azeite_de_Oliva_Virgem",$E$21&gt;300),"Desclassificado",IF(AND(OR($C$3="Azeite_de_Oliva",$C$3="Azeite_de_Oliva_Refinado"),OR($E$21=350,$E$21&lt;350,$E$21="ND",$E$21="NQ")),"Único",IF(AND(OR($C$3="Azeite_de_Oliva",$C$3="Azeite_de_Oliva_Refinado"),$E$21&gt;350),"Desclassificado",IF(AND(OR($C$3="Óleo_de_Bagaço_de_Oliva",$C$3="Óleo_de_Bagaço_de_Oliva_Refinado"),OR($E$21&gt;350,$E$21="ND",$E$21="NQ")),"Único",IF(AND(OR($C$3="Óleo_de_Bagaço_de_Oliva",$C$3="Óleo_de_Bagaço_de_Oliva_Refinado"),OR($E$21=350,$E$21&lt;350)),"Desclassificado")))))))))</f>
        <v/>
      </c>
      <c r="H21" s="67" t="s">
        <v>324</v>
      </c>
      <c r="I21" s="68"/>
      <c r="J21" s="10" t="s">
        <v>325</v>
      </c>
      <c r="K21" s="44" t="s">
        <v>326</v>
      </c>
      <c r="L21" s="44"/>
      <c r="M21" s="44" t="s">
        <v>327</v>
      </c>
      <c r="N21" s="45"/>
    </row>
    <row r="22" spans="1:14" x14ac:dyDescent="0.3">
      <c r="A22" s="47"/>
      <c r="B22" s="3" t="s">
        <v>322</v>
      </c>
      <c r="C22" s="9"/>
      <c r="D22" s="9"/>
      <c r="E22" s="40" t="str">
        <f>IF($C$22="","NR",IF($C$22="ND","ND",IF($C$22="NQ","NQ",IF($C$22="NR","NR",IF($C$22-$D$22&lt;0,0,$C$22-$D$22)))))</f>
        <v>NR</v>
      </c>
      <c r="F22" s="15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22" s="16" t="str">
        <f>IF($C$3="","",IF($E$22="NR","",IF(AND($C$3="Azeite_de_Oliva_Virgem",OR($E$22=0.2,$E$22&lt;0.2,$E$22="ND",$E$22="NQ")),"Extra Virgem/Virgem",IF(AND($C$3="Azeite_de_Oliva_Virgem",$E$22&gt;0.2,$E$22&lt;=0.3),"Lampante",IF(AND($C$3="Azeite_de_Oliva_Virgem",$E$22&gt;0.3),"Desclassificado",IF(AND(OR($C$3="Azeite_de_Oliva",$C$3="Azeite_de_Oliva_Refinado"),OR($E$22=0.3,$E$22&lt;0.3,$E$22="ND",$E$22="NQ")),"Único",IF(AND(OR($C$3="Azeite_de_Oliva",$C$3="Azeite_de_Oliva_Refinado"),$E$22&gt;0.3),"Desclassificado",IF(AND(OR($C$3="Óleo_de_Bagaço_de_Oliva",$C$3="Óleo_de_Bagaço_de_Oliva_Refinado"),OR($E$22=0.5,$E$22&lt;0.5,$E$22="ND",$E$22="NQ")),"Único",IF(AND(OR($C$3="Óleo_de_Bagaço_de_Oliva",$C$3="Óleo_de_Bagaço_de_Oliva_Refinado"),$E$22&gt;0.5),"Desclassificado")))))))))</f>
        <v/>
      </c>
      <c r="H22" s="67" t="s">
        <v>328</v>
      </c>
      <c r="I22" s="68"/>
      <c r="J22" s="10" t="s">
        <v>329</v>
      </c>
      <c r="K22" s="44" t="s">
        <v>329</v>
      </c>
      <c r="L22" s="44"/>
      <c r="M22" s="44" t="s">
        <v>330</v>
      </c>
      <c r="N22" s="45"/>
    </row>
    <row r="23" spans="1:14" x14ac:dyDescent="0.3">
      <c r="A23" s="47"/>
      <c r="B23" s="49" t="s">
        <v>411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</row>
    <row r="24" spans="1:14" x14ac:dyDescent="0.3">
      <c r="A24" s="47"/>
      <c r="B24" s="7" t="s">
        <v>331</v>
      </c>
      <c r="C24" s="9"/>
      <c r="D24" s="9"/>
      <c r="E24" s="40" t="str">
        <f>IF($C$24="","NR",IF($C$24="ND","ND",IF($C$24="NQ","NQ",IF($C$24="NR","NR",IF($C$24-$D$24&lt;0,0,$C$24-$D$24)))))</f>
        <v>NR</v>
      </c>
      <c r="F24" s="15" t="str">
        <f t="shared" ref="F24:F37" si="1"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24" s="16" t="str">
        <f>IF($C$3="","",IF($E$24="NR","",IF(AND($C$3="Azeite_de_Oliva_Virgem",OR($E$24=0.05,$E$24&lt;0.05,$E$24="ND",$E$24="NQ")),"Extra Virgem/Virgem",IF(AND($C$3="Azeite_de_Oliva_Virgem",$E$24&gt;0.05,$E$24&lt;=0.1),"Lampante",IF(AND($C$3="Azeite_de_Oliva_Virgem",$E$24&gt;0.1),"Desclassificado",IF(AND(OR($C$3="Azeite_de_Oliva",$C$3="Azeite_de_Oliva_Refinado"),OR($E$24=0.2,$E$24&lt;0.2,$E$24="ND",$E$24="NQ")),"Único",IF(AND(OR($C$3="Azeite_de_Oliva",$C$3="Azeite_de_Oliva_Refinado"),$E$24&gt;0.2),"Desclassificado",IF(AND(OR($C$3="Óleo_de_Bagaço_de_Oliva",$C$3="Óleo_de_Bagaço_de_Oliva_Refinado"),OR($E$24=0.4,$E$24&lt;0.4,$E$24="ND",$E$24="NQ")),"Único",IF(AND(OR($C$3="Óleo_de_Bagaço_de_Oliva",$C$3="Óleo_de_Bagaço_de_Oliva_Refinado"),$E$24&gt;0.4),"Desclassificado")))))))))</f>
        <v/>
      </c>
      <c r="H24" s="44" t="s">
        <v>346</v>
      </c>
      <c r="I24" s="44"/>
      <c r="J24" s="10" t="s">
        <v>347</v>
      </c>
      <c r="K24" s="44" t="s">
        <v>310</v>
      </c>
      <c r="L24" s="44"/>
      <c r="M24" s="44" t="s">
        <v>348</v>
      </c>
      <c r="N24" s="45"/>
    </row>
    <row r="25" spans="1:14" x14ac:dyDescent="0.3">
      <c r="A25" s="47"/>
      <c r="B25" s="7" t="s">
        <v>332</v>
      </c>
      <c r="C25" s="9"/>
      <c r="D25" s="9"/>
      <c r="E25" s="40" t="str">
        <f>IF($C$25="","NR",IF($C$25="ND","ND",IF($C$25="NQ","NQ",IF($C$25="NR","NR",IF($C$25-$D$25&lt;0,0,$C$25-$D$25)))))</f>
        <v>NR</v>
      </c>
      <c r="F25" s="15" t="str">
        <f t="shared" si="1"/>
        <v>AOV</v>
      </c>
      <c r="G25" s="16" t="str">
        <f>IF($C$3="","",IF($E$25="NR","",IF(AND($C$3="Azeite_de_Oliva_Virgem",OR($E$25=0.05,$E$25&lt;0.05,$E$25="ND",$E$25="NQ")),"Extra Virgem/Virgem",IF(AND($C$3="Azeite_de_Oliva_Virgem",$E$25&gt;0.05,$E$25&lt;=0.1),"Lampante",IF(AND($C$3="Azeite_de_Oliva_Virgem",$E$25&gt;0.1),"Desclassificado",IF(AND(OR($C$3="Azeite_de_Oliva",$C$3="Azeite_de_Oliva_Refinado"),OR($E$25=0.3,$E$25&lt;0.3,$E$25="ND",$E$25="NQ")),"Único",IF(AND(OR($C$3="Azeite_de_Oliva",$C$3="Azeite_de_Oliva_Refinado"),$E$25&gt;0.3),"Desclassificado",IF(AND(OR($C$3="Óleo_de_Bagaço_de_Oliva",$C$3="Óleo_de_Bagaço_de_Oliva_Refinado"),OR($E$25=0.35,$E$25&lt;0.35,$E$25="ND",$E$25="NQ")),"Único",IF(AND(OR($C$3="Óleo_de_Bagaço_de_Oliva",$C$3="Óleo_de_Bagaço_de_Oliva_Refinado"),$E$25&gt;0.35),"Desclassificado")))))))))</f>
        <v/>
      </c>
      <c r="H25" s="44" t="s">
        <v>346</v>
      </c>
      <c r="I25" s="44"/>
      <c r="J25" s="10" t="s">
        <v>347</v>
      </c>
      <c r="K25" s="44" t="s">
        <v>296</v>
      </c>
      <c r="L25" s="44"/>
      <c r="M25" s="44" t="s">
        <v>349</v>
      </c>
      <c r="N25" s="45"/>
    </row>
    <row r="26" spans="1:14" x14ac:dyDescent="0.3">
      <c r="A26" s="47"/>
      <c r="B26" s="7" t="s">
        <v>333</v>
      </c>
      <c r="C26" s="9"/>
      <c r="D26" s="9"/>
      <c r="E26" s="40" t="str">
        <f>IF($C$26="","NR",IF($C$26="ND","ND",IF($C$26="NQ","NQ",IF($C$26="NR","NR",IF($C$26-$D$26&lt;0,0,$C$26-$D$26)))))</f>
        <v>NR</v>
      </c>
      <c r="F26" s="15" t="str">
        <f t="shared" si="1"/>
        <v>AOV</v>
      </c>
      <c r="G26" s="16" t="str">
        <f>IF($C$3="","",IF($E$26="NR","",IF(AND($C$3="Azeite_de_Oliva_Virgem",OR($E$26=0.05,$E$26&lt;0.05,$E$26="ND",$E$26="NQ")),"Extra Virgem/Virgem/Lampante",IF(AND(OR($C$3="Azeite_de_Oliva",$C$3="Azeite_de_Oliva_Refinado",$C$3="Óleo_de_Bagaço_de_Oliva",$C$3="Óleo_de_Bagaço_de_Oliva_Refinado"),OR($E$26=0.05,$E$26&lt;0.05,$E$26="ND",$E$26="NQ")),"Único",IF(AND(OR($C$3="Azeite_de_Oliva_Virgem",$C$3="Azeite_de_Oliva",$C$3="Azeite_de_Oliva_Refinado",$C$3="Óleo_de_Bagaço_de_Oliva",$C$3="Óleo_de_Bagaço_de_Oliva_Refinado"),$E$26&gt;0.05),"Desclassificado")))))</f>
        <v/>
      </c>
      <c r="H26" s="44" t="s">
        <v>346</v>
      </c>
      <c r="I26" s="44"/>
      <c r="J26" s="44"/>
      <c r="K26" s="44"/>
      <c r="L26" s="44"/>
      <c r="M26" s="44"/>
      <c r="N26" s="45"/>
    </row>
    <row r="27" spans="1:14" x14ac:dyDescent="0.3">
      <c r="A27" s="47"/>
      <c r="B27" s="7" t="s">
        <v>334</v>
      </c>
      <c r="C27" s="9"/>
      <c r="D27" s="9"/>
      <c r="E27" s="40" t="str">
        <f>IF($C$27="","NR",IF($C$27="ND","ND",IF($C$27="NQ","NQ",IF($C$27="NR","NR",IF($C$27-$D$27&lt;7.5,$C$27+$D$27,$C$27-$D$27)))))</f>
        <v>NR</v>
      </c>
      <c r="F27" s="15" t="str">
        <f t="shared" si="1"/>
        <v>AOV</v>
      </c>
      <c r="G27" s="16" t="str">
        <f>IF($C$3="","",IF($E$27="NR","",IF(AND($C$3="Azeite_de_Oliva_Virgem",OR(AND($E$27&gt;7.5,$E$27&lt;20),$E$27=7.5,$E$27=20)),"Extra Virgem/Virgem/Lampante",IF(AND(OR($C$3="Azeite_de_Oliva",$C$3="Azeite_de_Oliva_Refinado",$C$3="Óleo_de_Bagaço_de_Oliva",$C$3="Óleo_de_Bagaço_de_Oliva_Refinado"),OR(AND($E$27&gt;7.5,$E$27&lt;20),$E$27=7.5,$E$27=20)),"Único",IF(AND(OR($C$3="Azeite_de_Oliva_Virgem",$C$3="Azeite_de_Oliva",$C$3="Azeite_de_Oliva_Refinado",$C$3="Óleo_de_Bagaço_de_Oliva",$C$3="Óleo_de_Bagaço_de_Oliva_Refinado"),OR($E$27&lt;7.5,$E$27&gt;20,$E$27="ND",$E$27="NQ")),"Desclassificado")))))</f>
        <v/>
      </c>
      <c r="H27" s="44" t="s">
        <v>350</v>
      </c>
      <c r="I27" s="44"/>
      <c r="J27" s="44"/>
      <c r="K27" s="44"/>
      <c r="L27" s="44"/>
      <c r="M27" s="44"/>
      <c r="N27" s="45"/>
    </row>
    <row r="28" spans="1:14" x14ac:dyDescent="0.3">
      <c r="A28" s="47"/>
      <c r="B28" s="7" t="s">
        <v>335</v>
      </c>
      <c r="C28" s="9"/>
      <c r="D28" s="9"/>
      <c r="E28" s="40" t="str">
        <f>IF($C$28="","NR",IF($C$28="ND","ND",IF($C$28="NQ","NQ",IF($C$28="NR","NR",IF($C$28-$D$28&lt;0.3,$C$28+$D$28,$C$28-$D$28)))))</f>
        <v>NR</v>
      </c>
      <c r="F28" s="15" t="str">
        <f t="shared" si="1"/>
        <v>AOV</v>
      </c>
      <c r="G28" s="16" t="str">
        <f>IF($C$3="","",IF($E$28="NR","",IF(AND($C$3="Azeite_de_Oliva_Virgem",OR(AND($E$28&gt;0.3,$E$28&lt;3.5),$E$28=0.3,$E$28=3.5)),"Extra Virgem/Virgem/Lampante",IF(AND(OR($C$3="Azeite_de_Oliva",$C$3="Azeite_de_Oliva_Refinado",$C$3="Óleo_de_Bagaço_de_Oliva",$C$3="Óleo_de_Bagaço_de_Oliva_Refinado"),OR(AND($E$28&gt;0.3,$E$28&lt;3.5),$E$28=0.3,$E$28=3.5)),"Único",IF(AND(OR($C$3="Azeite_de_Oliva_Virgem",$C$3="Azeite_de_Oliva",$C$3="Azeite_de_Oliva_Refinado",$C$3="Óleo_de_Bagaço_de_Oliva",$C$3="Óleo_de_Bagaço_de_Oliva_Refinado"),OR($E$28&lt;3.5,$E$28&gt;3.5,$E$28="ND",$E$28="NQ")),"Desclassificado")))))</f>
        <v/>
      </c>
      <c r="H28" s="44" t="s">
        <v>351</v>
      </c>
      <c r="I28" s="44"/>
      <c r="J28" s="44"/>
      <c r="K28" s="44"/>
      <c r="L28" s="44"/>
      <c r="M28" s="44"/>
      <c r="N28" s="45"/>
    </row>
    <row r="29" spans="1:14" x14ac:dyDescent="0.3">
      <c r="A29" s="47"/>
      <c r="B29" s="7" t="s">
        <v>336</v>
      </c>
      <c r="C29" s="9"/>
      <c r="D29" s="9"/>
      <c r="E29" s="40" t="str">
        <f>IF($C$29="","NR",IF($C$29="ND","ND",IF($C$29="NQ","NQ",IF($C$29="NR","NR",IF($C$29-$D$29&lt;0,0,$C$29-$D$29)))))</f>
        <v>NR</v>
      </c>
      <c r="F29" s="15" t="str">
        <f t="shared" si="1"/>
        <v>AOV</v>
      </c>
      <c r="G29" s="16" t="str">
        <f>IF($C$3="","",IF($E$29="NR","",IF(AND($C$3="Azeite_de_Oliva_Virgem",OR($E$29=0.3,$E$29&lt;0.3,$E$29="ND",$E$29="NQ")),"Extra Virgem/Virgem/Lampante",IF(AND(OR($C$3="Azeite_de_Oliva",$C$3="Azeite_de_Oliva_Refinado",$C$3="Óleo_de_Bagaço_de_Oliva",$C$3="Óleo_de_Bagaço_de_Oliva_Refinado"),OR($E$29=0.3,$E$29&lt;0.3,$E$29="ND",$E$29="NQ")),"Único",IF(AND(OR($C$3="Azeite_de_Oliva_Virgem",$C$3="Azeite_de_Oliva",$C$3="Azeite_de_Oliva_Refinado",$C$3="Óleo_de_Bagaço_de_Oliva",$C$3="Óleo_de_Bagaço_de_Oliva_Refinado"),$E$29&gt;0.3),"Desclassificado")))))</f>
        <v/>
      </c>
      <c r="H29" s="44" t="s">
        <v>329</v>
      </c>
      <c r="I29" s="44"/>
      <c r="J29" s="44"/>
      <c r="K29" s="44"/>
      <c r="L29" s="44"/>
      <c r="M29" s="44"/>
      <c r="N29" s="45"/>
    </row>
    <row r="30" spans="1:14" x14ac:dyDescent="0.3">
      <c r="A30" s="47"/>
      <c r="B30" s="7" t="s">
        <v>337</v>
      </c>
      <c r="C30" s="9"/>
      <c r="D30" s="9"/>
      <c r="E30" s="40" t="str">
        <f>IF($C$30="","NR",IF($C$30="ND","ND",IF($C$30="NQ","NQ",IF($C$30="NR","NR",IF($C$30-$D$30&lt;0,0,$C$30-$D$30)))))</f>
        <v>NR</v>
      </c>
      <c r="F30" s="15" t="str">
        <f t="shared" si="1"/>
        <v>AOV</v>
      </c>
      <c r="G30" s="16" t="str">
        <f>IF($C$3="","",IF($E$30="NR","",IF(AND($C$3="Azeite_de_Oliva_Virgem",OR($E$30=0.3,$E$30&lt;0.3,$E$30="ND",$E$30="NQ")),"Extra Virgem/Virgem/Lampante",IF(AND(OR($C$3="Azeite_de_Oliva",$C$3="Azeite_de_Oliva_Refinado",$C$3="Óleo_de_Bagaço_de_Oliva",$C$3="Óleo_de_Bagaço_de_Oliva_Refinado"),OR($E$30=0.3,$E$30&lt;0.3,$E$30="ND",$E$30="NQ")),"Único",IF(AND(OR($C$3="Azeite_de_Oliva_Virgem",$C$3="Azeite_de_Oliva",$C$3="Azeite_de_Oliva_Refinado",$C$3="Óleo_de_Bagaço_de_Oliva",$C$3="Óleo_de_Bagaço_de_Oliva_Refinado"),$E$30&gt;0.3),"Desclassificado")))))</f>
        <v/>
      </c>
      <c r="H30" s="44" t="s">
        <v>329</v>
      </c>
      <c r="I30" s="44"/>
      <c r="J30" s="44"/>
      <c r="K30" s="44"/>
      <c r="L30" s="44"/>
      <c r="M30" s="44"/>
      <c r="N30" s="45"/>
    </row>
    <row r="31" spans="1:14" x14ac:dyDescent="0.3">
      <c r="A31" s="47"/>
      <c r="B31" s="7" t="s">
        <v>338</v>
      </c>
      <c r="C31" s="9"/>
      <c r="D31" s="9"/>
      <c r="E31" s="40" t="str">
        <f>IF($C$31="","NR",IF($C$31="ND","ND",IF($C$31="NQ","NQ",IF($C$31="NR","NR",IF($C$31-$D$31&lt;0.5,$C$31+$D$31,$C$31-$D$31)))))</f>
        <v>NR</v>
      </c>
      <c r="F31" s="15" t="str">
        <f t="shared" si="1"/>
        <v>AOV</v>
      </c>
      <c r="G31" s="16" t="str">
        <f>IF($C$3="","",IF($E$31="NR","",IF(AND($C$3="Azeite_de_Oliva_Virgem",OR(AND($E$31&gt;0.5,$E$31&lt;5),$E$31=0.5,$E$31=5)),"Extra Virgem/Virgem/Lampante",IF(AND(OR($C$3="Azeite_de_Oliva",$C$3="Azeite_de_Oliva_Refinado",$C$3="Óleo_de_Bagaço_de_Oliva",$C$3="Óleo_de_Bagaço_de_Oliva_Refinado"),OR(AND($E$31&gt;0.5,$E$31&lt;5),$E$31=0.5,$E$31=5)),"Único",IF(AND(OR($C$3="Azeite_de_Oliva_Virgem",$C$3="Azeite_de_Oliva",$C$3="Azeite_de_Oliva_Refinado",$C$3="Óleo_de_Bagaço_de_Oliva",$C$3="Óleo_de_Bagaço_de_Oliva_Refinado"),OR($E$31&lt;0.5,$E$31&gt;5,$E$31="ND",$E$31="NQ")),"Desclassificado")))))</f>
        <v/>
      </c>
      <c r="H31" s="44" t="s">
        <v>352</v>
      </c>
      <c r="I31" s="44"/>
      <c r="J31" s="44"/>
      <c r="K31" s="44"/>
      <c r="L31" s="44"/>
      <c r="M31" s="44"/>
      <c r="N31" s="45"/>
    </row>
    <row r="32" spans="1:14" x14ac:dyDescent="0.3">
      <c r="A32" s="47"/>
      <c r="B32" s="7" t="s">
        <v>339</v>
      </c>
      <c r="C32" s="9"/>
      <c r="D32" s="9"/>
      <c r="E32" s="40" t="str">
        <f>IF($C$32="","NR",IF($C$32="ND","ND",IF($C$32="NQ","NQ",IF($C$32="NR","NR",IF($C$32-$D$32&lt;55,$C$32+$D$32,$C$32-$D$32)))))</f>
        <v>NR</v>
      </c>
      <c r="F32" s="15" t="str">
        <f t="shared" si="1"/>
        <v>AOV</v>
      </c>
      <c r="G32" s="16" t="str">
        <f>IF($C$3="","",IF($E$32="NR","",IF(AND($C$3="Azeite_de_Oliva_Virgem",OR(AND($E$32&gt;55,$E$32&lt;83),$E$32=55,$E$32=83)),"Extra Virgem/Virgem/Lampante",IF(AND(OR($C$3="Azeite_de_Oliva",$C$3="Azeite_de_Oliva_Refinado",$C$3="Óleo_de_Bagaço_de_Oliva",$C$3="Óleo_de_Bagaço_de_Oliva_Refinado"),OR(AND($E$32&gt;55,$E$32&lt;83),$E$32=55,$E$32=83)),"Único",IF(AND(OR($C$3="Azeite_de_Oliva_Virgem",$C$3="Azeite_de_Oliva",$C$3="Azeite_de_Oliva_Refinado",$C$3="Óleo_de_Bagaço_de_Oliva",$C$3="Óleo_de_Bagaço_de_Oliva_Refinado"),OR($E$32&lt;55,$E$32&gt;83,$E$32="ND",$E$32="NQ")),"Desclassificado")))))</f>
        <v/>
      </c>
      <c r="H32" s="44" t="s">
        <v>353</v>
      </c>
      <c r="I32" s="44"/>
      <c r="J32" s="44"/>
      <c r="K32" s="44"/>
      <c r="L32" s="44"/>
      <c r="M32" s="44"/>
      <c r="N32" s="45"/>
    </row>
    <row r="33" spans="1:14" x14ac:dyDescent="0.3">
      <c r="A33" s="47"/>
      <c r="B33" s="7" t="s">
        <v>340</v>
      </c>
      <c r="C33" s="9"/>
      <c r="D33" s="9"/>
      <c r="E33" s="40" t="str">
        <f>IF($C$33="","NR",IF($C$33="ND","ND",IF($C$33="NQ","NQ",IF($C$33="NR","NR",IF($C$33-$D$33&lt;3.5,$C$33+$D$33,$C$33-$D$33)))))</f>
        <v>NR</v>
      </c>
      <c r="F33" s="15" t="str">
        <f t="shared" si="1"/>
        <v>AOV</v>
      </c>
      <c r="G33" s="16" t="str">
        <f>IF($C$3="","",IF($E$33="NR","",IF(AND($C$3="Azeite_de_Oliva_Virgem",OR(AND($E$33&gt;3.5,$E$33&lt;21),$E$33=3.5,$E$33=21)),"Extra Virgem/Virgem/Lampante",IF(AND(OR($C$3="Azeite_de_Oliva",$C$3="Azeite_de_Oliva_Refinado",$C$3="Óleo_de_Bagaço_de_Oliva",$C$3="Óleo_de_Bagaço_de_Oliva_Refinado"),OR(AND($E$33&gt;3.5,$E$33&lt;21),$E$33=3.5,$E$33=21)),"Único",IF(AND(OR($C$3="Azeite_de_Oliva_Virgem",$C$3="Azeite_de_Oliva",$C$3="Azeite_de_Oliva_Refinado",$C$3="Óleo_de_Bagaço_de_Oliva",$C$3="Óleo_de_Bagaço_de_Oliva_Refinado"),OR($E$33&lt;3.5,$E$33&gt;21,$E$33="ND",$E$33="NQ")),"Desclassificado")))))</f>
        <v/>
      </c>
      <c r="H33" s="44" t="s">
        <v>354</v>
      </c>
      <c r="I33" s="44"/>
      <c r="J33" s="44"/>
      <c r="K33" s="44"/>
      <c r="L33" s="44"/>
      <c r="M33" s="44"/>
      <c r="N33" s="45"/>
    </row>
    <row r="34" spans="1:14" x14ac:dyDescent="0.3">
      <c r="A34" s="47"/>
      <c r="B34" s="7" t="s">
        <v>341</v>
      </c>
      <c r="C34" s="9"/>
      <c r="D34" s="9"/>
      <c r="E34" s="40" t="str">
        <f>IF($C$34="","NR",IF($C$34="ND","ND",IF($C$34="NQ","NQ",IF($C$34="NR","NR",IF($C$34-$D$34&lt;0,0,$C$34-$D$34)))))</f>
        <v>NR</v>
      </c>
      <c r="F34" s="15" t="str">
        <f t="shared" si="1"/>
        <v>AOV</v>
      </c>
      <c r="G34" s="16" t="str">
        <f>IF($C$3="","",IF($E$34="NR","",IF(AND($C$3="Azeite_de_Oliva_Virgem",OR($E$34=1,$E$34&lt;1,$E$34="ND",$E$34="NQ")),"Extra Virgem/Virgem/Lampante",IF(AND(OR($C$3="Azeite_de_Oliva",$C$3="Azeite_de_Oliva_Refinado",$C$3="Óleo_de_Bagaço_de_Oliva",$C$3="Óleo_de_Bagaço_de_Oliva_Refinado"),OR($E$34=1,$E$34&lt;1,$E$34="ND",$E$34="NQ")),"Único",IF(AND(OR($C$3="Azeite_de_Oliva_Virgem",$C$3="Azeite_de_Oliva",$C$3="Azeite_de_Oliva_Refinado",$C$3="Óleo_de_Bagaço_de_Oliva",$C$3="Óleo_de_Bagaço_de_Oliva_Refinado"),$E$34&gt;1),"Desclassificado")))))</f>
        <v/>
      </c>
      <c r="H34" s="44" t="s">
        <v>355</v>
      </c>
      <c r="I34" s="44"/>
      <c r="J34" s="44"/>
      <c r="K34" s="44"/>
      <c r="L34" s="44"/>
      <c r="M34" s="44"/>
      <c r="N34" s="45"/>
    </row>
    <row r="35" spans="1:14" x14ac:dyDescent="0.3">
      <c r="A35" s="47"/>
      <c r="B35" s="7" t="s">
        <v>342</v>
      </c>
      <c r="C35" s="9"/>
      <c r="D35" s="9"/>
      <c r="E35" s="40" t="str">
        <f>IF($C$35="","NR",IF($C$35="ND","ND",IF($C$35="NQ","NQ",IF($C$35="NR","NR",IF($C$35-$D$35&lt;0,0,$C$35-$D$35)))))</f>
        <v>NR</v>
      </c>
      <c r="F35" s="15" t="str">
        <f t="shared" si="1"/>
        <v>AOV</v>
      </c>
      <c r="G35" s="16" t="str">
        <f>IF($C$3="","",IF($E$35="NR","",IF(AND($C$3="Azeite_de_Oliva_Virgem",OR($E$35=0.6,$E$35&lt;0.6,$E$35="ND",$E$35="NQ")),"Extra Virgem/Virgem/Lampante",IF(AND(OR($C$3="Azeite_de_Oliva",$C$3="Azeite_de_Oliva_Refinado",$C$3="Óleo_de_Bagaço_de_Oliva",$C$3="Óleo_de_Bagaço_de_Oliva_Refinado"),OR($E$35=0.6,$E$35&lt;0.6,$E$35="ND",$E$35="NQ")),"Único",IF(AND(OR($C$3="Azeite_de_Oliva_Virgem",$C$3="Azeite_de_Oliva",$C$3="Azeite_de_Oliva_Refinado",$C$3="Óleo_de_Bagaço_de_Oliva",$C$3="Óleo_de_Bagaço_de_Oliva_Refinado"),$E$35&gt;0.6),"Desclassificado")))))</f>
        <v/>
      </c>
      <c r="H35" s="44" t="s">
        <v>356</v>
      </c>
      <c r="I35" s="44"/>
      <c r="J35" s="44"/>
      <c r="K35" s="44"/>
      <c r="L35" s="44"/>
      <c r="M35" s="44"/>
      <c r="N35" s="45"/>
    </row>
    <row r="36" spans="1:14" x14ac:dyDescent="0.3">
      <c r="A36" s="47"/>
      <c r="B36" s="7" t="s">
        <v>343</v>
      </c>
      <c r="C36" s="9"/>
      <c r="D36" s="9"/>
      <c r="E36" s="40" t="str">
        <f>IF($C$36="","NR",IF($C$36="ND","ND",IF($C$36="NQ","NQ",IF($C$36="NR","NR",IF($C$36-$D$36&lt;0,0,$C$36-$D$36)))))</f>
        <v>NR</v>
      </c>
      <c r="F36" s="15" t="str">
        <f t="shared" si="1"/>
        <v>AOV</v>
      </c>
      <c r="G36" s="16" t="str">
        <f>IF($C$3="","",IF($E$36="NR","",IF(AND($C$3="Azeite_de_Oliva_Virgem",OR($E$36=0.4,$E$36&lt;0.4,$E$36="ND",$E$36="NQ")),"Extra Virgem/Virgem/Lampante",IF(AND(OR($C$3="Azeite_de_Oliva",$C$3="Azeite_de_Oliva_Refinado",$C$3="Óleo_de_Bagaço_de_Oliva",$C$3="Óleo_de_Bagaço_de_Oliva_Refinado"),OR($E$36=0.4,$E$36&lt;0.4,$E$36="ND",$E$36="NQ")),"Único",IF(AND(OR($C$3="Azeite_de_Oliva_Virgem",$C$3="Azeite_de_Oliva",$C$3="Azeite_de_Oliva_Refinado",$C$3="Óleo_de_Bagaço_de_Oliva",$C$3="Óleo_de_Bagaço_de_Oliva_Refinado"),$E$36&gt;0.4),"Desclassificado")))))</f>
        <v/>
      </c>
      <c r="H36" s="44" t="s">
        <v>357</v>
      </c>
      <c r="I36" s="44"/>
      <c r="J36" s="44"/>
      <c r="K36" s="44"/>
      <c r="L36" s="44"/>
      <c r="M36" s="44"/>
      <c r="N36" s="45"/>
    </row>
    <row r="37" spans="1:14" x14ac:dyDescent="0.3">
      <c r="A37" s="47"/>
      <c r="B37" s="7" t="s">
        <v>344</v>
      </c>
      <c r="C37" s="9"/>
      <c r="D37" s="9"/>
      <c r="E37" s="40" t="str">
        <f>IF($C$37="","NR",IF($C$37="ND","ND",IF($C$37="NQ","NQ",IF($C$37="NR","NR",IF($C$37-$D$37&lt;0,0,$C$37-$D$37)))))</f>
        <v>NR</v>
      </c>
      <c r="F37" s="15" t="str">
        <f t="shared" si="1"/>
        <v>AOV</v>
      </c>
      <c r="G37" s="16" t="str">
        <f>IF($C$3="","",IF($E$37="NR","",IF(AND($C$3="Azeite_de_Oliva_Virgem",OR($E$37=0.2,$E$37&lt;0.2,$E$37="ND",$E$37="NQ")),"Extra Virgem/Virgem/Lampante",IF(AND(OR($C$3="Azeite_de_Oliva",$C$3="Azeite_de_Oliva_Refinado"),OR($E$37=0.2,$E$37&lt;0.2,$E$37="ND",$E$37="NQ")),"Único",IF(AND(OR($C$3="Azeite_de_Oliva_Virgem",$C$3="Azeite_de_Oliva",$C$3="Azeite_de_Oliva_Refinado"),$E$37&gt;0.2),"Desclassificado",IF(AND(OR($C$3="Óleo_de_Bagaço_de_Oliva",$C$3="Óleo_de_Bagaço_de_Oliva_Refinado"),OR($E$37=0.3,$E$37&lt;0.3,$E$37="ND",$E$37="NQ")),"Único",IF(AND(OR($C$3="Óleo_de_Bagaço_de_Oliva",$C$3="Óleo_de_Bagaço_de_Oliva_Refinado"),$E$37&gt;0.3),"Desclassificado")))))))</f>
        <v/>
      </c>
      <c r="H37" s="44" t="s">
        <v>328</v>
      </c>
      <c r="I37" s="44"/>
      <c r="J37" s="44"/>
      <c r="K37" s="44"/>
      <c r="L37" s="44"/>
      <c r="M37" s="44" t="s">
        <v>329</v>
      </c>
      <c r="N37" s="45"/>
    </row>
    <row r="38" spans="1:14" x14ac:dyDescent="0.3">
      <c r="A38" s="47"/>
      <c r="B38" s="7" t="s">
        <v>345</v>
      </c>
      <c r="C38" s="9"/>
      <c r="D38" s="9"/>
      <c r="E38" s="40" t="str">
        <f>IF($C$38="","NR",IF($C$38="ND","ND",IF($C$38="NQ","NQ",IF($C$38="NR","NR",IF($C$38-$D$38&lt;0,0,$C$38-$D$38)))))</f>
        <v>NR</v>
      </c>
      <c r="F38" s="15" t="str">
        <f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38" s="16" t="str">
        <f>IF($C$3="","",IF($E$38="NR","",IF(AND($C$3="Azeite_de_Oliva_Virgem",OR($E$38=0.2,$E$38&lt;0.2,$E$38="ND",$E$38="NQ")),"Extra Virgem/Virgem/Lampante",IF(AND(OR($C$3="Azeite_de_Oliva",$C$3="Azeite_de_Oliva_Refinado",$C$3="Óleo_de_Bagaço_de_Oliva",$C$3="Óleo_de_Bagaço_de_Oliva_Refinado"),OR($E$38=0.2,$E$38&lt;0.2,$E$38="ND",$E$38="NQ")),"Único",IF(AND(OR($C$3="Azeite_de_Oliva_Virgem",$C$3="Azeite_de_Oliva",$C$3="Azeite_de_Oliva_Refinado",$C$3="Óleo_de_Bagaço_de_Oliva",$C$3="Óleo_de_Bagaço_de_Oliva_Refinado"),$E$38&gt;0.2),"Desclassificado")))))</f>
        <v/>
      </c>
      <c r="H38" s="44" t="s">
        <v>328</v>
      </c>
      <c r="I38" s="44"/>
      <c r="J38" s="44"/>
      <c r="K38" s="44"/>
      <c r="L38" s="44"/>
      <c r="M38" s="44"/>
      <c r="N38" s="45"/>
    </row>
    <row r="39" spans="1:14" x14ac:dyDescent="0.3">
      <c r="A39" s="47"/>
      <c r="B39" s="49" t="s">
        <v>358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x14ac:dyDescent="0.3">
      <c r="A40" s="47"/>
      <c r="B40" s="7" t="s">
        <v>359</v>
      </c>
      <c r="C40" s="9"/>
      <c r="D40" s="9"/>
      <c r="E40" s="40" t="str">
        <f>IF($C$40="","NR",IF($C$40="ND","ND",IF($C$40="NQ","NQ",IF($C$40="NR","NR",IF($C$40-$D$40&lt;0,0,$C$40-$D$40)))))</f>
        <v>NR</v>
      </c>
      <c r="F40" s="15" t="str">
        <f t="shared" ref="F40:F46" si="2"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40" s="16" t="str">
        <f>IF($C$3="","",IF($E$40="NR","",IF(AND($C$3="Azeite_de_Oliva_Virgem",OR($E$40=0.5,$E$40&lt;0.5,$E$40="ND",$E$40="NQ")),"Extra Virgem/Virgem/Lampante",IF(AND(OR($C$3="Azeite_de_Oliva",$C$3="Azeite_de_Oliva_Refinado",$C$3="Óleo_de_Bagaço_de_Oliva",$C$3="Óleo_de_Bagaço_de_Oliva_Refinado"),OR($E$40=0.5,$E$40&lt;0.5,$E$40="ND",$E$40="NQ")),"Único",IF(AND(OR($C$3="Azeite_de_Oliva_Virgem",$C$3="Azeite_de_Oliva",$C$3="Azeite_de_Oliva_Refinado",$C$3="Óleo_de_Bagaço_de_Oliva",$C$3="Óleo_de_Bagaço_de_Oliva_Refinado"),$E$40&gt;0.5),"Desclassificado")))))</f>
        <v/>
      </c>
      <c r="H40" s="44" t="s">
        <v>330</v>
      </c>
      <c r="I40" s="44"/>
      <c r="J40" s="44"/>
      <c r="K40" s="44"/>
      <c r="L40" s="44"/>
      <c r="M40" s="44"/>
      <c r="N40" s="45"/>
    </row>
    <row r="41" spans="1:14" x14ac:dyDescent="0.3">
      <c r="A41" s="47"/>
      <c r="B41" s="7" t="s">
        <v>360</v>
      </c>
      <c r="C41" s="9"/>
      <c r="D41" s="9"/>
      <c r="E41" s="40" t="str">
        <f>IF($C$41="","NR",IF($C$41="ND","ND",IF($C$41="NQ","NQ",IF($C$41="NR","NR",IF($C$41-$D$41&lt;0,0,$C$41-$D$41)))))</f>
        <v>NR</v>
      </c>
      <c r="F41" s="15" t="str">
        <f t="shared" si="2"/>
        <v>AOV</v>
      </c>
      <c r="G41" s="16" t="str">
        <f>IF($C$3="","",IF($E$41="NR","",IF(AND($C$3="Azeite_de_Oliva_Virgem",OR($E$41=4,$E$41&lt;4,$E$41="nd")),"Extra Virgem/Virgem/Lampante",IF(AND(OR($C$3="Azeite_de_Oliva",$C$3="Azeite_de_Oliva_Refinado",$C$3="Óleo_de_Bagaço_de_Oliva",$C$3="Óleo_de_Bagaço_de_Oliva_Refinado"),OR($E$41=4,$E$41&lt;4,$E$41="nd")),"Único",IF(AND($C$3="Azeite_de_Oliva_Virgem",AND(OR($E$41=4.5,AND($E$41&gt;4,$E$41&lt;4.5)),OR($E$42&lt;1.4,$E$42=1.4),OR($E$45&lt;0.3,$E$45=0.3),OR($E$20&lt;0.05,$E$20=0.05))),"Extra Virgem/Virgem/Lampante",IF(AND(OR($C$3="Azeite_de_Oliva",$C$3="Azeite_de_Oliva_Refinado",$C$3="Óleo_de_Bagaço_de_Oliva",$C$3="Óleo_de_Bagaço_de_Oliva_Refinado"),AND(OR($E$41=4.5,AND($E$41&gt;4,$E$41&lt;4.5)),OR($E$42&lt;1.4,$E$42=1.4),OR($E$45&lt;0.3,$E$45=0.3),OR($E$20&lt;0.05,$E$20=0.05))),"Único",IF(AND(OR($C$3="Azeite_de_Oliva_Virgem",$C$3="Azeite_de_Oliva",$C$3="Azeite_de_Oliva_Refinado",$C$3="Óleo_de_Bagaço_de_Oliva",$C$3="Óleo_de_Bagaço_de_Oliva_Refinado"),$E$41&gt;4),"Desclassificado")))))))</f>
        <v/>
      </c>
      <c r="H41" s="44" t="s">
        <v>367</v>
      </c>
      <c r="I41" s="44"/>
      <c r="J41" s="44"/>
      <c r="K41" s="44"/>
      <c r="L41" s="44"/>
      <c r="M41" s="44"/>
      <c r="N41" s="45"/>
    </row>
    <row r="42" spans="1:14" x14ac:dyDescent="0.3">
      <c r="A42" s="47"/>
      <c r="B42" s="7" t="s">
        <v>361</v>
      </c>
      <c r="C42" s="9"/>
      <c r="D42" s="9"/>
      <c r="E42" s="40" t="str">
        <f>IF($C$42="","NR",IF($C$42="ND","ND",IF($C$42="NQ","NQ",IF($C$42="NR","NR",IF($C$42-$D$42&lt;0,0,$C$42-$D$42)))))</f>
        <v>NR</v>
      </c>
      <c r="F42" s="15" t="str">
        <f t="shared" si="2"/>
        <v>AOV</v>
      </c>
      <c r="G42" s="16" t="str">
        <f>IF($C$3="","",IF($E$42="NR","",IF(AND($C$3="Azeite_de_Oliva_Virgem",E42&lt;E41),"Extra Virgem/Virgem/Lampante",IF(AND($C$3="Azeite_de_Oliva_Virgem",E42&gt;=E41),"Desclassificado",IF(AND(OR($C$3="Azeite_de_Oliva",$C$3="Azeite_de_Oliva_Refinado",$C$3="Óleo_de_Bagaço_de_Oliva",$C$3="Óleo_de_Bagaço_de_Oliva_Refinado"),E42&lt;E41),"Único",IF(AND(OR($C$3="Azeite_de_Oliva_Virgem",$C$3="Azeite_de_Oliva",$C$3="Azeite_de_Oliva_Refinado",$C$3="Óleo_de_Bagaço_de_Oliva",$C$3="Óleo_de_Bagaço_de_Oliva_Refinado"),OR(E42&gt;=E41)),"Desclassificado"))))))</f>
        <v/>
      </c>
      <c r="H42" s="44" t="s">
        <v>368</v>
      </c>
      <c r="I42" s="44"/>
      <c r="J42" s="44"/>
      <c r="K42" s="44"/>
      <c r="L42" s="44"/>
      <c r="M42" s="44"/>
      <c r="N42" s="45"/>
    </row>
    <row r="43" spans="1:14" x14ac:dyDescent="0.3">
      <c r="A43" s="47"/>
      <c r="B43" s="7" t="s">
        <v>362</v>
      </c>
      <c r="C43" s="9"/>
      <c r="D43" s="9"/>
      <c r="E43" s="40" t="str">
        <f>IF($C$43="","NR",IF($C$43="ND","ND",IF($C$43="NQ","NQ",IF($C$43="NR","NR",IF($C$43-$D$43&lt;0,0,$C$43-$D$43)))))</f>
        <v>NR</v>
      </c>
      <c r="F43" s="15" t="str">
        <f t="shared" si="2"/>
        <v>AOV</v>
      </c>
      <c r="G43" s="16" t="str">
        <f>IF($C$3="","",IF($E$43="NR","",IF(AND($C$3="Azeite_de_Oliva_Virgem",OR($E$43=0.1,$E$43&lt;0.1,$E$43="ND",$E$43="NQ")),"Extra Virgem/Virgem/Lampante",IF(AND(OR($C$3="Azeite_de_Oliva",$C$3="Azeite_de_Oliva_Refinado"),OR($E$43=0.1,$E$43&lt;0.1,$E$43="ND",$E$43="NQ")),"Único",IF(AND(OR($C$3="Azeite_de_Oliva_Virgem",$C$3="Azeite_de_Oliva",$C$3="Azeite_de_Oliva_Refinado"),$E$43&gt;0.1),"Desclassificado",IF(AND(OR($C$3="Óleo_de_Bagaço_de_Oliva",$C$3="Óleo_de_Bagaço_de_Oliva_Refinado"),OR($E$43=0.2,$E$43&lt;0.2,$E$43="ND",$E$43="NQ")),"Único",IF(AND(OR($C$3="Óleo_de_Bagaço_de_Oliva",$C$3="Óleo_de_Bagaço_de_Oliva_Refinado"),$E$43&gt;0.2),"Desclassificado")))))))</f>
        <v/>
      </c>
      <c r="H43" s="44" t="s">
        <v>369</v>
      </c>
      <c r="I43" s="44"/>
      <c r="J43" s="44"/>
      <c r="K43" s="44"/>
      <c r="L43" s="44"/>
      <c r="M43" s="44" t="s">
        <v>328</v>
      </c>
      <c r="N43" s="45"/>
    </row>
    <row r="44" spans="1:14" ht="40.799999999999997" x14ac:dyDescent="0.3">
      <c r="A44" s="47"/>
      <c r="B44" s="7" t="s">
        <v>363</v>
      </c>
      <c r="C44" s="9"/>
      <c r="D44" s="9"/>
      <c r="E44" s="40" t="str">
        <f>IF($C$44="","NR",IF($C$44="ND","ND",IF($C$44="NQ","NQ",IF($C$44="NR","NR",IF($C$44-$D$44&lt;93,$C$44+$D$44,$C$44-$D$44)))))</f>
        <v>NR</v>
      </c>
      <c r="F44" s="15" t="str">
        <f t="shared" si="2"/>
        <v>AOV</v>
      </c>
      <c r="G44" s="16" t="str">
        <f>IF($C$3="","",IF($E$44="NR","",IF(AND(OR($C$3="Azeite_de_Oliva_Virgem",$C$3="Azeite_de_Oliva",$C$3="Azeite_de_Oliva_Refinado",$C$3="Óleo_de_Bagaço_de_Oliva",$C$3="Óleo_de_Bagaço_de_Oliva_Refinado"),OR($E$44&lt;93,$E$44="ND",$E$44="NQ")),"Desclassificado",IF(AND($C$3="Azeite_de_Oliva_Virgem",$E$44&gt;=93),"Extra Virgem/Virgem/Lampante",IF(AND(OR($C$3="Azeite_de_Oliva",$C$3="Azeite_de_Oliva_Refinado",$C$3="Óleo_de_Bagaço_de_Oliva",$C$3="Óleo_de_Bagaço_de_Oliva_Refinado"),$E$44&gt;=93),"Único")))))</f>
        <v/>
      </c>
      <c r="H44" s="44" t="s">
        <v>370</v>
      </c>
      <c r="I44" s="44"/>
      <c r="J44" s="44"/>
      <c r="K44" s="44"/>
      <c r="L44" s="44"/>
      <c r="M44" s="44"/>
      <c r="N44" s="45"/>
    </row>
    <row r="45" spans="1:14" x14ac:dyDescent="0.3">
      <c r="A45" s="47"/>
      <c r="B45" s="7" t="s">
        <v>364</v>
      </c>
      <c r="C45" s="9"/>
      <c r="D45" s="9"/>
      <c r="E45" s="40" t="str">
        <f>IF($C$45="","NR",IF($C$45="ND","ND",IF($C$45="NQ","NQ",IF($C$45="NR","NR",IF($C$45-$D$45&lt;0,0,$C$45-$D$45)))))</f>
        <v>NR</v>
      </c>
      <c r="F45" s="15" t="str">
        <f t="shared" si="2"/>
        <v>AOV</v>
      </c>
      <c r="G45" s="16" t="str">
        <f>IF($C$3="","",IF($E$45="NR","",IF(AND($C$3="Azeite_de_Oliva_Virgem",OR($E$45=0.5,$E$45&lt;0.5,$E$45="ND",$E$45="NQ")),"Extra Virgem/Virgem/Lampante",IF(AND(OR($C$3="Azeite_de_Oliva",$C$3="Azeite_de_Oliva_Refinado",$C$3="Óleo_de_Bagaço_de_Oliva",$C$3="Óleo_de_Bagaço_de_Oliva_Refinado"),OR($E$45=0.5,$E$45&lt;0.5,$E$45="ND",$E$45="NQ")),"Único",IF(AND(OR($C$3="Azeite_de_Oliva_Virgem",$C$3="Azeite_de_Oliva",$C$3="Azeite_de_Oliva_Refinado",$C$3="Óleo_de_Bagaço_de_Oliva",$C$3="Óleo_de_Bagaço_de_Oliva_Refinado"),$E$45&gt;0.5),"Desclassificado")))))</f>
        <v/>
      </c>
      <c r="H45" s="44" t="s">
        <v>330</v>
      </c>
      <c r="I45" s="44"/>
      <c r="J45" s="44"/>
      <c r="K45" s="44"/>
      <c r="L45" s="44"/>
      <c r="M45" s="44"/>
      <c r="N45" s="45"/>
    </row>
    <row r="46" spans="1:14" x14ac:dyDescent="0.3">
      <c r="A46" s="47"/>
      <c r="B46" s="7" t="s">
        <v>365</v>
      </c>
      <c r="C46" s="9"/>
      <c r="D46" s="9"/>
      <c r="E46" s="40" t="str">
        <f>IF($C$46="","NR",IF($C$46="ND","ND",IF($C$46="NQ","NQ",IF($C$46="NR","NR",IF(OR($C$3="Óleo_de_Bagaço_de_Oliva",$C$3="Óleo_de_Bagaço_de_Oliva_Refinado"),$C$46+$D$46,IF($C$46-$D$46&lt;0,0,$C$46-$D$46))))))</f>
        <v>NR</v>
      </c>
      <c r="F46" s="15" t="str">
        <f t="shared" si="2"/>
        <v>AOV</v>
      </c>
      <c r="G46" s="16" t="str">
        <f>IF($C$3="","",IF($E$46="NR","",IF(AND($C$3="Azeite_de_Oliva_Virgem",OR($E$46=4.5,$E$46&lt;4.5,$E$46="ND",$E$46="NQ")),"Extra Virgem/Virgem/Lampante",IF(AND(OR($C$3="Azeite_de_Oliva",$C$3="Azeite_de_Oliva_Refinado"),OR($E$46=4.5,$E$46&lt;4.5,$E$46="ND",$E$46="NQ")),"Único",IF(AND(OR($C$3="Azeite_de_Oliva_Virgem",$C$3="Azeite_de_Oliva",$C$3="Azeite_de_Oliva_Refinado"),$E$46&gt;4.5),"Desclassificado",IF(AND(OR($C$3="Óleo_de_Bagaço_de_Oliva",$C$3="Óleo_de_Bagaço_de_Oliva_Refinado"),OR($E$46=4.5,$E$46&gt;4.5)),"Único",IF(AND(OR($C$3="Óleo_de_Bagaço_de_Oliva",$C$3="Óleo_de_Bagaço_de_Oliva_Refinado"),OR($E$46&lt;4.5,$E$46="ND",$E$46="NQ")),"Desclassificado")))))))</f>
        <v/>
      </c>
      <c r="H46" s="44" t="s">
        <v>371</v>
      </c>
      <c r="I46" s="44"/>
      <c r="J46" s="44"/>
      <c r="K46" s="44"/>
      <c r="L46" s="44"/>
      <c r="M46" s="44" t="s">
        <v>372</v>
      </c>
      <c r="N46" s="45"/>
    </row>
    <row r="47" spans="1:14" ht="15" thickBot="1" x14ac:dyDescent="0.35">
      <c r="A47" s="47"/>
      <c r="B47" s="11" t="s">
        <v>366</v>
      </c>
      <c r="C47" s="9"/>
      <c r="D47" s="9"/>
      <c r="E47" s="42" t="str">
        <f>IF($C$47="","NR",IF($C$47="ND","ND",IF($C$47="NQ","NQ",IF($C$47="NR","NR",IF(AND(OR($C$3="Azeite_de_Oliva_Virgem",$C$3="Azeite_de_Oliva",$C$3="Azeite_de_Oliva_Refinado"),$C$47-$D$47&lt;1000),$C$47+$D$47,IF(AND($C$3="Óleo_de_Bagaço_de_Oliva",$C$47-$D$47&lt;1600),$C$47+$D$47,IF(AND($C$3="Óleo_de_Bagaço_de_Oliva_Refinado",$C$47-$D$47&lt;1800),$C$47+$D$47,$C$47-$D$47)))))))</f>
        <v>NR</v>
      </c>
      <c r="F47" s="19" t="str">
        <f t="shared" ref="F47:F59" si="3">IF($J$62="Desclassificado","",IF($C$3="","",IF($C$3="Azeite_de_Oliva_Virgem",$H$9,IF($C$3="Azeite_de_Oliva",$K$9,IF($C$3="Azeite_de_Oliva_Refinado",$L$9,IF($C$3="Óleo_de_Bagaço_de_Oliva",$M$9,IF($C$3="Óleo_de_Bagaço_de_Oliva_Refinado",$N$9)))))))</f>
        <v>AOV</v>
      </c>
      <c r="G47" s="20" t="str">
        <f>IF($C$3="","",IF($E$47="NR","",IF(AND($C$3="Azeite_de_Oliva_Virgem",OR($E$47=1000,$E$47&gt;1000)),"Extra Virgem/Virgem/Lampante",IF(AND(OR($C$3="Azeite_de_Oliva",$C$3="Azeite_de_Oliva_Refinado"),OR($E$47=1000,$E$47&gt;1000)),"Único",IF(AND(OR($C$3="Azeite_de_Oliva_Virgem",$C$3="Azeite_de_Oliva",$C$3="Azeite_de_Oliva_Refinado"),OR($E$47&lt;1000,$E$47="ND",$E$47="NQ")),"Desclassificado",IF(AND($C$3="Óleo_de_Bagaço_de_Oliva",OR($E$47=1600,$E$47&gt;1600)),"Único",IF(AND($C$3="Óleo_de_Bagaço_de_Oliva",OR($E$47&lt;1600,$E$47="ND",$E$47="NQ")),"Desclassificado",IF(AND($C$3="Óleo_de_Bagaço_de_Oliva_Refinado",OR($E$47=1800,$E$47&gt;1800)),"Único",IF(AND($C$3="Óleo_de_Bagaço_de_Oliva_Refinado",OR($E$47&lt;1800,$E$47="ND",$E$47="NQ")),"Desclassificado")))))))))</f>
        <v/>
      </c>
      <c r="H47" s="48" t="s">
        <v>373</v>
      </c>
      <c r="I47" s="48"/>
      <c r="J47" s="48"/>
      <c r="K47" s="48"/>
      <c r="L47" s="48"/>
      <c r="M47" s="37" t="s">
        <v>374</v>
      </c>
      <c r="N47" s="38" t="s">
        <v>375</v>
      </c>
    </row>
    <row r="48" spans="1:14" x14ac:dyDescent="0.3">
      <c r="A48" s="46" t="s">
        <v>400</v>
      </c>
      <c r="B48" s="8" t="s">
        <v>377</v>
      </c>
      <c r="C48" s="9"/>
      <c r="D48" s="9"/>
      <c r="E48" s="39" t="str">
        <f>IF($C$48="","NR",IF($C$48="ND","ND",IF($C$48="NQ","NQ",IF($C$48="NR","NR",IF($C$48-$D$48&lt;0,0,$C$48-$D$48)))))</f>
        <v>NR</v>
      </c>
      <c r="F48" s="13" t="str">
        <f t="shared" si="3"/>
        <v>AOV</v>
      </c>
      <c r="G48" s="14" t="str">
        <f>IF($C$3="","",IF(OR($C$3="Azeite_de_Oliva",$C$3="Azeite_de_Oliva_Refinado",$C$3="Óleo_de_Bagaço_de_Oliva",$C$3="Óleo_de_Bagaço_de_Oliva_Refinado"),"*",IF($E$48="NR","",IF(AND($C$3="Azeite_de_Oliva_Virgem",OR($G$13="Lampante",$J$62="Virgem")),"*",IF(AND($C$3="Azeite_de_Oliva_Virgem",OR($E$48=75,$E$48&lt;75,$E$48="ND",$E$48="NQ")),"Extra Virgem",IF(AND($C$3="Azeite_de_Oliva_Virgem",$E$48&gt;75),"Fora de Tipo"))))))</f>
        <v/>
      </c>
      <c r="H48" s="12" t="s">
        <v>389</v>
      </c>
      <c r="I48" s="53" t="s">
        <v>298</v>
      </c>
      <c r="J48" s="53"/>
      <c r="K48" s="53"/>
      <c r="L48" s="53"/>
      <c r="M48" s="53"/>
      <c r="N48" s="54"/>
    </row>
    <row r="49" spans="1:14" x14ac:dyDescent="0.3">
      <c r="A49" s="47"/>
      <c r="B49" s="7" t="s">
        <v>378</v>
      </c>
      <c r="C49" s="9"/>
      <c r="D49" s="9"/>
      <c r="E49" s="40" t="str">
        <f>IF($C$49="","NR",IF($C$49="ND","ND",IF($C$49="NQ","NQ",IF($C$49="NR","NR",IF($C$49-$D$49&lt;0,0,$C$49-$D$49)))))</f>
        <v>NR</v>
      </c>
      <c r="F49" s="15" t="str">
        <f t="shared" si="3"/>
        <v>AOV</v>
      </c>
      <c r="G49" s="16" t="str">
        <f>IF($C$3="","",IF(OR($C$3="Azeite_de_Oliva",$C$3="Azeite_de_Oliva_Refinado",$C$3="Óleo_de_Bagaço_de_Oliva",$C$3="Óleo_de_Bagaço_de_Oliva_Refinado"),"*",IF($E$49="NR","",IF(AND($C$3="Azeite_de_Oliva_Virgem",OR($G$13="Lampante",$J$62="Virgem")),"*",IF(AND($C$3="Azeite_de_Oliva_Virgem",OR($E$49=1.5,$E$49&lt;1.5,$E$49="ND",$E$49="NQ")),"Extra Virgem",IF(AND($C$3="Azeite_de_Oliva_Virgem",$E$49&gt;1.5),"Fora de Tipo"))))))</f>
        <v/>
      </c>
      <c r="H49" s="10" t="s">
        <v>390</v>
      </c>
      <c r="I49" s="44" t="s">
        <v>298</v>
      </c>
      <c r="J49" s="44"/>
      <c r="K49" s="44"/>
      <c r="L49" s="44"/>
      <c r="M49" s="44"/>
      <c r="N49" s="45"/>
    </row>
    <row r="50" spans="1:14" ht="24" customHeight="1" x14ac:dyDescent="0.3">
      <c r="A50" s="47"/>
      <c r="B50" s="7" t="s">
        <v>379</v>
      </c>
      <c r="C50" s="43"/>
      <c r="D50" s="43"/>
      <c r="E50" s="40" t="str">
        <f>IF($C$50="","NR",IF($C$50="ND","ND",IF($C$50="NQ","NQ",IF($C$50="NR","NR",IF(AND(OR($C$3="Azeite_de_Oliva_Virgem",$C$3="Azeite_de_Oliva",$C$3="Azeite_de_Oliva_Refinado"),$C$50-$D$50&lt;1.4677),$C$50+$D$50,IF(AND(OR($C$3="Óleo_de_Bagaço_de_Oliva",$C$3="Óleo_de_Bagaço_de_Oliva_Refinado"),$C$50+$D$50&lt;1.468),$C$50+D$50,C$50-D$50))))))</f>
        <v>NR</v>
      </c>
      <c r="F50" s="15" t="str">
        <f t="shared" si="3"/>
        <v>AOV</v>
      </c>
      <c r="G50" s="16" t="str">
        <f>IF($C$3="","",IF($E$50="NR","",IF(AND($C$3="Azeite_de_Oliva_Virgem",OR(AND($E$50&gt;1.4677,$E$50&lt;1.4705),$E$50=1.4677,$E$50=1.4705)),"Extra Virgem/Virgem/Lampante",IF(AND($C$3="Azeite_de_Oliva_Virgem",OR($E$50&lt;1.4677,$E$50&gt;1.4705,$E$50="ND",$E$50="NQ")),"Fora de Tipo",IF(AND(OR($C$3="Azeite_de_Oliva",$C$3="Azeite_de_Oliva_Refinado"),OR(AND($E$50&gt;1.4677,$E$50&lt;1.4705),$E$50=1.4677,$E$50=1.4705)),"Único",IF(AND(OR($C$3="Azeite_de_Oliva",$C$3="Azeite_de_Oliva_Refinado"),OR($E$50&lt;1.4677,$E$50&gt;1.4705,$E$50="ND",$E$50="NQ")),"Fora de Tipo",IF(AND(OR($C$3="Óleo_de_Bagaço_de_Oliva",$C$3="Óleo_de_Bagaço_de_Oliva_Refinado"),OR(AND($E$50&gt;1.468,$E$50&lt;1.4707),$E$50=1.468,$E$50=1.4707)),"Único",IF(AND(OR($C$3="Óleo_de_Bagaço_de_Oliva",$C$3="Óleo_de_Bagaço_de_Oliva_Refinado"),OR($E$50&lt;1.468,$E$50&gt;1.4707,$E$50="ND",$E$50="NQ")),"Fora de Tipo"))))))))</f>
        <v/>
      </c>
      <c r="H50" s="67" t="s">
        <v>391</v>
      </c>
      <c r="I50" s="92"/>
      <c r="J50" s="92"/>
      <c r="K50" s="92"/>
      <c r="L50" s="68"/>
      <c r="M50" s="67" t="s">
        <v>392</v>
      </c>
      <c r="N50" s="91"/>
    </row>
    <row r="51" spans="1:14" ht="24" customHeight="1" x14ac:dyDescent="0.3">
      <c r="A51" s="47"/>
      <c r="B51" s="7" t="s">
        <v>380</v>
      </c>
      <c r="C51" s="9"/>
      <c r="D51" s="9"/>
      <c r="E51" s="40" t="str">
        <f>IF($C$51="","NR",IF($C$51="ND","ND",IF($C$51="NQ","NQ",IF($C$51="NR","NR",IF(AND(OR($C$3="Azeite_de_Oliva_Virgem",$C$3="Azeite_de_Oliva",$C$3="Azeite_de_Oliva_Refinado"),$C$51-$D$51&lt;184),$C$51+$D$51,IF(AND(OR($C$3="Óleo_de_Bagaço_de_Oliva",$C$3="Óleo_de_Bagaço_de_Oliva_Refinado"),$C$51+$D$51&lt;182),$C$51+D$51,C$51-D$51))))))</f>
        <v>NR</v>
      </c>
      <c r="F51" s="15" t="str">
        <f t="shared" si="3"/>
        <v>AOV</v>
      </c>
      <c r="G51" s="16" t="str">
        <f>IF($C$3="","",IF($E$51="NR","",IF(AND($C$3="Azeite_de_Oliva_Virgem",OR(AND($E$51&gt;184,$E$51&lt;196),$E$51=184,$E$51=196)),"Extra Virgem/Virgem/Lampante",IF(AND($C$3="Azeite_de_Oliva_Virgem",OR($E$51&lt;184,$E$51&gt;196,$E$51="ND",$E$51="NQ")),"Fora de Tipo",IF(AND(OR($C$3="Azeite_de_Oliva",$C$3="Azeite_de_Oliva_Refinado"),OR(AND($E$51&gt;184,$E$51&lt;196),$E$51=184,$E$51=196)),"Único",IF(AND(OR($C$3="Azeite_de_Oliva",$C$3="Azeite_de_Oliva_Refinado"),OR($E$51&lt;184,$E$51&gt;196,$E$51="ND",$E$51="NQ")),"Fora de Tipo",IF(AND(OR($C$3="Óleo_de_Bagaço_de_Oliva",$C$3="Óleo_de_Bagaço_de_Oliva_Refinado"),OR(AND($E$51&gt;182,$E$51&lt;193),$E$51=182,$E$51=193)),"Único",IF(AND(OR($C$3="Óleo_de_Bagaço_de_Oliva",$C$3="Óleo_de_Bagaço_de_Oliva_Refinado"),OR($E$51&lt;182,$E$51&gt;193,$E$51="ND",$E$51="NQ")),"Fora de Tipo"))))))))</f>
        <v/>
      </c>
      <c r="H51" s="67" t="s">
        <v>393</v>
      </c>
      <c r="I51" s="92"/>
      <c r="J51" s="92"/>
      <c r="K51" s="92"/>
      <c r="L51" s="68"/>
      <c r="M51" s="67" t="s">
        <v>394</v>
      </c>
      <c r="N51" s="91"/>
    </row>
    <row r="52" spans="1:14" x14ac:dyDescent="0.3">
      <c r="A52" s="47"/>
      <c r="B52" s="7" t="s">
        <v>381</v>
      </c>
      <c r="C52" s="9"/>
      <c r="D52" s="9"/>
      <c r="E52" s="40" t="str">
        <f>IF($C$52="","NR",IF($C$52="ND","ND",IF($C$52="NQ","NQ",IF($C$52="NR","NR",IF($C$52-$D$52&lt;0,0,$C$52-$D$52)))))</f>
        <v>NR</v>
      </c>
      <c r="F52" s="15" t="str">
        <f t="shared" si="3"/>
        <v>AOV</v>
      </c>
      <c r="G52" s="16" t="str">
        <f>IF($C$3="","",IF($E$52="NR","",IF(AND($C$3="Azeite_de_Oliva_Virgem",OR($E$52&lt;0.2,$E$52=0.2,$E$52="ND",$E$52="NQ")),"Extra Virgem/Virgem/Lampante",IF(AND($C$3="Azeite_de_Oliva_Virgem",$E$52&gt;0.2),"Fora de Tipo",IF(AND(OR($C$3="Azeite_de_Oliva",$C$3="Azeite_de_Oliva_Refinado",$C$3="Óleo_de_Bagaço_de_Oliva",$C$3="Óleo_de_Bagaço_de_Oliva_Refinado"),OR($E$52&lt;0.1,$E$52=0.1,$E$52="ND",$E$52="NQ")),"Único",IF(AND(OR($C$3="Azeite_de_Oliva",$C$3="Azeite_de_Oliva_Refinado",$C$3="Óleo_de_Bagaço_de_Oliva",$C$3="Óleo_de_Bagaço_de_Oliva_Refinado"),$E$52&gt;0.1),"Fora de Tipo"))))))</f>
        <v/>
      </c>
      <c r="H52" s="44" t="s">
        <v>328</v>
      </c>
      <c r="I52" s="44"/>
      <c r="J52" s="44"/>
      <c r="K52" s="44" t="s">
        <v>369</v>
      </c>
      <c r="L52" s="44"/>
      <c r="M52" s="44"/>
      <c r="N52" s="45"/>
    </row>
    <row r="53" spans="1:14" x14ac:dyDescent="0.3">
      <c r="A53" s="47"/>
      <c r="B53" s="7" t="s">
        <v>382</v>
      </c>
      <c r="C53" s="9"/>
      <c r="D53" s="9"/>
      <c r="E53" s="40" t="str">
        <f>IF($C$53="","NR",IF($C$53="ND","ND",IF($C$53="NQ","NQ",IF($C$53="NR","NR",IF($C$53-$D$53&lt;0,0,$C$53-$D$53)))))</f>
        <v>NR</v>
      </c>
      <c r="F53" s="15" t="str">
        <f t="shared" si="3"/>
        <v>AOV</v>
      </c>
      <c r="G53" s="16" t="str">
        <f>IF($C$3="","",IF($E$53="NR","",IF(AND($C$3="Azeite_de_Oliva_Virgem",OR($E$53&lt;15,$E$53=15,$E$53="ND",$E$53="NQ")),"Extra Virgem/Virgem/Lampante",IF(AND($C$3="Azeite_de_Oliva_Virgem",$E$53&gt;15),"Fora de Tipo",IF(AND(OR($C$3="Azeite_de_Oliva",$C$3="Azeite_de_Oliva_Refinado"),OR($E$53&lt;15,$E$53=15,$E$53="ND",$E$53="NQ")),"Único",IF(AND(OR($C$3="Azeite_de_Oliva",$C$3="Azeite_de_Oliva_Refinado"),$E$53&gt;15),"Fora de Tipo",IF(AND(OR($C$3="Óleo_de_Bagaço_de_Oliva",$C$3="Óleo_de_Bagaço_de_Oliva_Refinado"),OR($E$53&lt;30,$E$53=30,$E$53="ND",$E$53="NQ")),"Único",IF(AND(OR($C$3="Óleo_de_Bagaço_de_Oliva",$C$3="Óleo_de_Bagaço_de_Oliva_Refinado"),$E$53&gt;30),"Fora de Tipo"))))))))</f>
        <v/>
      </c>
      <c r="H53" s="44" t="s">
        <v>395</v>
      </c>
      <c r="I53" s="44"/>
      <c r="J53" s="44"/>
      <c r="K53" s="44"/>
      <c r="L53" s="44"/>
      <c r="M53" s="44" t="s">
        <v>396</v>
      </c>
      <c r="N53" s="45"/>
    </row>
    <row r="54" spans="1:14" x14ac:dyDescent="0.3">
      <c r="A54" s="47"/>
      <c r="B54" s="7" t="s">
        <v>383</v>
      </c>
      <c r="C54" s="9"/>
      <c r="D54" s="9"/>
      <c r="E54" s="40" t="str">
        <f>IF($C$54="","NR",IF($C$54="ND","ND",IF($C$54="NQ","NQ",IF($C$54="NR","NR",IF($C$54-$D$54&lt;0,0,$C$54-$D$54)))))</f>
        <v>NR</v>
      </c>
      <c r="F54" s="15" t="str">
        <f t="shared" si="3"/>
        <v>AOV</v>
      </c>
      <c r="G54" s="16" t="str">
        <f>IF($C$3="","",IF($E$54="NR","",IF(AND($C$3="Azeite_de_Oliva_Virgem",OR($E$54&lt;0.1,$E$54=0.1,$E$54="ND",$E$54="NQ")),"Extra Virgem/Virgem/Lampante",IF(AND($C$3="Azeite_de_Oliva_Virgem",$E$54&gt;0.1),"Fora de Tipo",IF(AND(OR($C$3="Azeite_de_Oliva",$C$3="Azeite_de_Oliva_Refinado",$C$3="Óleo_de_Bagaço_de_Oliva",$C$3="Óleo_de_Bagaço_de_Oliva_Refinado"),OR($E$54&lt;0.05,$E$54=0.05,$E$54="ND",$E$54="NQ")),"Único",IF(AND(OR($C$3="Azeite_de_Oliva",$C$3="Azeite_de_Oliva_Refinado",$C$3="Óleo_de_Bagaço_de_Oliva",$C$3="Óleo_de_Bagaço_de_Oliva_Refinado"),$E$54&gt;0.05),"Fora de Tipo"))))))</f>
        <v/>
      </c>
      <c r="H54" s="44" t="s">
        <v>369</v>
      </c>
      <c r="I54" s="44"/>
      <c r="J54" s="44"/>
      <c r="K54" s="44" t="s">
        <v>346</v>
      </c>
      <c r="L54" s="44"/>
      <c r="M54" s="44"/>
      <c r="N54" s="45"/>
    </row>
    <row r="55" spans="1:14" x14ac:dyDescent="0.3">
      <c r="A55" s="47"/>
      <c r="B55" s="7" t="s">
        <v>384</v>
      </c>
      <c r="C55" s="9"/>
      <c r="D55" s="9"/>
      <c r="E55" s="40" t="str">
        <f>IF($C$55="","NR",IF($C$55="ND","ND",IF($C$55="NQ","NQ",IF($C$55="NR","NR",IF($C$55-$D$55&lt;75,$C$55+$D$55,C$55-D$55)))))</f>
        <v>NR</v>
      </c>
      <c r="F55" s="15" t="str">
        <f t="shared" si="3"/>
        <v>AOV</v>
      </c>
      <c r="G55" s="16" t="str">
        <f>IF($C$3="","",IF($E$55="NR","",IF(AND($C$3="Azeite_de_Oliva_Virgem",OR(AND($E$55&gt;75,$E$55&lt;94),$E$55=75,$E$55=94)),"Extra Virgem/Virgem/Lampante",IF(AND($C$3="Azeite_de_Oliva_Virgem",OR($E$55&lt;75,$E$55&gt;94,$E$55="ND",$E$55="NQ")),"Fora de Tipo",IF(AND(OR($C$3="Azeite_de_Oliva",$C$3="Azeite_de_Oliva_Refinado"),OR(AND($E$55&gt;75,$E$55&lt;94),$E$55=75,$E$55=94)),"Único",IF(AND(OR($C$3="Azeite_de_Oliva",$C$3="Azeite_de_Oliva_Refinado"),OR($E$55&lt;75,$E$55&gt;94,$E$55="ND",$E$55="NQ")),"Fora de Tipo",IF(AND(OR($C$3="Óleo_de_Bagaço_de_Oliva",$C$3="Óleo_de_Bagaço_de_Oliva_Refinado"),OR(AND($E$55&gt;75,$E$55&lt;92),$E$55=75,$E$55=92)),"Único",IF(AND(OR($C$3="Óleo_de_Bagaço_de_Oliva",$C$3="Óleo_de_Bagaço_de_Oliva_Refinado"),OR($E$55&lt;75,$E$55&gt;92,$E$55="ND",$E$55="NQ")),"Fora de Tipo"))))))))</f>
        <v/>
      </c>
      <c r="H55" s="44" t="s">
        <v>397</v>
      </c>
      <c r="I55" s="44"/>
      <c r="J55" s="44"/>
      <c r="K55" s="44"/>
      <c r="L55" s="44"/>
      <c r="M55" s="44" t="s">
        <v>398</v>
      </c>
      <c r="N55" s="45"/>
    </row>
    <row r="56" spans="1:14" x14ac:dyDescent="0.3">
      <c r="A56" s="47"/>
      <c r="B56" s="7" t="s">
        <v>385</v>
      </c>
      <c r="C56" s="9"/>
      <c r="D56" s="9"/>
      <c r="E56" s="40" t="str">
        <f>IF($C$56="","NR",IF($C$56="ND","ND",IF($C$56="NQ","NQ",IF($C$56="NR","NR",IF($C$56-$D$56&lt;0,0,$C$56-$D$56)))))</f>
        <v>NR</v>
      </c>
      <c r="F56" s="15" t="str">
        <f t="shared" si="3"/>
        <v>AOV</v>
      </c>
      <c r="G56" s="16" t="str">
        <f>IF($C$3="","",IF($E$56="NR","",IF(AND($C$3="Azeite_de_Oliva_Virgem",OR($E$56=0.1,$E$56&lt;0.1,$E$56="ND",$E$56="NQ")),"Extra Virgem/Virgem/Lampante",IF(AND($C$3="Azeite_de_Oliva_Virgem",$E$56&gt;0.1),"Desclassificado",IF(AND(OR($C$3="Azeite_de_Oliva",$C$3="Azeite_de_Oliva_Refinado",$C$3="Óleo_de_Bagaço_de_Oliva",$C$3="Óleo_de_Bagaço_de_Oliva_Refinado"),OR($E$56=0.1,$E$56&lt;0.1,$E$56="ND",$E$56="NQ")),"Único",IF(AND(OR($C$3="Azeite_de_Oliva_Virgem",$C$3="Azeite_de_Oliva",$C$3="Azeite_de_Oliva_Refinado",$C$3="Óleo_de_Bagaço_de_Oliva",$C$3="Óleo_de_Bagaço_de_Oliva_Refinado"),$E$56&gt;0.1),"Desclassificado"))))))</f>
        <v/>
      </c>
      <c r="H56" s="44" t="s">
        <v>369</v>
      </c>
      <c r="I56" s="44"/>
      <c r="J56" s="44"/>
      <c r="K56" s="44"/>
      <c r="L56" s="44"/>
      <c r="M56" s="44"/>
      <c r="N56" s="45"/>
    </row>
    <row r="57" spans="1:14" x14ac:dyDescent="0.3">
      <c r="A57" s="47"/>
      <c r="B57" s="7" t="s">
        <v>386</v>
      </c>
      <c r="C57" s="9"/>
      <c r="D57" s="9"/>
      <c r="E57" s="40" t="str">
        <f>IF($C$57="","NR",IF($C$57="ND","ND",IF($C$57="NQ","NQ",IF($C$57="NR","NR",IF($C$57-$D$57&lt;0,0,$C$57-$D$57)))))</f>
        <v>NR</v>
      </c>
      <c r="F57" s="15" t="str">
        <f t="shared" si="3"/>
        <v>AOV</v>
      </c>
      <c r="G57" s="16" t="str">
        <f>IF($C$3="","",IF($E$57="NR","",IF(AND($C$3="Azeite_de_Oliva_Virgem",OR($E$57=0.1,$E$57&lt;0.1,$E$57="ND",$E$57="NQ")),"Extra Virgem/Virgem/Lampante",IF(AND($C$3="Azeite_de_Oliva_Virgem",$E$57&gt;0.1),"Desclassificado",IF(AND(OR($C$3="Azeite_de_Oliva",$C$3="Azeite_de_Oliva_Refinado",$C$3="Óleo_de_Bagaço_de_Oliva",$C$3="Óleo_de_Bagaço_de_Oliva_Refinado"),OR($E$57=0.1,$E$57&lt;0.1,$E$57="ND",$E$57="NQ")),"Único",IF(AND(OR($C$3="Azeite_de_Oliva_Virgem",$C$3="Azeite_de_Oliva",$C$3="Azeite_de_Oliva_Refinado",$C$3="Óleo_de_Bagaço_de_Oliva",$C$3="Óleo_de_Bagaço_de_Oliva_Refinado"),$E$57&gt;0.1),"Desclassificado"))))))</f>
        <v/>
      </c>
      <c r="H57" s="44" t="s">
        <v>369</v>
      </c>
      <c r="I57" s="44"/>
      <c r="J57" s="44"/>
      <c r="K57" s="44"/>
      <c r="L57" s="44"/>
      <c r="M57" s="44"/>
      <c r="N57" s="45"/>
    </row>
    <row r="58" spans="1:14" x14ac:dyDescent="0.3">
      <c r="A58" s="47"/>
      <c r="B58" s="7" t="s">
        <v>387</v>
      </c>
      <c r="C58" s="9"/>
      <c r="D58" s="9"/>
      <c r="E58" s="40" t="str">
        <f>IF($C$58="","NR",IF($C$58="ND","ND",IF($C$58="NQ","NQ",IF($C$58="NR","NR",IF($C$58-$D$58&lt;0,0,$C$58-$D$58)))))</f>
        <v>NR</v>
      </c>
      <c r="F58" s="15" t="str">
        <f t="shared" si="3"/>
        <v>AOV</v>
      </c>
      <c r="G58" s="16" t="str">
        <f>IF($C$3="","",IF($E$58="NR","",IF(AND($C$3="Azeite_de_Oliva_Virgem",OR($E$58=3,$E$58&lt;3,$E$58="ND",$E$58="NQ")),"Extra Virgem/Virgem/Lampante",IF(AND($C$3="Azeite_de_Oliva_Virgem",$E$58&gt;3),"Desclassificado",IF(AND(OR($C$3="Azeite_de_Oliva",$C$3="Azeite_de_Oliva_Refinado",$C$3="Óleo_de_Bagaço_de_Oliva",$C$3="Óleo_de_Bagaço_de_Oliva_Refinado"),OR($E$58=3,$E$58&lt;3,$E$58="ND",$E$58="NQ")),"Único",IF(AND(OR($C$3="Azeite_de_Oliva_Virgem",$C$3="Azeite_de_Oliva",$C$3="Azeite_de_Oliva_Refinado",$C$3="Óleo_de_Bagaço_de_Oliva",$C$3="Óleo_de_Bagaço_de_Oliva_Refinado"),$E$58&gt;3),"Desclassificado"))))))</f>
        <v/>
      </c>
      <c r="H58" s="44" t="s">
        <v>399</v>
      </c>
      <c r="I58" s="44"/>
      <c r="J58" s="44"/>
      <c r="K58" s="44"/>
      <c r="L58" s="44"/>
      <c r="M58" s="44"/>
      <c r="N58" s="45"/>
    </row>
    <row r="59" spans="1:14" ht="15" thickBot="1" x14ac:dyDescent="0.35">
      <c r="A59" s="47"/>
      <c r="B59" s="11" t="s">
        <v>388</v>
      </c>
      <c r="C59" s="9"/>
      <c r="D59" s="9"/>
      <c r="E59" s="42" t="str">
        <f>IF($C$59="","NR",IF($C$59="ND","ND",IF($C$59="NQ","NQ",IF($C$59="NR","NR",IF($C$59-$D$59&lt;0,0,$C$59-$D$59)))))</f>
        <v>NR</v>
      </c>
      <c r="F59" s="19" t="str">
        <f t="shared" si="3"/>
        <v>AOV</v>
      </c>
      <c r="G59" s="20" t="str">
        <f>IF($C$3="","",IF($E$59="NR","",IF(AND($C$3="Azeite_de_Oliva_Virgem",OR($E$59=0.1,$E$59&lt;0.1,$E$59="ND",$E$59="NQ")),"Extra Virgem/Virgem/Lampante",IF(AND($C$3="Azeite_de_Oliva_Virgem",$E$59&gt;0.1),"Desclassificado",IF(AND(OR($C$3="Azeite_de_Oliva",$C$3="Azeite_de_Oliva_Refinado",$C$3="Óleo_de_Bagaço_de_Oliva",$C$3="Óleo_de_Bagaço_de_Oliva_Refinado"),OR($E$59=0.1,$E$59&lt;0.1,$E$59="ND",$E$59="NQ")),"Único",IF(AND(OR($C$3="Azeite_de_Oliva_Virgem",$C$3="Azeite_de_Oliva",$C$3="Azeite_de_Oliva_Refinado",$C$3="Óleo_de_Bagaço_de_Oliva",$C$3="Óleo_de_Bagaço_de_Oliva_Refinado"),$E$59&gt;0.1),"Desclassificado"))))))</f>
        <v/>
      </c>
      <c r="H59" s="48" t="s">
        <v>369</v>
      </c>
      <c r="I59" s="48"/>
      <c r="J59" s="48"/>
      <c r="K59" s="48"/>
      <c r="L59" s="48"/>
      <c r="M59" s="48"/>
      <c r="N59" s="90"/>
    </row>
    <row r="60" spans="1:14" x14ac:dyDescent="0.3">
      <c r="A60" s="109" t="s">
        <v>401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1"/>
    </row>
    <row r="61" spans="1:14" x14ac:dyDescent="0.3">
      <c r="A61" s="112" t="s">
        <v>402</v>
      </c>
      <c r="B61" s="95"/>
      <c r="C61" s="93" t="s">
        <v>407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4"/>
    </row>
    <row r="62" spans="1:14" ht="24" customHeight="1" x14ac:dyDescent="0.3">
      <c r="A62" s="112" t="s">
        <v>403</v>
      </c>
      <c r="B62" s="95"/>
      <c r="C62" s="105" t="str">
        <f>IF($J$62="","",IF($J$62="Desclassificado","",IF($C$3="Azeite_de_Oliva_Virgem","Azeite de Oliva Virgem",IF($C$3="Azeite_de_Oliva","Azeite de Oliva",IF($C$3="Azeite_de_Oliva_Refinado","Azeite de Oliva Refinado",IF($C$3="Óleo_de_Bagaço_de_Oliva","Óleo de Bagaço de Oliva",IF($C$3="Óleo_de_Bagaço_de_Oliva_Refinado","Óleo de Bagaço de Oliva Refinado")))))))</f>
        <v/>
      </c>
      <c r="D62" s="106"/>
      <c r="E62" s="106"/>
      <c r="F62" s="106"/>
      <c r="G62" s="107"/>
      <c r="H62" s="95" t="s">
        <v>408</v>
      </c>
      <c r="I62" s="95"/>
      <c r="J62" s="105" t="str">
        <f>IF(AND($E$13="NR",$E$14="NR",$E$15="NR",$E$16="NR",$E$17="NR",$E$18="NR",$E$19="NR",$E$20="NR",$E$21="NR",$E$22="NR",$E$24="NR",$E$25="NR",$E$26="NR",$E$27="NR",$E$28="NR",$E$29="NR",$E$30="NR",$E$31="NR",$E$32="NR",$E$33="NR",$E$34="NR",$E$35="NR",$E$36="NR",$E$37="NR",$E$38="NR",$E$40="NR",$E$41="NR",$E$42="NR",$E$43="NR",$E$44="NR",$E$45="NR",$E$46="NR",$E$47="NR",$E$48="NR",$E$49="NR",$E$50="NR",$E$51="NR",$E$52="NR",$E$53="NR",$E$54="NR",$E$55="NR",$E$56="NR",$E$57="NR",$E$58="NR",$E$59="NR"),"",IF(OR($G$20="Desclassificado",$G$21="Desclassificado",$G$22="Desclassificado",$G$24="Desclassificado",$G$25="Desclassificado",$G$26="Desclassificado",$G$27="Desclassificado",$G$28="Desclassificado",$G$29="Desclassificado",$G$30="Desclassificado",$G$31="Desclassificado",$G$32="Desclassificado",$G$33="Desclassificado",$G$34="Desclassificado",$G$35="Desclassificado",$G$36="Desclassificado",$G$37="Desclassificado",$G$38="Desclassificado",$G$40="Desclassificado",$G$41="Desclassificado",$G$42="Desclassificado",$G$43="Desclassificado",$G$44="Desclassificado",$G$45="Desclassificado",$G$46="Desclassificado",$G$47="Desclassificado",$G$56="Desclassificado",$G$57="Desclassificado",$G$58="Desclassificado",$G$59="Desclassificado"),"Desclassificado",IF(OR($G$13="Fora de Tipo",$G$14="Fora de Tipo",$G$15="Fora de Tipo",$G$16="Fora de Tipo",$G$17="Fora de Tipo",$G$48="Fora de Tipo",$G$49="Fora de Tipo",$G$50="Fora de Tipo",$G$51="Fora de Tipo",$G$52="Fora de Tipo",$G$53="Fora de Tipo",$G$54="Fora de Tipo",$G$55="Fora de Tipo"),"Fora de Tipo",IF(OR($G$13="Lampante",$G$18="Lampante",$G$19="Lampante",$G$20="Lampante",$G$21="Lampante",$G$22="Lampante",$G$24="Lampante",$G$25="Lampante"),"Lampante",IF(OR($G$13="Virgem",$G$15="Virgem",$G$17="Virgem",$G$18="Virgem"),"Virgem",IF(OR($G$13="Extra Virgem",$G$15="Extra Virgem",$G$17="Extra Virgem",$G$18="Extra Virgem",$G$48="Extra Virgem",$G$49="Extra Virgem"),"Extra Virgem",IF(OR($G$14="Extra Virgem/Virgem",$G$16="Extra Virgem/Virgem",$G$19="Extra Virgem/Virgem",$G$20="Extra Virgem/Virgem",$G$21="Extra Virgem/Virgem",$G$22="Extra Virgem/Virgem",$G$24="Extra Virgem/Virgem",$G$25="Extra Virgem/Virgem"),"Extra Virgem/Virgem",IF(OR($G$26="Extra Virgem/Virgem/Lampante",$G$27="Extra Virgem/Virgem/Lampante",$G$28="Extra Virgem/Virgem/Lampante",$G$29="Extra Virgem/Virgem/Lampante",$G$30="Extra Virgem/Virgem/Lampante",$G$31="Extra Virgem/Virgem/Lampante",$G$32="Extra Virgem/Virgem/Lampante",$G$33="Extra Virgem/Virgem/Lampante",$G$34="Extra Virgem/Virgem/Lampante",$G$35="Extra Virgem/Virgem/Lampante",$G$36="Extra Virgem/Virgem/Lampante",$G$37="Extra Virgem/Virgem/Lampante",$G$38="Extra Virgem/Virgem/Lampante",$G$40="Extra Virgem/Virgem/Lampante",$G$41="Extra Virgem/Virgem/Lampante",$G$42="Extra Virgem/Virgem/Lampante",$G$43="Extra Virgem/Virgem/Lampante",$G$44="Extra Virgem/Virgem/Lampante",$G$45="Extra Virgem/Virgem/Lampante",$G$46="Extra Virgem/Virgem/Lampante",$G$47="Extra Virgem/Virgem/Lampante",$G$50="Extra Virgem/Virgem/Lampante",$G$51="Extra Virgem/Virgem/Lampante",$G$52="Extra Virgem/Virgem/Lampante",$G$53="Extra Virgem/Virgem/Lampante",$G$54="Extra Virgem/Virgem/Lampante",$G$55="Extra Virgem/Virgem/Lampante",$G$56="Extra Virgem/Virgem/Lampante",$G$57="Extra Virgem/Virgem/Lampante",$G$58="Extra Virgem/Virgem/Lampante",$G$59="Extra Virgem/Virgem/Lampante"),"Extra Virgem/Virgem/Lampante",IF(OR($C$3="Azeite_de_Oliva",$C$3="Azeite_de_Oliva_Refinado",$C$3="Óleo_de_Bagaço_de_Oliva",$C$3="Óleo_de_Bagaço_de_Oliva_Refinado"),"Único")))))))))</f>
        <v/>
      </c>
      <c r="K62" s="106"/>
      <c r="L62" s="106"/>
      <c r="M62" s="106"/>
      <c r="N62" s="108"/>
    </row>
    <row r="63" spans="1:14" ht="24" customHeight="1" x14ac:dyDescent="0.3">
      <c r="A63" s="112" t="s">
        <v>404</v>
      </c>
      <c r="B63" s="95"/>
      <c r="C63" s="96" t="str">
        <f>IF($J$62="","",IF(AND(OR($G$20="Desclassificado",$G$21="Desclassificado",$G$22="Desclassificado",$G$24="Desclassificado",$G$25="Desclassificado",$G$26="Desclassificado",$G$27="Desclassificado",$G$28="Desclassificado",$G$29="Desclassificado",$G$30="Desclassificado",$G$31="Desclassificado",$G$32="Desclassificado",$G$33="Desclassificado",$G$34="Desclassificado",$G$35="Desclassificado",$G$36="Desclassificado",$G$37="Desclassificado",$G$38="Desclassificado",$G$40="Desclassificado",$G$41="Desclassificado",$G$42="Desclassificado",$G$43="Desclassificado",$G$44="Desclassificado",$G$45="Desclassificado",$G$46="Desclassificado",$G$47="Desclassificado"),OR($G$56="Desclassificado",$G$57="Desclassificado",$G$58="Desclassificado",$G$59="Desclassificado")),"Produto Desclassificado por não atender um ou mais limite(s) de tolerância estabelecido(s) no Anexo III e IV da Instrução Normativa MAPA nº 01 de 30 de janeiro de 2012.",IF(OR($G$20="Desclassificado",$G$21="Desclassificado",$G$22="Desclassificado",$G$24="Desclassificado",$G$25="Desclassificado",$G$26="Desclassificado",$G$27="Desclassificado",$G$28="Desclassificado",$G$29="Desclassificado",$G$30="Desclassificado",$G$31="Desclassificado",$G$32="Desclassificado",$G$33="Desclassificado",$G$34="Desclassificado",$G$35="Desclassificado",$G$36="Desclassificado",$G$37="Desclassificado",$G$38="Desclassificado",$G$40="Desclassificado",$G$41="Desclassificado",$G$42="Desclassificado",$G$43="Desclassificado",$G$44="Desclassificado",$G$45="Desclassificado",$G$46="Desclassificado",$G$47="Desclassificado"),"Produto Desclassificado por não atender um ou mais limite(s) de tolerância estabelecido(s) no Anexo III da Instrução Normativa MAPA nº 01 de 30 de janeiro de 2012.",IF(OR($G$56="Desclassificado",$G$57="Desclassificado",$G$58="Desclassificado",$G$59="Desclassificado"),"Produto Desclassificado por não atender um ou mais limite(s) de tolerância estabelecido(s) no Anexo IV da Instrução Normativa MAPA nº 01 de 30 de janeiro de 2012.",IF($J$62="Extra Virgem","Produto classificado no grupo Azeite de Oliva Virgem, tipo Extra Virgem por atender aos limites de tolerância estabelecidos nos Anexo I e/ou Anexo II da Instrução Normativa MAPA nº 01 de 30 de janeiro de 2012.",IF($J$62="Virgem","Produto classificado no grupo Azeite de Oliva Virgem, tipo Virgem por atender aos limites de tolerância estabelecidos nos Anexo I e/ou Anexo II da Instrução Normativa MAPA nº 01 de 30 de janeiro de 2012.",IF($J$62="Lampante","Produto classificado no grupo Azeite de Oliva Virgem, tipo Lampante por atender aos limites de tolerância estabelecidos nos Anexo I; e/ou Anexo II; e/ou Anexo III  da Instrução Normativa MAPA nº 01 de 30 de janeiro de 2012.",IF(AND($C$3="Azeite_de_Oliva_Virgem",$J$62="Fora de Tipo"),"Produto do grupo Azeite de Oliva Virgem classificado como Fora de Tipo por não atender um ou mais limite(s) de tolerância estabelecido(s) no Anexo I e/ou IV da Instrução Normativa MAPA nº 01 de 30 de janeiro de 2012.",IF(AND($C$3="Azeite_de_Oliva",$J$62="Único"),"Produto classificado no grupo Azeite de Oliva, tipo Único por atender aos limites de tolerância estabelecidos no Anexo I da Instrução Normativa MAPA nº 01 de 30 de janeiro de 2012.",IF(AND($C$3="Azeite_de_Oliva",$J$62="Fora de Tipo"),"Produto do grupo Azeite de Oliva classificado como Fora de Tipo por não atender um ou mais limite(s) de tolerância estabelecido(s) no Anexo I e/ou IV da Instrução Normativa MAPA nº 01 de 30 de janeiro de 2012.",IF(AND($C$3="Azeite_de_Oliva_Refinado",$J$62="Único"),"Produto classificado no Grupo Azeite de Oliva Refinado, tipo Único por atender aos limites estabelecidos no Anexo I da Instrução Normativa MAPA nº 01 de 30 de janeiro de 2012.",IF(AND($C$3="Azeite_de_Oliva_Refinado",$J$62="Fora de Tipo"),"Produto do grupo Azeite de Oliva Refinado classificado como Fora de Tipo por não atender um ou mais limite(s) de tolerância estabelecido(s) no Anexo I e/ou IV da Instrução Normativa MAPA nº 01 de 30 de janeiro de 2012.",IF(AND($C$3="Óleo_de_Bagaço_de_Oliva",$J$62="Único"),"Produto classificado no grupo Óleo de Bagaço de Oliva, tipo Único por atender aos limites de tolerância estabelecidos no Anexo I da Instrução Normativa MAPA nº 01 de 30 de janeiro de 2012.",IF(AND($C$3="Óleo_de_Bagaço_de_Oliva",$J$62="Fora de Tipo"),"Produto do grupo Óleo de Bagaço de Oliva classificado como Fora de Tipo por não atender um ou mais limite(s) de tolerância estabelecido(s) no Anexo I e/ou IV da Instrução Normativa MAPA nº 01 de 30 de janeiro de 2012.",IF(AND($C$3="Óleo_de_Bagaço_de_Oliva_Refinado",$J$62="Único"),"Produto classificado no grupo Óleo de Bagaço de Oliva Refinado, tipo Único por atender aos limites de tolerância estabelecidos no Anexo I da Instrução Normativa MAPA nº 01 de 30 de janeiro de 2012.",IF(AND($C$3="Óleo_de_Bagaço_de_Oliva_Refinado",$J$62="Fora de Tipo"),"Produto do grupo Óleo de Bagaço de Oliva Refinado classificado como Fora de Tipo por não atender um ou mais limite(s) de tolerância estabelecido(s) no Anexo I e/ou IV da Instrução Normativa MAPA nº 01 de 30 de janeiro de 2012.",IF(AND($C$3="Azeite_de_Oliva_Virgem",$J$62="Extra Virgem/Virgem"),"Produto do grupo Azeite de Oliva Virgem. Para a classificação do Tipo, faz-se necessário a realização de todos os parâmetros do Anexo I da Instrução Normativa MAPA nº 01 de 30 de janeiro de 2012.",IF(AND($C$3="Azeite_de_Oliva_Virgem",$J$62="Extra Virgem/Virgem/Lampante"),"Produto do grupo Azeite de Oliva Virgem. Para a classificação do Tipo, faz-se necessário a inserção de todos os parâmetros do Anexo I da Instrução Normativa MAPA nº 01 de 30 de janeiro de 2012."))))))))))))))))))</f>
        <v/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1:14" ht="24" customHeight="1" x14ac:dyDescent="0.3">
      <c r="A64" s="112"/>
      <c r="B64" s="95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ht="30" customHeight="1" x14ac:dyDescent="0.3">
      <c r="A65" s="112" t="s">
        <v>405</v>
      </c>
      <c r="B65" s="9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9"/>
      <c r="N65" s="100"/>
    </row>
    <row r="66" spans="1:14" ht="18" customHeight="1" x14ac:dyDescent="0.3">
      <c r="A66" s="112"/>
      <c r="B66" s="95"/>
      <c r="C66" s="101" t="str">
        <f xml:space="preserve"> "Laudo emitido com base no resultado contido no Laudo  "&amp;$C$5&amp;", expedido por "&amp;$C$6&amp;" em"</f>
        <v>Laudo emitido com base no resultado contido no Laudo  , expedido por  em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3">
        <f>$G$6</f>
        <v>0</v>
      </c>
      <c r="N66" s="104"/>
    </row>
    <row r="67" spans="1:14" ht="24" customHeight="1" x14ac:dyDescent="0.3">
      <c r="A67" s="112" t="s">
        <v>406</v>
      </c>
      <c r="B67" s="95"/>
      <c r="C67" s="120"/>
      <c r="D67" s="121"/>
      <c r="E67" s="122">
        <f ca="1">TODAY()</f>
        <v>45182</v>
      </c>
      <c r="F67" s="122"/>
      <c r="G67" s="122"/>
      <c r="H67" s="122"/>
      <c r="I67" s="122"/>
      <c r="J67" s="122"/>
      <c r="K67" s="122"/>
      <c r="L67" s="122"/>
      <c r="M67" s="122"/>
      <c r="N67" s="123"/>
    </row>
    <row r="68" spans="1:14" ht="24" customHeight="1" x14ac:dyDescent="0.3">
      <c r="A68" s="112" t="s">
        <v>409</v>
      </c>
      <c r="B68" s="95"/>
      <c r="C68" s="95"/>
      <c r="D68" s="126" t="s">
        <v>412</v>
      </c>
      <c r="E68" s="126"/>
      <c r="F68" s="126"/>
      <c r="G68" s="126"/>
      <c r="H68" s="75" t="s">
        <v>410</v>
      </c>
      <c r="I68" s="114"/>
      <c r="J68" s="115"/>
      <c r="K68" s="115"/>
      <c r="L68" s="115"/>
      <c r="M68" s="115"/>
      <c r="N68" s="116"/>
    </row>
    <row r="69" spans="1:14" ht="24" customHeight="1" thickBot="1" x14ac:dyDescent="0.35">
      <c r="A69" s="124"/>
      <c r="B69" s="125"/>
      <c r="C69" s="125"/>
      <c r="D69" s="127" t="s">
        <v>413</v>
      </c>
      <c r="E69" s="127"/>
      <c r="F69" s="127"/>
      <c r="G69" s="127"/>
      <c r="H69" s="113"/>
      <c r="I69" s="117"/>
      <c r="J69" s="118"/>
      <c r="K69" s="118"/>
      <c r="L69" s="118"/>
      <c r="M69" s="118"/>
      <c r="N69" s="119"/>
    </row>
  </sheetData>
  <sheetProtection algorithmName="SHA-512" hashValue="SAA728QcT7TSgBqE+OyGtz7bH4FlAUcNNgF+xklYBBWTW4Gnjpt0QBeo8iRF/jU42YaxYdoSzPjJRnCtWljAzA==" saltValue="DLFlzF94o9TLvPA78DO+Rw==" spinCount="100000" sheet="1" objects="1" scenarios="1"/>
  <mergeCells count="128">
    <mergeCell ref="H68:H69"/>
    <mergeCell ref="I68:N69"/>
    <mergeCell ref="C67:D67"/>
    <mergeCell ref="E67:N67"/>
    <mergeCell ref="A68:C69"/>
    <mergeCell ref="D68:G68"/>
    <mergeCell ref="D69:G69"/>
    <mergeCell ref="A63:B64"/>
    <mergeCell ref="A65:B66"/>
    <mergeCell ref="A67:B67"/>
    <mergeCell ref="C61:N61"/>
    <mergeCell ref="H62:I62"/>
    <mergeCell ref="C63:N64"/>
    <mergeCell ref="C65:N65"/>
    <mergeCell ref="C66:L66"/>
    <mergeCell ref="M66:N66"/>
    <mergeCell ref="C62:G62"/>
    <mergeCell ref="J62:N62"/>
    <mergeCell ref="A60:N60"/>
    <mergeCell ref="A61:B61"/>
    <mergeCell ref="A62:B62"/>
    <mergeCell ref="H59:N59"/>
    <mergeCell ref="A48:A59"/>
    <mergeCell ref="M50:N50"/>
    <mergeCell ref="H50:L50"/>
    <mergeCell ref="M51:N51"/>
    <mergeCell ref="H51:L51"/>
    <mergeCell ref="H55:L55"/>
    <mergeCell ref="M55:N55"/>
    <mergeCell ref="H56:N56"/>
    <mergeCell ref="H57:N57"/>
    <mergeCell ref="H58:N58"/>
    <mergeCell ref="H52:J52"/>
    <mergeCell ref="K52:N52"/>
    <mergeCell ref="H53:L53"/>
    <mergeCell ref="M53:N53"/>
    <mergeCell ref="H54:J54"/>
    <mergeCell ref="K54:N54"/>
    <mergeCell ref="I48:N48"/>
    <mergeCell ref="I49:N49"/>
    <mergeCell ref="F5:G5"/>
    <mergeCell ref="C6:E6"/>
    <mergeCell ref="C7:D7"/>
    <mergeCell ref="F7:G7"/>
    <mergeCell ref="C8:D8"/>
    <mergeCell ref="A1:H1"/>
    <mergeCell ref="J1:M1"/>
    <mergeCell ref="A2:G2"/>
    <mergeCell ref="H2:N2"/>
    <mergeCell ref="A3:B3"/>
    <mergeCell ref="C3:G3"/>
    <mergeCell ref="H3:N3"/>
    <mergeCell ref="A4:B4"/>
    <mergeCell ref="A5:B5"/>
    <mergeCell ref="N4:N8"/>
    <mergeCell ref="N9:N10"/>
    <mergeCell ref="A11:B12"/>
    <mergeCell ref="C11:C12"/>
    <mergeCell ref="D11:D12"/>
    <mergeCell ref="E11:E12"/>
    <mergeCell ref="F11:G11"/>
    <mergeCell ref="H11:N11"/>
    <mergeCell ref="H9:J10"/>
    <mergeCell ref="K9:K10"/>
    <mergeCell ref="L9:L10"/>
    <mergeCell ref="M9:M10"/>
    <mergeCell ref="C9:D9"/>
    <mergeCell ref="C10:D10"/>
    <mergeCell ref="A8:B10"/>
    <mergeCell ref="F8:G9"/>
    <mergeCell ref="F10:G10"/>
    <mergeCell ref="H4:J8"/>
    <mergeCell ref="K4:K8"/>
    <mergeCell ref="L4:L8"/>
    <mergeCell ref="M4:M8"/>
    <mergeCell ref="A6:B6"/>
    <mergeCell ref="A7:B7"/>
    <mergeCell ref="C4:G4"/>
    <mergeCell ref="C5:D5"/>
    <mergeCell ref="A18:A19"/>
    <mergeCell ref="H19:I19"/>
    <mergeCell ref="A13:A17"/>
    <mergeCell ref="H14:I14"/>
    <mergeCell ref="H16:I16"/>
    <mergeCell ref="B23:N23"/>
    <mergeCell ref="K20:N20"/>
    <mergeCell ref="K21:L21"/>
    <mergeCell ref="M21:N21"/>
    <mergeCell ref="K22:L22"/>
    <mergeCell ref="M22:N22"/>
    <mergeCell ref="H20:I20"/>
    <mergeCell ref="H21:I21"/>
    <mergeCell ref="H22:I22"/>
    <mergeCell ref="K24:L24"/>
    <mergeCell ref="M24:N24"/>
    <mergeCell ref="H25:I25"/>
    <mergeCell ref="K25:L25"/>
    <mergeCell ref="M25:N25"/>
    <mergeCell ref="H29:N29"/>
    <mergeCell ref="H30:N30"/>
    <mergeCell ref="H31:N31"/>
    <mergeCell ref="K17:N17"/>
    <mergeCell ref="K18:N18"/>
    <mergeCell ref="K19:N19"/>
    <mergeCell ref="H32:N32"/>
    <mergeCell ref="M37:N37"/>
    <mergeCell ref="H36:N36"/>
    <mergeCell ref="H37:L37"/>
    <mergeCell ref="H34:N34"/>
    <mergeCell ref="H35:N35"/>
    <mergeCell ref="H33:N33"/>
    <mergeCell ref="A20:A47"/>
    <mergeCell ref="H44:N44"/>
    <mergeCell ref="H45:N45"/>
    <mergeCell ref="H46:L46"/>
    <mergeCell ref="M46:N46"/>
    <mergeCell ref="H47:L47"/>
    <mergeCell ref="H38:N38"/>
    <mergeCell ref="B39:N39"/>
    <mergeCell ref="H40:N40"/>
    <mergeCell ref="H41:N41"/>
    <mergeCell ref="H42:N42"/>
    <mergeCell ref="H43:L43"/>
    <mergeCell ref="M43:N43"/>
    <mergeCell ref="H26:N26"/>
    <mergeCell ref="H27:N27"/>
    <mergeCell ref="H28:N28"/>
    <mergeCell ref="H24:I24"/>
  </mergeCells>
  <conditionalFormatting sqref="G13:G22">
    <cfRule type="expression" dxfId="11" priority="10">
      <formula>$G13="Desclassificado"</formula>
    </cfRule>
    <cfRule type="expression" dxfId="10" priority="11">
      <formula>$G13="Fora de Tipo"</formula>
    </cfRule>
    <cfRule type="expression" dxfId="9" priority="12">
      <formula>$G13="Lampante"</formula>
    </cfRule>
  </conditionalFormatting>
  <conditionalFormatting sqref="G24:G38">
    <cfRule type="expression" dxfId="8" priority="7">
      <formula>$G24="Desclassificado"</formula>
    </cfRule>
    <cfRule type="expression" dxfId="7" priority="8">
      <formula>$G24="Fora de Tipo"</formula>
    </cfRule>
    <cfRule type="expression" dxfId="6" priority="9">
      <formula>$G24="Lampante"</formula>
    </cfRule>
  </conditionalFormatting>
  <conditionalFormatting sqref="G40:G59">
    <cfRule type="expression" dxfId="5" priority="4">
      <formula>$G40="Desclassificado"</formula>
    </cfRule>
    <cfRule type="expression" dxfId="4" priority="5">
      <formula>$G40="Fora de Tipo"</formula>
    </cfRule>
    <cfRule type="expression" dxfId="3" priority="6">
      <formula>$G40="Lampante"</formula>
    </cfRule>
  </conditionalFormatting>
  <conditionalFormatting sqref="J62:N62">
    <cfRule type="expression" dxfId="2" priority="1">
      <formula>$J$62="Lampante"</formula>
    </cfRule>
    <cfRule type="expression" dxfId="1" priority="2">
      <formula>$J$62="Fora de Tipo"</formula>
    </cfRule>
    <cfRule type="expression" dxfId="0" priority="3">
      <formula>$J$62="Desclassificado"</formula>
    </cfRule>
  </conditionalFormatting>
  <dataValidations xWindow="572" yWindow="421" count="11">
    <dataValidation type="list" allowBlank="1" showInputMessage="1" showErrorMessage="1" promptTitle="GRUPO" prompt="Selecionar o grupo que o produto pertence._x000a__x000a_Para 'LIMPAR' campo, clicar com o botão direito e selecionar &quot;limpar conteúdo&quot;." sqref="C3:G3" xr:uid="{4DC9C81B-761C-4107-864C-6E8213408C87}">
      <formula1>GRUPO</formula1>
    </dataValidation>
    <dataValidation type="list" allowBlank="1" showInputMessage="1" showErrorMessage="1" promptTitle="País de Emissão do Laudo" prompt="Selecionar o país onde o Laudo foi emitido." sqref="F10:G10" xr:uid="{9B438B52-D3B7-4486-9855-2A2A7046F94C}">
      <formula1>LISTA_PAÍSES</formula1>
    </dataValidation>
    <dataValidation allowBlank="1" showInputMessage="1" showErrorMessage="1" promptTitle="Auto de Coleta da Amostra" prompt="Inserir a númeração do Auto de Coleta de Amostra (ACA)." sqref="C4:G4" xr:uid="{1314C88B-982D-476B-A14F-874ADEE8C3AF}"/>
    <dataValidation allowBlank="1" showInputMessage="1" showErrorMessage="1" prompt="Número do laudo expedido pela Rede Lanagro (Oficial e Credenciada) ou Laboratórios reconhecidos no SISCOLE." sqref="C5:D5" xr:uid="{D9565961-4BEC-4B79-9342-C05C6AF1582E}"/>
    <dataValidation allowBlank="1" showInputMessage="1" showErrorMessage="1" prompt="Nome do laboratório onde o laudo foi emitido." sqref="F5:G5" xr:uid="{ADCB3AF6-1BF5-4340-809B-503E7E8B24DC}"/>
    <dataValidation allowBlank="1" showInputMessage="1" showErrorMessage="1" prompt="Data de emissão do Laudo do laboratório._x000a_dd/mm/aaaa." sqref="G6" xr:uid="{CFBD10F4-6711-4BF5-A77A-6920B4CBAD70}"/>
    <dataValidation allowBlank="1" showInputMessage="1" showErrorMessage="1" promptTitle="Número de controle deste Laudo" prompt="Inserir o número de controle deste Laudo/Certificado._x000a__x000a_Preferencialmente utilizar a mesma númeração do ACA." sqref="F7:G7" xr:uid="{EE90BF95-0CC2-42AA-9717-4C5A090E6D9B}"/>
    <dataValidation allowBlank="1" showInputMessage="1" showErrorMessage="1" prompt="No caso de Classificação Pericial, informar o nº do Laudo de Classificação Fiscal, o qual foram preenchidos os resultados (dos parâmetros que não foram objeto da perícia). Informar também os parâmetros objeto da perícia. " sqref="C65:N65" xr:uid="{F2057D71-EFDF-4873-A2BA-2CF1E97E29C5}"/>
    <dataValidation allowBlank="1" showInputMessage="1" showErrorMessage="1" prompt="Cidade/UF," sqref="C67:D67" xr:uid="{192A046F-E5E2-4E4D-8620-184E759F8F36}"/>
    <dataValidation allowBlank="1" showInputMessage="1" showErrorMessage="1" prompt="Número de registro como Classificador" sqref="D69:G69" xr:uid="{F989E9BB-1808-4156-B862-B4F030DED3C8}"/>
    <dataValidation allowBlank="1" showInputMessage="1" showErrorMessage="1" promptTitle="Nome" prompt="(Inserir o número de registro como Classifidor na célula abaixo)" sqref="D68:G68" xr:uid="{2BF2722E-2A14-48E6-A8D8-194447D23292}"/>
  </dataValidations>
  <printOptions horizontalCentered="1"/>
  <pageMargins left="0.23622047244094491" right="0.23622047244094491" top="0.39370078740157483" bottom="0.39370078740157483" header="0.19685039370078741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DD2D-0966-48C3-97C5-9801C645C547}">
  <dimension ref="A1:T242"/>
  <sheetViews>
    <sheetView workbookViewId="0"/>
  </sheetViews>
  <sheetFormatPr defaultRowHeight="14.4" x14ac:dyDescent="0.3"/>
  <cols>
    <col min="1" max="1" width="33.44140625" bestFit="1" customWidth="1"/>
    <col min="20" max="20" width="29.6640625" bestFit="1" customWidth="1"/>
  </cols>
  <sheetData>
    <row r="1" spans="1:20" x14ac:dyDescent="0.3">
      <c r="A1" t="s">
        <v>3</v>
      </c>
      <c r="T1" t="s">
        <v>263</v>
      </c>
    </row>
    <row r="2" spans="1:20" x14ac:dyDescent="0.3">
      <c r="A2" s="1" t="s">
        <v>4</v>
      </c>
      <c r="T2" t="s">
        <v>22</v>
      </c>
    </row>
    <row r="3" spans="1:20" x14ac:dyDescent="0.3">
      <c r="A3" s="1" t="s">
        <v>5</v>
      </c>
      <c r="T3" t="s">
        <v>23</v>
      </c>
    </row>
    <row r="4" spans="1:20" x14ac:dyDescent="0.3">
      <c r="A4" s="1" t="s">
        <v>6</v>
      </c>
      <c r="T4" t="s">
        <v>24</v>
      </c>
    </row>
    <row r="5" spans="1:20" x14ac:dyDescent="0.3">
      <c r="A5" s="1" t="s">
        <v>7</v>
      </c>
      <c r="T5" t="s">
        <v>25</v>
      </c>
    </row>
    <row r="6" spans="1:20" x14ac:dyDescent="0.3">
      <c r="A6" s="1" t="s">
        <v>8</v>
      </c>
      <c r="T6" t="s">
        <v>26</v>
      </c>
    </row>
    <row r="7" spans="1:20" x14ac:dyDescent="0.3">
      <c r="T7" t="s">
        <v>27</v>
      </c>
    </row>
    <row r="8" spans="1:20" x14ac:dyDescent="0.3">
      <c r="T8" t="s">
        <v>28</v>
      </c>
    </row>
    <row r="9" spans="1:20" x14ac:dyDescent="0.3">
      <c r="T9" t="s">
        <v>29</v>
      </c>
    </row>
    <row r="10" spans="1:20" x14ac:dyDescent="0.3">
      <c r="T10" t="s">
        <v>30</v>
      </c>
    </row>
    <row r="11" spans="1:20" x14ac:dyDescent="0.3">
      <c r="T11" t="s">
        <v>31</v>
      </c>
    </row>
    <row r="12" spans="1:20" x14ac:dyDescent="0.3">
      <c r="T12" t="s">
        <v>32</v>
      </c>
    </row>
    <row r="13" spans="1:20" x14ac:dyDescent="0.3">
      <c r="T13" t="s">
        <v>33</v>
      </c>
    </row>
    <row r="14" spans="1:20" x14ac:dyDescent="0.3">
      <c r="T14" t="s">
        <v>34</v>
      </c>
    </row>
    <row r="15" spans="1:20" x14ac:dyDescent="0.3">
      <c r="T15" t="s">
        <v>35</v>
      </c>
    </row>
    <row r="16" spans="1:20" x14ac:dyDescent="0.3">
      <c r="T16" t="s">
        <v>36</v>
      </c>
    </row>
    <row r="17" spans="20:20" x14ac:dyDescent="0.3">
      <c r="T17" t="s">
        <v>37</v>
      </c>
    </row>
    <row r="18" spans="20:20" x14ac:dyDescent="0.3">
      <c r="T18" t="s">
        <v>38</v>
      </c>
    </row>
    <row r="19" spans="20:20" x14ac:dyDescent="0.3">
      <c r="T19" t="s">
        <v>39</v>
      </c>
    </row>
    <row r="20" spans="20:20" x14ac:dyDescent="0.3">
      <c r="T20" t="s">
        <v>40</v>
      </c>
    </row>
    <row r="21" spans="20:20" x14ac:dyDescent="0.3">
      <c r="T21" t="s">
        <v>41</v>
      </c>
    </row>
    <row r="22" spans="20:20" x14ac:dyDescent="0.3">
      <c r="T22" t="s">
        <v>42</v>
      </c>
    </row>
    <row r="23" spans="20:20" x14ac:dyDescent="0.3">
      <c r="T23" t="s">
        <v>43</v>
      </c>
    </row>
    <row r="24" spans="20:20" x14ac:dyDescent="0.3">
      <c r="T24" t="s">
        <v>44</v>
      </c>
    </row>
    <row r="25" spans="20:20" x14ac:dyDescent="0.3">
      <c r="T25" t="s">
        <v>45</v>
      </c>
    </row>
    <row r="26" spans="20:20" x14ac:dyDescent="0.3">
      <c r="T26" t="s">
        <v>46</v>
      </c>
    </row>
    <row r="27" spans="20:20" x14ac:dyDescent="0.3">
      <c r="T27" t="s">
        <v>47</v>
      </c>
    </row>
    <row r="28" spans="20:20" x14ac:dyDescent="0.3">
      <c r="T28" t="s">
        <v>48</v>
      </c>
    </row>
    <row r="29" spans="20:20" x14ac:dyDescent="0.3">
      <c r="T29" t="s">
        <v>49</v>
      </c>
    </row>
    <row r="30" spans="20:20" x14ac:dyDescent="0.3">
      <c r="T30" t="s">
        <v>50</v>
      </c>
    </row>
    <row r="31" spans="20:20" x14ac:dyDescent="0.3">
      <c r="T31" t="s">
        <v>51</v>
      </c>
    </row>
    <row r="32" spans="20:20" x14ac:dyDescent="0.3">
      <c r="T32" t="s">
        <v>52</v>
      </c>
    </row>
    <row r="33" spans="20:20" x14ac:dyDescent="0.3">
      <c r="T33" t="s">
        <v>53</v>
      </c>
    </row>
    <row r="34" spans="20:20" x14ac:dyDescent="0.3">
      <c r="T34" t="s">
        <v>54</v>
      </c>
    </row>
    <row r="35" spans="20:20" x14ac:dyDescent="0.3">
      <c r="T35" t="s">
        <v>55</v>
      </c>
    </row>
    <row r="36" spans="20:20" x14ac:dyDescent="0.3">
      <c r="T36" t="s">
        <v>56</v>
      </c>
    </row>
    <row r="37" spans="20:20" x14ac:dyDescent="0.3">
      <c r="T37" t="s">
        <v>57</v>
      </c>
    </row>
    <row r="38" spans="20:20" x14ac:dyDescent="0.3">
      <c r="T38" t="s">
        <v>58</v>
      </c>
    </row>
    <row r="39" spans="20:20" x14ac:dyDescent="0.3">
      <c r="T39" t="s">
        <v>59</v>
      </c>
    </row>
    <row r="40" spans="20:20" x14ac:dyDescent="0.3">
      <c r="T40" t="s">
        <v>60</v>
      </c>
    </row>
    <row r="41" spans="20:20" x14ac:dyDescent="0.3">
      <c r="T41" t="s">
        <v>61</v>
      </c>
    </row>
    <row r="42" spans="20:20" x14ac:dyDescent="0.3">
      <c r="T42" t="s">
        <v>62</v>
      </c>
    </row>
    <row r="43" spans="20:20" x14ac:dyDescent="0.3">
      <c r="T43" t="s">
        <v>63</v>
      </c>
    </row>
    <row r="44" spans="20:20" x14ac:dyDescent="0.3">
      <c r="T44" t="s">
        <v>64</v>
      </c>
    </row>
    <row r="45" spans="20:20" x14ac:dyDescent="0.3">
      <c r="T45" t="s">
        <v>65</v>
      </c>
    </row>
    <row r="46" spans="20:20" x14ac:dyDescent="0.3">
      <c r="T46" t="s">
        <v>66</v>
      </c>
    </row>
    <row r="47" spans="20:20" x14ac:dyDescent="0.3">
      <c r="T47" t="s">
        <v>67</v>
      </c>
    </row>
    <row r="48" spans="20:20" x14ac:dyDescent="0.3">
      <c r="T48" t="s">
        <v>68</v>
      </c>
    </row>
    <row r="49" spans="20:20" x14ac:dyDescent="0.3">
      <c r="T49" t="s">
        <v>69</v>
      </c>
    </row>
    <row r="50" spans="20:20" x14ac:dyDescent="0.3">
      <c r="T50" t="s">
        <v>70</v>
      </c>
    </row>
    <row r="51" spans="20:20" x14ac:dyDescent="0.3">
      <c r="T51" t="s">
        <v>71</v>
      </c>
    </row>
    <row r="52" spans="20:20" x14ac:dyDescent="0.3">
      <c r="T52" t="s">
        <v>72</v>
      </c>
    </row>
    <row r="53" spans="20:20" x14ac:dyDescent="0.3">
      <c r="T53" t="s">
        <v>73</v>
      </c>
    </row>
    <row r="54" spans="20:20" x14ac:dyDescent="0.3">
      <c r="T54" t="s">
        <v>74</v>
      </c>
    </row>
    <row r="55" spans="20:20" x14ac:dyDescent="0.3">
      <c r="T55" t="s">
        <v>75</v>
      </c>
    </row>
    <row r="56" spans="20:20" x14ac:dyDescent="0.3">
      <c r="T56" t="s">
        <v>76</v>
      </c>
    </row>
    <row r="57" spans="20:20" x14ac:dyDescent="0.3">
      <c r="T57" t="s">
        <v>77</v>
      </c>
    </row>
    <row r="58" spans="20:20" x14ac:dyDescent="0.3">
      <c r="T58" t="s">
        <v>78</v>
      </c>
    </row>
    <row r="59" spans="20:20" x14ac:dyDescent="0.3">
      <c r="T59" t="s">
        <v>79</v>
      </c>
    </row>
    <row r="60" spans="20:20" x14ac:dyDescent="0.3">
      <c r="T60" t="s">
        <v>80</v>
      </c>
    </row>
    <row r="61" spans="20:20" x14ac:dyDescent="0.3">
      <c r="T61" t="s">
        <v>81</v>
      </c>
    </row>
    <row r="62" spans="20:20" x14ac:dyDescent="0.3">
      <c r="T62" t="s">
        <v>82</v>
      </c>
    </row>
    <row r="63" spans="20:20" x14ac:dyDescent="0.3">
      <c r="T63" t="s">
        <v>83</v>
      </c>
    </row>
    <row r="64" spans="20:20" x14ac:dyDescent="0.3">
      <c r="T64" t="s">
        <v>84</v>
      </c>
    </row>
    <row r="65" spans="20:20" x14ac:dyDescent="0.3">
      <c r="T65" t="s">
        <v>85</v>
      </c>
    </row>
    <row r="66" spans="20:20" x14ac:dyDescent="0.3">
      <c r="T66" t="s">
        <v>86</v>
      </c>
    </row>
    <row r="67" spans="20:20" x14ac:dyDescent="0.3">
      <c r="T67" t="s">
        <v>87</v>
      </c>
    </row>
    <row r="68" spans="20:20" x14ac:dyDescent="0.3">
      <c r="T68" t="s">
        <v>88</v>
      </c>
    </row>
    <row r="69" spans="20:20" x14ac:dyDescent="0.3">
      <c r="T69" t="s">
        <v>89</v>
      </c>
    </row>
    <row r="70" spans="20:20" x14ac:dyDescent="0.3">
      <c r="T70" t="s">
        <v>90</v>
      </c>
    </row>
    <row r="71" spans="20:20" x14ac:dyDescent="0.3">
      <c r="T71" t="s">
        <v>91</v>
      </c>
    </row>
    <row r="72" spans="20:20" x14ac:dyDescent="0.3">
      <c r="T72" t="s">
        <v>92</v>
      </c>
    </row>
    <row r="73" spans="20:20" x14ac:dyDescent="0.3">
      <c r="T73" t="s">
        <v>93</v>
      </c>
    </row>
    <row r="74" spans="20:20" x14ac:dyDescent="0.3">
      <c r="T74" t="s">
        <v>94</v>
      </c>
    </row>
    <row r="75" spans="20:20" x14ac:dyDescent="0.3">
      <c r="T75" t="s">
        <v>95</v>
      </c>
    </row>
    <row r="76" spans="20:20" x14ac:dyDescent="0.3">
      <c r="T76" t="s">
        <v>96</v>
      </c>
    </row>
    <row r="77" spans="20:20" x14ac:dyDescent="0.3">
      <c r="T77" t="s">
        <v>97</v>
      </c>
    </row>
    <row r="78" spans="20:20" x14ac:dyDescent="0.3">
      <c r="T78" t="s">
        <v>98</v>
      </c>
    </row>
    <row r="79" spans="20:20" x14ac:dyDescent="0.3">
      <c r="T79" t="s">
        <v>99</v>
      </c>
    </row>
    <row r="80" spans="20:20" x14ac:dyDescent="0.3">
      <c r="T80" t="s">
        <v>100</v>
      </c>
    </row>
    <row r="81" spans="20:20" x14ac:dyDescent="0.3">
      <c r="T81" t="s">
        <v>101</v>
      </c>
    </row>
    <row r="82" spans="20:20" x14ac:dyDescent="0.3">
      <c r="T82" t="s">
        <v>102</v>
      </c>
    </row>
    <row r="83" spans="20:20" x14ac:dyDescent="0.3">
      <c r="T83" t="s">
        <v>103</v>
      </c>
    </row>
    <row r="84" spans="20:20" x14ac:dyDescent="0.3">
      <c r="T84" t="s">
        <v>104</v>
      </c>
    </row>
    <row r="85" spans="20:20" x14ac:dyDescent="0.3">
      <c r="T85" t="s">
        <v>105</v>
      </c>
    </row>
    <row r="86" spans="20:20" x14ac:dyDescent="0.3">
      <c r="T86" t="s">
        <v>106</v>
      </c>
    </row>
    <row r="87" spans="20:20" x14ac:dyDescent="0.3">
      <c r="T87" t="s">
        <v>107</v>
      </c>
    </row>
    <row r="88" spans="20:20" x14ac:dyDescent="0.3">
      <c r="T88" t="s">
        <v>108</v>
      </c>
    </row>
    <row r="89" spans="20:20" x14ac:dyDescent="0.3">
      <c r="T89" t="s">
        <v>109</v>
      </c>
    </row>
    <row r="90" spans="20:20" x14ac:dyDescent="0.3">
      <c r="T90" t="s">
        <v>110</v>
      </c>
    </row>
    <row r="91" spans="20:20" x14ac:dyDescent="0.3">
      <c r="T91" t="s">
        <v>111</v>
      </c>
    </row>
    <row r="92" spans="20:20" x14ac:dyDescent="0.3">
      <c r="T92" t="s">
        <v>112</v>
      </c>
    </row>
    <row r="93" spans="20:20" x14ac:dyDescent="0.3">
      <c r="T93" t="s">
        <v>113</v>
      </c>
    </row>
    <row r="94" spans="20:20" x14ac:dyDescent="0.3">
      <c r="T94" t="s">
        <v>114</v>
      </c>
    </row>
    <row r="95" spans="20:20" x14ac:dyDescent="0.3">
      <c r="T95" t="s">
        <v>115</v>
      </c>
    </row>
    <row r="96" spans="20:20" x14ac:dyDescent="0.3">
      <c r="T96" t="s">
        <v>116</v>
      </c>
    </row>
    <row r="97" spans="20:20" x14ac:dyDescent="0.3">
      <c r="T97" t="s">
        <v>117</v>
      </c>
    </row>
    <row r="98" spans="20:20" x14ac:dyDescent="0.3">
      <c r="T98" t="s">
        <v>118</v>
      </c>
    </row>
    <row r="99" spans="20:20" x14ac:dyDescent="0.3">
      <c r="T99" t="s">
        <v>119</v>
      </c>
    </row>
    <row r="100" spans="20:20" x14ac:dyDescent="0.3">
      <c r="T100" t="s">
        <v>120</v>
      </c>
    </row>
    <row r="101" spans="20:20" x14ac:dyDescent="0.3">
      <c r="T101" t="s">
        <v>121</v>
      </c>
    </row>
    <row r="102" spans="20:20" x14ac:dyDescent="0.3">
      <c r="T102" t="s">
        <v>122</v>
      </c>
    </row>
    <row r="103" spans="20:20" x14ac:dyDescent="0.3">
      <c r="T103" t="s">
        <v>123</v>
      </c>
    </row>
    <row r="104" spans="20:20" x14ac:dyDescent="0.3">
      <c r="T104" t="s">
        <v>124</v>
      </c>
    </row>
    <row r="105" spans="20:20" x14ac:dyDescent="0.3">
      <c r="T105" t="s">
        <v>125</v>
      </c>
    </row>
    <row r="106" spans="20:20" x14ac:dyDescent="0.3">
      <c r="T106" t="s">
        <v>126</v>
      </c>
    </row>
    <row r="107" spans="20:20" x14ac:dyDescent="0.3">
      <c r="T107" t="s">
        <v>127</v>
      </c>
    </row>
    <row r="108" spans="20:20" x14ac:dyDescent="0.3">
      <c r="T108" t="s">
        <v>128</v>
      </c>
    </row>
    <row r="109" spans="20:20" x14ac:dyDescent="0.3">
      <c r="T109" t="s">
        <v>129</v>
      </c>
    </row>
    <row r="110" spans="20:20" x14ac:dyDescent="0.3">
      <c r="T110" t="s">
        <v>130</v>
      </c>
    </row>
    <row r="111" spans="20:20" x14ac:dyDescent="0.3">
      <c r="T111" t="s">
        <v>131</v>
      </c>
    </row>
    <row r="112" spans="20:20" x14ac:dyDescent="0.3">
      <c r="T112" t="s">
        <v>132</v>
      </c>
    </row>
    <row r="113" spans="20:20" x14ac:dyDescent="0.3">
      <c r="T113" t="s">
        <v>133</v>
      </c>
    </row>
    <row r="114" spans="20:20" x14ac:dyDescent="0.3">
      <c r="T114" t="s">
        <v>134</v>
      </c>
    </row>
    <row r="115" spans="20:20" x14ac:dyDescent="0.3">
      <c r="T115" t="s">
        <v>135</v>
      </c>
    </row>
    <row r="116" spans="20:20" x14ac:dyDescent="0.3">
      <c r="T116" t="s">
        <v>136</v>
      </c>
    </row>
    <row r="117" spans="20:20" x14ac:dyDescent="0.3">
      <c r="T117" t="s">
        <v>137</v>
      </c>
    </row>
    <row r="118" spans="20:20" x14ac:dyDescent="0.3">
      <c r="T118" t="s">
        <v>138</v>
      </c>
    </row>
    <row r="119" spans="20:20" x14ac:dyDescent="0.3">
      <c r="T119" t="s">
        <v>139</v>
      </c>
    </row>
    <row r="120" spans="20:20" x14ac:dyDescent="0.3">
      <c r="T120" t="s">
        <v>140</v>
      </c>
    </row>
    <row r="121" spans="20:20" x14ac:dyDescent="0.3">
      <c r="T121" t="s">
        <v>141</v>
      </c>
    </row>
    <row r="122" spans="20:20" x14ac:dyDescent="0.3">
      <c r="T122" t="s">
        <v>142</v>
      </c>
    </row>
    <row r="123" spans="20:20" x14ac:dyDescent="0.3">
      <c r="T123" t="s">
        <v>143</v>
      </c>
    </row>
    <row r="124" spans="20:20" x14ac:dyDescent="0.3">
      <c r="T124" t="s">
        <v>144</v>
      </c>
    </row>
    <row r="125" spans="20:20" x14ac:dyDescent="0.3">
      <c r="T125" t="s">
        <v>145</v>
      </c>
    </row>
    <row r="126" spans="20:20" x14ac:dyDescent="0.3">
      <c r="T126" t="s">
        <v>146</v>
      </c>
    </row>
    <row r="127" spans="20:20" x14ac:dyDescent="0.3">
      <c r="T127" t="s">
        <v>147</v>
      </c>
    </row>
    <row r="128" spans="20:20" x14ac:dyDescent="0.3">
      <c r="T128" t="s">
        <v>148</v>
      </c>
    </row>
    <row r="129" spans="20:20" x14ac:dyDescent="0.3">
      <c r="T129" t="s">
        <v>149</v>
      </c>
    </row>
    <row r="130" spans="20:20" x14ac:dyDescent="0.3">
      <c r="T130" t="s">
        <v>150</v>
      </c>
    </row>
    <row r="131" spans="20:20" x14ac:dyDescent="0.3">
      <c r="T131" t="s">
        <v>151</v>
      </c>
    </row>
    <row r="132" spans="20:20" x14ac:dyDescent="0.3">
      <c r="T132" t="s">
        <v>152</v>
      </c>
    </row>
    <row r="133" spans="20:20" x14ac:dyDescent="0.3">
      <c r="T133" t="s">
        <v>153</v>
      </c>
    </row>
    <row r="134" spans="20:20" x14ac:dyDescent="0.3">
      <c r="T134" t="s">
        <v>154</v>
      </c>
    </row>
    <row r="135" spans="20:20" x14ac:dyDescent="0.3">
      <c r="T135" t="s">
        <v>155</v>
      </c>
    </row>
    <row r="136" spans="20:20" x14ac:dyDescent="0.3">
      <c r="T136" t="s">
        <v>156</v>
      </c>
    </row>
    <row r="137" spans="20:20" x14ac:dyDescent="0.3">
      <c r="T137" t="s">
        <v>157</v>
      </c>
    </row>
    <row r="138" spans="20:20" x14ac:dyDescent="0.3">
      <c r="T138" t="s">
        <v>158</v>
      </c>
    </row>
    <row r="139" spans="20:20" x14ac:dyDescent="0.3">
      <c r="T139" t="s">
        <v>159</v>
      </c>
    </row>
    <row r="140" spans="20:20" x14ac:dyDescent="0.3">
      <c r="T140" t="s">
        <v>160</v>
      </c>
    </row>
    <row r="141" spans="20:20" x14ac:dyDescent="0.3">
      <c r="T141" t="s">
        <v>161</v>
      </c>
    </row>
    <row r="142" spans="20:20" x14ac:dyDescent="0.3">
      <c r="T142" t="s">
        <v>162</v>
      </c>
    </row>
    <row r="143" spans="20:20" x14ac:dyDescent="0.3">
      <c r="T143" t="s">
        <v>163</v>
      </c>
    </row>
    <row r="144" spans="20:20" x14ac:dyDescent="0.3">
      <c r="T144" t="s">
        <v>164</v>
      </c>
    </row>
    <row r="145" spans="20:20" x14ac:dyDescent="0.3">
      <c r="T145" t="s">
        <v>165</v>
      </c>
    </row>
    <row r="146" spans="20:20" x14ac:dyDescent="0.3">
      <c r="T146" t="s">
        <v>166</v>
      </c>
    </row>
    <row r="147" spans="20:20" x14ac:dyDescent="0.3">
      <c r="T147" t="s">
        <v>167</v>
      </c>
    </row>
    <row r="148" spans="20:20" x14ac:dyDescent="0.3">
      <c r="T148" t="s">
        <v>168</v>
      </c>
    </row>
    <row r="149" spans="20:20" x14ac:dyDescent="0.3">
      <c r="T149" t="s">
        <v>169</v>
      </c>
    </row>
    <row r="150" spans="20:20" x14ac:dyDescent="0.3">
      <c r="T150" t="s">
        <v>170</v>
      </c>
    </row>
    <row r="151" spans="20:20" x14ac:dyDescent="0.3">
      <c r="T151" t="s">
        <v>171</v>
      </c>
    </row>
    <row r="152" spans="20:20" x14ac:dyDescent="0.3">
      <c r="T152" t="s">
        <v>172</v>
      </c>
    </row>
    <row r="153" spans="20:20" x14ac:dyDescent="0.3">
      <c r="T153" t="s">
        <v>173</v>
      </c>
    </row>
    <row r="154" spans="20:20" x14ac:dyDescent="0.3">
      <c r="T154" t="s">
        <v>174</v>
      </c>
    </row>
    <row r="155" spans="20:20" x14ac:dyDescent="0.3">
      <c r="T155" t="s">
        <v>175</v>
      </c>
    </row>
    <row r="156" spans="20:20" x14ac:dyDescent="0.3">
      <c r="T156" t="s">
        <v>176</v>
      </c>
    </row>
    <row r="157" spans="20:20" x14ac:dyDescent="0.3">
      <c r="T157" t="s">
        <v>177</v>
      </c>
    </row>
    <row r="158" spans="20:20" x14ac:dyDescent="0.3">
      <c r="T158" t="s">
        <v>178</v>
      </c>
    </row>
    <row r="159" spans="20:20" x14ac:dyDescent="0.3">
      <c r="T159" t="s">
        <v>179</v>
      </c>
    </row>
    <row r="160" spans="20:20" x14ac:dyDescent="0.3">
      <c r="T160" t="s">
        <v>180</v>
      </c>
    </row>
    <row r="161" spans="20:20" x14ac:dyDescent="0.3">
      <c r="T161" t="s">
        <v>181</v>
      </c>
    </row>
    <row r="162" spans="20:20" x14ac:dyDescent="0.3">
      <c r="T162" t="s">
        <v>182</v>
      </c>
    </row>
    <row r="163" spans="20:20" x14ac:dyDescent="0.3">
      <c r="T163" t="s">
        <v>183</v>
      </c>
    </row>
    <row r="164" spans="20:20" x14ac:dyDescent="0.3">
      <c r="T164" t="s">
        <v>184</v>
      </c>
    </row>
    <row r="165" spans="20:20" x14ac:dyDescent="0.3">
      <c r="T165" t="s">
        <v>185</v>
      </c>
    </row>
    <row r="166" spans="20:20" x14ac:dyDescent="0.3">
      <c r="T166" t="s">
        <v>186</v>
      </c>
    </row>
    <row r="167" spans="20:20" x14ac:dyDescent="0.3">
      <c r="T167" t="s">
        <v>187</v>
      </c>
    </row>
    <row r="168" spans="20:20" x14ac:dyDescent="0.3">
      <c r="T168" t="s">
        <v>188</v>
      </c>
    </row>
    <row r="169" spans="20:20" x14ac:dyDescent="0.3">
      <c r="T169" t="s">
        <v>189</v>
      </c>
    </row>
    <row r="170" spans="20:20" x14ac:dyDescent="0.3">
      <c r="T170" t="s">
        <v>190</v>
      </c>
    </row>
    <row r="171" spans="20:20" x14ac:dyDescent="0.3">
      <c r="T171" t="s">
        <v>191</v>
      </c>
    </row>
    <row r="172" spans="20:20" x14ac:dyDescent="0.3">
      <c r="T172" t="s">
        <v>192</v>
      </c>
    </row>
    <row r="173" spans="20:20" x14ac:dyDescent="0.3">
      <c r="T173" t="s">
        <v>193</v>
      </c>
    </row>
    <row r="174" spans="20:20" x14ac:dyDescent="0.3">
      <c r="T174" t="s">
        <v>194</v>
      </c>
    </row>
    <row r="175" spans="20:20" x14ac:dyDescent="0.3">
      <c r="T175" t="s">
        <v>195</v>
      </c>
    </row>
    <row r="176" spans="20:20" x14ac:dyDescent="0.3">
      <c r="T176" t="s">
        <v>196</v>
      </c>
    </row>
    <row r="177" spans="20:20" x14ac:dyDescent="0.3">
      <c r="T177" t="s">
        <v>197</v>
      </c>
    </row>
    <row r="178" spans="20:20" x14ac:dyDescent="0.3">
      <c r="T178" t="s">
        <v>198</v>
      </c>
    </row>
    <row r="179" spans="20:20" x14ac:dyDescent="0.3">
      <c r="T179" t="s">
        <v>199</v>
      </c>
    </row>
    <row r="180" spans="20:20" x14ac:dyDescent="0.3">
      <c r="T180" t="s">
        <v>200</v>
      </c>
    </row>
    <row r="181" spans="20:20" x14ac:dyDescent="0.3">
      <c r="T181" t="s">
        <v>201</v>
      </c>
    </row>
    <row r="182" spans="20:20" x14ac:dyDescent="0.3">
      <c r="T182" t="s">
        <v>202</v>
      </c>
    </row>
    <row r="183" spans="20:20" x14ac:dyDescent="0.3">
      <c r="T183" t="s">
        <v>203</v>
      </c>
    </row>
    <row r="184" spans="20:20" x14ac:dyDescent="0.3">
      <c r="T184" t="s">
        <v>204</v>
      </c>
    </row>
    <row r="185" spans="20:20" x14ac:dyDescent="0.3">
      <c r="T185" t="s">
        <v>205</v>
      </c>
    </row>
    <row r="186" spans="20:20" x14ac:dyDescent="0.3">
      <c r="T186" t="s">
        <v>206</v>
      </c>
    </row>
    <row r="187" spans="20:20" x14ac:dyDescent="0.3">
      <c r="T187" t="s">
        <v>207</v>
      </c>
    </row>
    <row r="188" spans="20:20" x14ac:dyDescent="0.3">
      <c r="T188" t="s">
        <v>208</v>
      </c>
    </row>
    <row r="189" spans="20:20" x14ac:dyDescent="0.3">
      <c r="T189" t="s">
        <v>209</v>
      </c>
    </row>
    <row r="190" spans="20:20" x14ac:dyDescent="0.3">
      <c r="T190" t="s">
        <v>210</v>
      </c>
    </row>
    <row r="191" spans="20:20" x14ac:dyDescent="0.3">
      <c r="T191" t="s">
        <v>211</v>
      </c>
    </row>
    <row r="192" spans="20:20" x14ac:dyDescent="0.3">
      <c r="T192" t="s">
        <v>212</v>
      </c>
    </row>
    <row r="193" spans="20:20" x14ac:dyDescent="0.3">
      <c r="T193" t="s">
        <v>213</v>
      </c>
    </row>
    <row r="194" spans="20:20" x14ac:dyDescent="0.3">
      <c r="T194" t="s">
        <v>214</v>
      </c>
    </row>
    <row r="195" spans="20:20" x14ac:dyDescent="0.3">
      <c r="T195" t="s">
        <v>215</v>
      </c>
    </row>
    <row r="196" spans="20:20" x14ac:dyDescent="0.3">
      <c r="T196" t="s">
        <v>216</v>
      </c>
    </row>
    <row r="197" spans="20:20" x14ac:dyDescent="0.3">
      <c r="T197" t="s">
        <v>217</v>
      </c>
    </row>
    <row r="198" spans="20:20" x14ac:dyDescent="0.3">
      <c r="T198" t="s">
        <v>218</v>
      </c>
    </row>
    <row r="199" spans="20:20" x14ac:dyDescent="0.3">
      <c r="T199" t="s">
        <v>219</v>
      </c>
    </row>
    <row r="200" spans="20:20" x14ac:dyDescent="0.3">
      <c r="T200" t="s">
        <v>220</v>
      </c>
    </row>
    <row r="201" spans="20:20" x14ac:dyDescent="0.3">
      <c r="T201" t="s">
        <v>221</v>
      </c>
    </row>
    <row r="202" spans="20:20" x14ac:dyDescent="0.3">
      <c r="T202" t="s">
        <v>222</v>
      </c>
    </row>
    <row r="203" spans="20:20" x14ac:dyDescent="0.3">
      <c r="T203" t="s">
        <v>223</v>
      </c>
    </row>
    <row r="204" spans="20:20" x14ac:dyDescent="0.3">
      <c r="T204" t="s">
        <v>224</v>
      </c>
    </row>
    <row r="205" spans="20:20" x14ac:dyDescent="0.3">
      <c r="T205" t="s">
        <v>225</v>
      </c>
    </row>
    <row r="206" spans="20:20" x14ac:dyDescent="0.3">
      <c r="T206" t="s">
        <v>226</v>
      </c>
    </row>
    <row r="207" spans="20:20" x14ac:dyDescent="0.3">
      <c r="T207" t="s">
        <v>227</v>
      </c>
    </row>
    <row r="208" spans="20:20" x14ac:dyDescent="0.3">
      <c r="T208" t="s">
        <v>228</v>
      </c>
    </row>
    <row r="209" spans="20:20" x14ac:dyDescent="0.3">
      <c r="T209" t="s">
        <v>229</v>
      </c>
    </row>
    <row r="210" spans="20:20" x14ac:dyDescent="0.3">
      <c r="T210" t="s">
        <v>230</v>
      </c>
    </row>
    <row r="211" spans="20:20" x14ac:dyDescent="0.3">
      <c r="T211" t="s">
        <v>231</v>
      </c>
    </row>
    <row r="212" spans="20:20" x14ac:dyDescent="0.3">
      <c r="T212" t="s">
        <v>232</v>
      </c>
    </row>
    <row r="213" spans="20:20" x14ac:dyDescent="0.3">
      <c r="T213" t="s">
        <v>233</v>
      </c>
    </row>
    <row r="214" spans="20:20" x14ac:dyDescent="0.3">
      <c r="T214" t="s">
        <v>234</v>
      </c>
    </row>
    <row r="215" spans="20:20" x14ac:dyDescent="0.3">
      <c r="T215" t="s">
        <v>235</v>
      </c>
    </row>
    <row r="216" spans="20:20" x14ac:dyDescent="0.3">
      <c r="T216" t="s">
        <v>236</v>
      </c>
    </row>
    <row r="217" spans="20:20" x14ac:dyDescent="0.3">
      <c r="T217" t="s">
        <v>237</v>
      </c>
    </row>
    <row r="218" spans="20:20" x14ac:dyDescent="0.3">
      <c r="T218" t="s">
        <v>238</v>
      </c>
    </row>
    <row r="219" spans="20:20" x14ac:dyDescent="0.3">
      <c r="T219" t="s">
        <v>239</v>
      </c>
    </row>
    <row r="220" spans="20:20" x14ac:dyDescent="0.3">
      <c r="T220" t="s">
        <v>240</v>
      </c>
    </row>
    <row r="221" spans="20:20" x14ac:dyDescent="0.3">
      <c r="T221" t="s">
        <v>241</v>
      </c>
    </row>
    <row r="222" spans="20:20" x14ac:dyDescent="0.3">
      <c r="T222" t="s">
        <v>242</v>
      </c>
    </row>
    <row r="223" spans="20:20" x14ac:dyDescent="0.3">
      <c r="T223" t="s">
        <v>243</v>
      </c>
    </row>
    <row r="224" spans="20:20" x14ac:dyDescent="0.3">
      <c r="T224" t="s">
        <v>244</v>
      </c>
    </row>
    <row r="225" spans="20:20" x14ac:dyDescent="0.3">
      <c r="T225" t="s">
        <v>245</v>
      </c>
    </row>
    <row r="226" spans="20:20" x14ac:dyDescent="0.3">
      <c r="T226" t="s">
        <v>246</v>
      </c>
    </row>
    <row r="227" spans="20:20" x14ac:dyDescent="0.3">
      <c r="T227" t="s">
        <v>247</v>
      </c>
    </row>
    <row r="228" spans="20:20" x14ac:dyDescent="0.3">
      <c r="T228" t="s">
        <v>248</v>
      </c>
    </row>
    <row r="229" spans="20:20" x14ac:dyDescent="0.3">
      <c r="T229" t="s">
        <v>249</v>
      </c>
    </row>
    <row r="230" spans="20:20" x14ac:dyDescent="0.3">
      <c r="T230" t="s">
        <v>250</v>
      </c>
    </row>
    <row r="231" spans="20:20" x14ac:dyDescent="0.3">
      <c r="T231" t="s">
        <v>251</v>
      </c>
    </row>
    <row r="232" spans="20:20" x14ac:dyDescent="0.3">
      <c r="T232" t="s">
        <v>252</v>
      </c>
    </row>
    <row r="233" spans="20:20" x14ac:dyDescent="0.3">
      <c r="T233" t="s">
        <v>253</v>
      </c>
    </row>
    <row r="234" spans="20:20" x14ac:dyDescent="0.3">
      <c r="T234" t="s">
        <v>254</v>
      </c>
    </row>
    <row r="235" spans="20:20" x14ac:dyDescent="0.3">
      <c r="T235" t="s">
        <v>255</v>
      </c>
    </row>
    <row r="236" spans="20:20" x14ac:dyDescent="0.3">
      <c r="T236" t="s">
        <v>256</v>
      </c>
    </row>
    <row r="237" spans="20:20" x14ac:dyDescent="0.3">
      <c r="T237" t="s">
        <v>257</v>
      </c>
    </row>
    <row r="238" spans="20:20" x14ac:dyDescent="0.3">
      <c r="T238" t="s">
        <v>258</v>
      </c>
    </row>
    <row r="239" spans="20:20" x14ac:dyDescent="0.3">
      <c r="T239" t="s">
        <v>259</v>
      </c>
    </row>
    <row r="240" spans="20:20" x14ac:dyDescent="0.3">
      <c r="T240" t="s">
        <v>260</v>
      </c>
    </row>
    <row r="241" spans="20:20" x14ac:dyDescent="0.3">
      <c r="T241" t="s">
        <v>261</v>
      </c>
    </row>
    <row r="242" spans="20:20" x14ac:dyDescent="0.3">
      <c r="T242" t="s">
        <v>262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Avaliação do Azeite de Oliva</vt:lpstr>
      <vt:lpstr>Planilha2</vt:lpstr>
      <vt:lpstr>GRUPO</vt:lpstr>
      <vt:lpstr>LISTA_PAÍSES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Vasconcellos</dc:creator>
  <cp:lastModifiedBy>Rosana Vasconcellos</cp:lastModifiedBy>
  <cp:lastPrinted>2022-06-10T16:48:29Z</cp:lastPrinted>
  <dcterms:created xsi:type="dcterms:W3CDTF">2022-06-09T19:18:24Z</dcterms:created>
  <dcterms:modified xsi:type="dcterms:W3CDTF">2023-09-13T19:25:41Z</dcterms:modified>
</cp:coreProperties>
</file>